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23docs\23035T06\"/>
    </mc:Choice>
  </mc:AlternateContent>
  <xr:revisionPtr revIDLastSave="0" documentId="8_{84FB492F-60F2-4DA8-8846-98BF20AA03B9}" xr6:coauthVersionLast="47" xr6:coauthVersionMax="47" xr10:uidLastSave="{00000000-0000-0000-0000-000000000000}"/>
  <bookViews>
    <workbookView xWindow="2130" yWindow="1380" windowWidth="24600" windowHeight="13770" tabRatio="928" activeTab="10" xr2:uid="{00000000-000D-0000-FFFF-FFFF00000000}"/>
  </bookViews>
  <sheets>
    <sheet name="Table 1 Preferred Portfolio" sheetId="65" r:id="rId1"/>
    <sheet name="Table 2 QF Signed Queue" sheetId="66" r:id="rId2"/>
    <sheet name="Table 3 Comparison" sheetId="13" r:id="rId3"/>
    <sheet name="Table 4 Gas Price" sheetId="29" r:id="rId4"/>
    <sheet name=" Table 5 Electric Price" sheetId="32" r:id="rId5"/>
    <sheet name="Table6 Integration" sheetId="59" r:id="rId6"/>
    <sheet name="--- Do Not Print ---&gt;" sheetId="37" r:id="rId7"/>
    <sheet name="Tariff Page" sheetId="36" r:id="rId8"/>
    <sheet name="Tariff Page Solar Fixed" sheetId="44" r:id="rId9"/>
    <sheet name="Tariff Page Solar Tracking" sheetId="45" r:id="rId10"/>
    <sheet name="Tariff Page Wind" sheetId="39" r:id="rId11"/>
    <sheet name="OFPC Source" sheetId="62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200_SCCT_UtahN" localSheetId="11">'[1]Table 1'!$I$19</definedName>
    <definedName name="_200_SCCT_UtahN">'[2]Table 1'!$I$19</definedName>
    <definedName name="_200_SCCT_WYNE" localSheetId="11">#REF!</definedName>
    <definedName name="_200_SCCT_WYNE">#REF!</definedName>
    <definedName name="_30_Geo_West" localSheetId="11">'[1]Table 1'!$I$17</definedName>
    <definedName name="_30_Geo_West">'[2]Table 1'!$I$17</definedName>
    <definedName name="_436_CCCT_WestMain" localSheetId="11">'[1]Table 1'!$I$18</definedName>
    <definedName name="_436_CCCT_WestMain">'[2]Table 1'!$I$18</definedName>
    <definedName name="_477_CCCT_WestMain" localSheetId="5">#REF!</definedName>
    <definedName name="_477_CCCT_WestMain">'[3]Table 1'!$I$18</definedName>
    <definedName name="_477_CCCT_WYNE" localSheetId="11">#REF!</definedName>
    <definedName name="_477_CCCT_WYNE">#REF!</definedName>
    <definedName name="_635_CCCT_UtahS" localSheetId="5">#REF!</definedName>
    <definedName name="_635_CCCT_UtahS">'[3]Table 1'!$I$19</definedName>
    <definedName name="_635_CCCT_WyoNE" localSheetId="5">#REF!</definedName>
    <definedName name="_635_CCCT_WyoNE">'[3]Table 1'!$I$17</definedName>
    <definedName name="_774_Wind_IDGoshen" localSheetId="11">#REF!</definedName>
    <definedName name="_774_Wind_IDGoshen">#REF!</definedName>
    <definedName name="_85_Wind_DJ_2031" localSheetId="11">#REF!</definedName>
    <definedName name="_85_Wind_DJ_2031">#REF!</definedName>
    <definedName name="_Discount_Rate">[4]Comparison!$M$33</definedName>
    <definedName name="_j1" localSheetId="11" hidden="1">{"PRINT",#N/A,TRUE,"APPA";"PRINT",#N/A,TRUE,"APS";"PRINT",#N/A,TRUE,"BHPL";"PRINT",#N/A,TRUE,"BHPL2";"PRINT",#N/A,TRUE,"CDWR";"PRINT",#N/A,TRUE,"EWEB";"PRINT",#N/A,TRUE,"LADWP";"PRINT",#N/A,TRUE,"NEVBASE"}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localSheetId="1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1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localSheetId="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11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localSheetId="1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11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localSheetId="1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11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localSheetId="1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Order1" hidden="1">255</definedName>
    <definedName name="_Order2" hidden="1">0</definedName>
    <definedName name="_Percent_Last_CCCT" localSheetId="11">#REF!</definedName>
    <definedName name="_Percent_Last_CCCT">#REF!</definedName>
    <definedName name="_UtahS_Solar_2031" localSheetId="11">#REF!</definedName>
    <definedName name="_UtahS_Solar_2031">#REF!</definedName>
    <definedName name="_UtahS_Solar_2032" localSheetId="11">#REF!</definedName>
    <definedName name="_UtahS_Solar_2032">#REF!</definedName>
    <definedName name="_UtahS_Solar_2033" localSheetId="11">#REF!</definedName>
    <definedName name="_UtahS_Solar_2033">#REF!</definedName>
    <definedName name="_UtahS_Solar_2034" localSheetId="11">#REF!</definedName>
    <definedName name="_UtahS_Solar_2034">#REF!</definedName>
    <definedName name="_UtahS_Solar_2035" localSheetId="11">#REF!</definedName>
    <definedName name="_UtahS_Solar_2035">#REF!</definedName>
    <definedName name="_UtahS_Solar_2036" localSheetId="11">#REF!</definedName>
    <definedName name="_UtahS_Solar_2036">#REF!</definedName>
    <definedName name="_Yakima_Solar_2028" localSheetId="11">#REF!</definedName>
    <definedName name="_Yakima_Solar_2028">#REF!</definedName>
    <definedName name="_Yakima_Solar_2029" localSheetId="11">#REF!</definedName>
    <definedName name="_Yakima_Solar_2029">#REF!</definedName>
    <definedName name="_Yakima_Solar_2031" localSheetId="11">#REF!</definedName>
    <definedName name="_Yakima_Solar_2031">#REF!</definedName>
    <definedName name="_Yakima_Solar_2032" localSheetId="11">#REF!</definedName>
    <definedName name="_Yakima_Solar_2032">#REF!</definedName>
    <definedName name="_Yakima_Solar_2033" localSheetId="11">#REF!</definedName>
    <definedName name="_Yakima_Solar_2033">#REF!</definedName>
    <definedName name="_Yakima_Solar_2034" localSheetId="11">#REF!</definedName>
    <definedName name="_Yakima_Solar_2034">#REF!</definedName>
    <definedName name="a" localSheetId="5" hidden="1">'[5]DSM Output'!$J$21:$J$23</definedName>
    <definedName name="a" hidden="1">'[6]DSM Output'!$J$21:$J$23</definedName>
    <definedName name="above">OFFSET(!A1,-1,0)</definedName>
    <definedName name="AC_Case" localSheetId="11">'[7]Table 2 QF Queue'!#REF!</definedName>
    <definedName name="AC_Case">#REF!</definedName>
    <definedName name="Active_CF">[8]!Active_CF</definedName>
    <definedName name="Active_Deg_Method">[8]!Active_Deg_Method</definedName>
    <definedName name="Active_Deg_Rate">[8]!Active_Deg_Rate</definedName>
    <definedName name="Active_Delivery_Point">[8]!Active_Delivery_Point</definedName>
    <definedName name="Active_MW">[8]!Active_MW</definedName>
    <definedName name="Active_Name_Conf">[8]!Active_Name_Conf</definedName>
    <definedName name="Active_Online">[8]!Active_Online</definedName>
    <definedName name="Active_QF_Name">[8]!Active_QF_Name</definedName>
    <definedName name="Active_QF_Queue_Date">[8]!Active_QF_Queue_Date</definedName>
    <definedName name="Active_Status">[8]!Active_Status</definedName>
    <definedName name="anscount" hidden="1">1</definedName>
    <definedName name="Base_Case">#REF!</definedName>
    <definedName name="below">OFFSET(!A1,1,0)</definedName>
    <definedName name="Capacity_Contr_Solar_Fixed" localSheetId="11">#REF!</definedName>
    <definedName name="Capacity_Contr_Solar_Fixed">#REF!</definedName>
    <definedName name="Capacity_Contr_Solar_Tracking" localSheetId="11">#REF!</definedName>
    <definedName name="Capacity_Contr_Solar_Tracking">#REF!</definedName>
    <definedName name="Capacity_Contr_Wind" localSheetId="11">#REF!</definedName>
    <definedName name="Capacity_Contr_Wind">#REF!</definedName>
    <definedName name="CC_E_Fixed">#REF!</definedName>
    <definedName name="CC_E_Gas">#REF!</definedName>
    <definedName name="CC_E_Hydro">#REF!</definedName>
    <definedName name="CC_E_Tracking">#REF!</definedName>
    <definedName name="CC_E_Wind">#REF!</definedName>
    <definedName name="CC_OR_Solar" localSheetId="1">'Table 2 QF Signed Queue'!$F$69</definedName>
    <definedName name="CC_OR_Solar">#REF!</definedName>
    <definedName name="CC_UT_Solar" localSheetId="1">'Table 2 QF Signed Queue'!$F$106</definedName>
    <definedName name="CC_UT_Solar">#REF!</definedName>
    <definedName name="CC_W_Fixed">#REF!</definedName>
    <definedName name="CC_W_Gas">#REF!</definedName>
    <definedName name="CC_W_Hydro">#REF!</definedName>
    <definedName name="CC_W_Tracking">#REF!</definedName>
    <definedName name="CC_W_Wind">#REF!</definedName>
    <definedName name="dateTable">'[9]on off peak hours'!$C$15:$ED$15</definedName>
    <definedName name="daysMonth" localSheetId="11">#REF!</definedName>
    <definedName name="daysMonth">#REF!</definedName>
    <definedName name="Discount_Rate" localSheetId="11">'[1]Table 1'!$I$42</definedName>
    <definedName name="Discount_Rate" localSheetId="5">#REF!</definedName>
    <definedName name="Discount_Rate">'[2]Table 1'!$I$42</definedName>
    <definedName name="Discount_Rate_2015_IRP">'[10]Table 7 to 8'!$AE$43</definedName>
    <definedName name="DispatchSum">"GRID Thermal Generation!R2C1:R4C2"</definedName>
    <definedName name="FixedSolar_Capacity_Contr">'[10]Exhibit 3- Std FixedSolar QF'!$G$53</definedName>
    <definedName name="HolidayObserved" localSheetId="11">#REF!</definedName>
    <definedName name="HolidayObserved">#REF!</definedName>
    <definedName name="Holidays" localSheetId="11">#REF!</definedName>
    <definedName name="Holidays">#REF!</definedName>
    <definedName name="HoursHoliday">'[9]on off peak hours'!$C$16:$ED$20</definedName>
    <definedName name="HoursNoHoliday" localSheetId="11">#REF!</definedName>
    <definedName name="HoursNoHoliday">#REF!</definedName>
    <definedName name="Incr_Reserve" localSheetId="11">[11]ImportData!$G$45</definedName>
    <definedName name="Incr_Reserve">[12]ImportData!$G$45</definedName>
    <definedName name="Incremental_Coal_Costing" localSheetId="11">[11]ImportData!$B$37</definedName>
    <definedName name="Incremental_Coal_Costing">[12]ImportData!$B$37</definedName>
    <definedName name="left">OFFSET(!A1,0,-1)</definedName>
    <definedName name="limcount" hidden="1">1</definedName>
    <definedName name="Market">'[10]OFPC Source'!$J$8:$M$295</definedName>
    <definedName name="MidC_Flat">[13]Market_Price!#REF!</definedName>
    <definedName name="Monthly_Discount_Rate" localSheetId="11">[14]SourceEnergy!$N$4</definedName>
    <definedName name="Monthly_Discount_Rate" localSheetId="5">[15]SourceEnergy!$N$4</definedName>
    <definedName name="Monthly_Discount_Rate">[16]SourceEnergy!$N$4</definedName>
    <definedName name="OR_AC_price" localSheetId="11">#REF!</definedName>
    <definedName name="OR_AC_price">#REF!</definedName>
    <definedName name="_xlnm.Print_Area" localSheetId="4">' Table 5 Electric Price'!$A$1:$G$34</definedName>
    <definedName name="_xlnm.Print_Area" localSheetId="1">'Table 2 QF Signed Queue'!$A$1:$H$57</definedName>
    <definedName name="_xlnm.Print_Area" localSheetId="2">'Table 3 Comparison'!$A$1:$O$51</definedName>
    <definedName name="_xlnm.Print_Area" localSheetId="3">'Table 4 Gas Price'!$A$1:$E$37</definedName>
    <definedName name="_xlnm.Print_Area" localSheetId="5">'Table6 Integration'!$A$1:$E$33</definedName>
    <definedName name="_xlnm.Print_Area" localSheetId="7">'Tariff Page'!$A$1:$G$36</definedName>
    <definedName name="_xlnm.Print_Area" localSheetId="8">'Tariff Page Solar Fixed'!$A$1:$F$44</definedName>
    <definedName name="_xlnm.Print_Area" localSheetId="9">'Tariff Page Solar Tracking'!$A$1:$F$45</definedName>
    <definedName name="_xlnm.Print_Area" localSheetId="10">'Tariff Page Wind'!$A$1:$F$43</definedName>
    <definedName name="PSATable" localSheetId="11">[11]Hermiston!$A$35:$E$41</definedName>
    <definedName name="PSATable">[12]Hermiston!$A$35:$E$41</definedName>
    <definedName name="QF_CF" localSheetId="11">#REF!</definedName>
    <definedName name="QF_CF">#REF!</definedName>
    <definedName name="RampLossMonthlyDemand" localSheetId="11">'[17]Source - Ramp Losses'!$O$46:$P$57</definedName>
    <definedName name="RampLossMonthlyDemand">'[18]Source - Ramp Losses'!$O$46:$P$57</definedName>
    <definedName name="RenewableMarketShape">'[10]OFPC Source'!$P$5:$U$33</definedName>
    <definedName name="RevenueSum">"GRID Thermal Revenue!R2C1:R4C2"</definedName>
    <definedName name="right">OFFSET(!A1,0,1)</definedName>
    <definedName name="SAPBEXrevision" hidden="1">1</definedName>
    <definedName name="SAPBEXsysID" hidden="1">"BWP"</definedName>
    <definedName name="SAPBEXwbID" hidden="1">"45EQYSCWE9WJMGB34OOD1BOQZ"</definedName>
    <definedName name="Shape_Annually" localSheetId="11">'[14]Monthly Levelized'!$K$9</definedName>
    <definedName name="Shape_Annually" localSheetId="5">'[15]Monthly Levelized'!$K$9</definedName>
    <definedName name="Shape_Annually">'[16]Monthly Levelized'!$K$9</definedName>
    <definedName name="Shape_Start" localSheetId="11">'[14]Monthly Levelized'!$L$9</definedName>
    <definedName name="Shape_Start" localSheetId="5">'[15]Monthly Levelized'!$L$9</definedName>
    <definedName name="Shape_Start">'[16]Monthly Levelized'!$L$9</definedName>
    <definedName name="Solar_Fixed_integr_cost" localSheetId="11">'[19]Table 12'!$B$46</definedName>
    <definedName name="Solar_Fixed_integr_cost">#REF!</definedName>
    <definedName name="Solar_HLH">'[10]OFPC Source'!$U$48</definedName>
    <definedName name="Solar_LLH">'[10]OFPC Source'!$V$48</definedName>
    <definedName name="Solar_Tracking_integr_cost" localSheetId="11">'[19]Table 12'!$B$45</definedName>
    <definedName name="Solar_Tracking_integr_cost">#REF!</definedName>
    <definedName name="SSMonthlyDemand" localSheetId="11">'[17]Source - Station Use'!$H$78:$H$89</definedName>
    <definedName name="SSMonthlyDemand">'[18]Source - Station Use'!$H$78:$H$89</definedName>
    <definedName name="Study_Cap_Adj" localSheetId="11">'[1]Table 1'!$I$8</definedName>
    <definedName name="Study_Cap_Adj" localSheetId="5">#REF!</definedName>
    <definedName name="Study_Cap_Adj">'[2]Table 1'!$I$8</definedName>
    <definedName name="Study_CF" localSheetId="11">'[1]Table 5'!$M$7</definedName>
    <definedName name="Study_CF">'[2]Table 5'!$M$7</definedName>
    <definedName name="Study_MW" localSheetId="11">'[1]Table 5'!$M$6</definedName>
    <definedName name="Study_MW">'[2]Table 5'!$M$6</definedName>
    <definedName name="Study_Name">[9]ImportData!$D$7</definedName>
    <definedName name="ValuationDate" localSheetId="11">#REF!</definedName>
    <definedName name="ValuationDate">#REF!</definedName>
    <definedName name="Wind_Capacity_Contr">'[10]Exhibit 2- Std Wind QF '!$E$57</definedName>
    <definedName name="Wind_Integration_Charge">'[10]Exhibit 2- Std Wind QF '!$E$45</definedName>
    <definedName name="y" localSheetId="5" hidden="1">'[5]DSM Output'!$B$21:$B$23</definedName>
    <definedName name="y" hidden="1">'[6]DSM Output'!$B$21:$B$23</definedName>
    <definedName name="z" localSheetId="5" hidden="1">'[5]DSM Output'!$G$21:$G$23</definedName>
    <definedName name="z" hidden="1">'[6]DSM Output'!$G$21:$G$23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39" l="1"/>
  <c r="D10" i="39" s="1"/>
  <c r="B10" i="36"/>
  <c r="F10" i="36" s="1"/>
  <c r="B10" i="45"/>
  <c r="F10" i="45" s="1"/>
  <c r="B10" i="44"/>
  <c r="D10" i="44" s="1"/>
  <c r="B29" i="13"/>
  <c r="D29" i="13"/>
  <c r="G29" i="13"/>
  <c r="J29" i="13"/>
  <c r="M29" i="13"/>
  <c r="B42" i="13"/>
  <c r="B39" i="13"/>
  <c r="B36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43" i="13" s="1"/>
  <c r="M13" i="13"/>
  <c r="M40" i="13" s="1"/>
  <c r="M12" i="13"/>
  <c r="M37" i="13" s="1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40" i="13" s="1"/>
  <c r="J14" i="13"/>
  <c r="J43" i="13" s="1"/>
  <c r="J13" i="13"/>
  <c r="J12" i="13"/>
  <c r="J37" i="13" s="1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43" i="13" s="1"/>
  <c r="G13" i="13"/>
  <c r="G40" i="13" s="1"/>
  <c r="G12" i="13"/>
  <c r="G37" i="13" s="1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43" i="13" s="1"/>
  <c r="D13" i="13"/>
  <c r="D40" i="13" s="1"/>
  <c r="D12" i="13"/>
  <c r="D37" i="13" s="1"/>
  <c r="C10" i="36" l="1"/>
  <c r="C10" i="44"/>
  <c r="C10" i="45"/>
  <c r="E10" i="44"/>
  <c r="E10" i="45"/>
  <c r="E10" i="39"/>
  <c r="F10" i="39"/>
  <c r="C10" i="39"/>
  <c r="D10" i="36"/>
  <c r="E10" i="36"/>
  <c r="F10" i="44"/>
  <c r="D10" i="45"/>
  <c r="I29" i="45"/>
  <c r="I28" i="45"/>
  <c r="M3" i="62" l="1"/>
  <c r="AI313" i="62"/>
  <c r="AJ313" i="62" s="1"/>
  <c r="AE313" i="62"/>
  <c r="AD313" i="62"/>
  <c r="AI312" i="62"/>
  <c r="AJ312" i="62" s="1"/>
  <c r="AE312" i="62"/>
  <c r="AD312" i="62"/>
  <c r="AI311" i="62"/>
  <c r="AJ311" i="62" s="1"/>
  <c r="AE311" i="62"/>
  <c r="AD311" i="62"/>
  <c r="AI310" i="62"/>
  <c r="AJ310" i="62" s="1"/>
  <c r="AE310" i="62"/>
  <c r="AD310" i="62"/>
  <c r="AI309" i="62"/>
  <c r="AJ309" i="62" s="1"/>
  <c r="AE309" i="62"/>
  <c r="AD309" i="62"/>
  <c r="AI308" i="62"/>
  <c r="AJ308" i="62" s="1"/>
  <c r="AE308" i="62"/>
  <c r="AD308" i="62"/>
  <c r="AI307" i="62"/>
  <c r="AJ307" i="62" s="1"/>
  <c r="AE307" i="62"/>
  <c r="AD307" i="62"/>
  <c r="AI306" i="62"/>
  <c r="AJ306" i="62" s="1"/>
  <c r="AE306" i="62"/>
  <c r="AD306" i="62"/>
  <c r="AI305" i="62"/>
  <c r="AJ305" i="62" s="1"/>
  <c r="AE305" i="62"/>
  <c r="AD305" i="62"/>
  <c r="AI304" i="62"/>
  <c r="AJ304" i="62" s="1"/>
  <c r="AE304" i="62"/>
  <c r="AD304" i="62"/>
  <c r="AI303" i="62"/>
  <c r="AJ303" i="62" s="1"/>
  <c r="AE303" i="62"/>
  <c r="AD303" i="62"/>
  <c r="AI302" i="62"/>
  <c r="AJ302" i="62" s="1"/>
  <c r="AE302" i="62"/>
  <c r="AD302" i="62"/>
  <c r="AI301" i="62"/>
  <c r="AJ301" i="62" s="1"/>
  <c r="AE301" i="62"/>
  <c r="AD301" i="62"/>
  <c r="AI300" i="62"/>
  <c r="AJ300" i="62" s="1"/>
  <c r="AE300" i="62"/>
  <c r="AD300" i="62"/>
  <c r="AI299" i="62"/>
  <c r="AJ299" i="62" s="1"/>
  <c r="AE299" i="62"/>
  <c r="AD299" i="62"/>
  <c r="AI298" i="62"/>
  <c r="AJ298" i="62" s="1"/>
  <c r="AE298" i="62"/>
  <c r="AD298" i="62"/>
  <c r="AI297" i="62"/>
  <c r="AJ297" i="62" s="1"/>
  <c r="AE297" i="62"/>
  <c r="AD297" i="62"/>
  <c r="AI296" i="62"/>
  <c r="AJ296" i="62" s="1"/>
  <c r="AE296" i="62"/>
  <c r="AD296" i="62"/>
  <c r="AI295" i="62"/>
  <c r="AJ295" i="62" s="1"/>
  <c r="AE295" i="62"/>
  <c r="AD295" i="62"/>
  <c r="AI294" i="62"/>
  <c r="AJ294" i="62" s="1"/>
  <c r="AE294" i="62"/>
  <c r="AD294" i="62"/>
  <c r="AI293" i="62"/>
  <c r="AJ293" i="62" s="1"/>
  <c r="AE293" i="62"/>
  <c r="AD293" i="62"/>
  <c r="AI292" i="62"/>
  <c r="AJ292" i="62" s="1"/>
  <c r="AE292" i="62"/>
  <c r="AD292" i="62"/>
  <c r="AI291" i="62"/>
  <c r="AJ291" i="62" s="1"/>
  <c r="AE291" i="62"/>
  <c r="AD291" i="62"/>
  <c r="AI290" i="62"/>
  <c r="AJ290" i="62" s="1"/>
  <c r="AE290" i="62"/>
  <c r="AD290" i="62"/>
  <c r="AI289" i="62"/>
  <c r="AJ289" i="62" s="1"/>
  <c r="AE289" i="62"/>
  <c r="AD289" i="62"/>
  <c r="AI288" i="62"/>
  <c r="AJ288" i="62" s="1"/>
  <c r="AE288" i="62"/>
  <c r="AD288" i="62"/>
  <c r="AI287" i="62"/>
  <c r="AJ287" i="62" s="1"/>
  <c r="AE287" i="62"/>
  <c r="AD287" i="62"/>
  <c r="AI286" i="62"/>
  <c r="AJ286" i="62" s="1"/>
  <c r="AE286" i="62"/>
  <c r="AD286" i="62"/>
  <c r="AI285" i="62"/>
  <c r="AJ285" i="62" s="1"/>
  <c r="AE285" i="62"/>
  <c r="AD285" i="62"/>
  <c r="AI284" i="62"/>
  <c r="AJ284" i="62" s="1"/>
  <c r="AE284" i="62"/>
  <c r="AD284" i="62"/>
  <c r="AI283" i="62"/>
  <c r="AJ283" i="62" s="1"/>
  <c r="AE283" i="62"/>
  <c r="AD283" i="62"/>
  <c r="AI282" i="62"/>
  <c r="AJ282" i="62" s="1"/>
  <c r="AE282" i="62"/>
  <c r="AD282" i="62"/>
  <c r="AI281" i="62"/>
  <c r="AJ281" i="62" s="1"/>
  <c r="AE281" i="62"/>
  <c r="AD281" i="62"/>
  <c r="AI280" i="62"/>
  <c r="AJ280" i="62" s="1"/>
  <c r="AE280" i="62"/>
  <c r="AD280" i="62"/>
  <c r="AI279" i="62"/>
  <c r="AJ279" i="62" s="1"/>
  <c r="AE279" i="62"/>
  <c r="AD279" i="62"/>
  <c r="AI278" i="62"/>
  <c r="AJ278" i="62" s="1"/>
  <c r="AE278" i="62"/>
  <c r="AD278" i="62"/>
  <c r="AI277" i="62"/>
  <c r="AJ277" i="62" s="1"/>
  <c r="AE277" i="62"/>
  <c r="AD277" i="62"/>
  <c r="AI276" i="62"/>
  <c r="AJ276" i="62" s="1"/>
  <c r="AE276" i="62"/>
  <c r="AD276" i="62"/>
  <c r="AI275" i="62"/>
  <c r="AJ275" i="62" s="1"/>
  <c r="AE275" i="62"/>
  <c r="AD275" i="62"/>
  <c r="AI274" i="62"/>
  <c r="AJ274" i="62" s="1"/>
  <c r="AE274" i="62"/>
  <c r="AD274" i="62"/>
  <c r="AI273" i="62"/>
  <c r="AJ273" i="62" s="1"/>
  <c r="AE273" i="62"/>
  <c r="AD273" i="62"/>
  <c r="AI272" i="62"/>
  <c r="AJ272" i="62" s="1"/>
  <c r="AE272" i="62"/>
  <c r="AD272" i="62"/>
  <c r="AI271" i="62"/>
  <c r="AJ271" i="62" s="1"/>
  <c r="AE271" i="62"/>
  <c r="AD271" i="62"/>
  <c r="AI270" i="62"/>
  <c r="AJ270" i="62" s="1"/>
  <c r="AE270" i="62"/>
  <c r="AD270" i="62"/>
  <c r="AI269" i="62"/>
  <c r="AJ269" i="62" s="1"/>
  <c r="AE269" i="62"/>
  <c r="AD269" i="62"/>
  <c r="AI268" i="62"/>
  <c r="AJ268" i="62" s="1"/>
  <c r="AE268" i="62"/>
  <c r="AD268" i="62"/>
  <c r="AI267" i="62"/>
  <c r="AJ267" i="62" s="1"/>
  <c r="AE267" i="62"/>
  <c r="AD267" i="62"/>
  <c r="AI266" i="62"/>
  <c r="AJ266" i="62" s="1"/>
  <c r="AE266" i="62"/>
  <c r="AD266" i="62"/>
  <c r="AI265" i="62"/>
  <c r="AJ265" i="62" s="1"/>
  <c r="AE265" i="62"/>
  <c r="AD265" i="62"/>
  <c r="AI264" i="62"/>
  <c r="AJ264" i="62" s="1"/>
  <c r="AE264" i="62"/>
  <c r="AD264" i="62"/>
  <c r="P264" i="62"/>
  <c r="Q264" i="62"/>
  <c r="AI263" i="62"/>
  <c r="AJ263" i="62" s="1"/>
  <c r="AE263" i="62"/>
  <c r="AD263" i="62"/>
  <c r="AI262" i="62"/>
  <c r="AJ262" i="62" s="1"/>
  <c r="AE262" i="62"/>
  <c r="AD262" i="62"/>
  <c r="AI261" i="62"/>
  <c r="AJ261" i="62" s="1"/>
  <c r="AE261" i="62"/>
  <c r="AD261" i="62"/>
  <c r="AI260" i="62"/>
  <c r="AJ260" i="62" s="1"/>
  <c r="AE260" i="62"/>
  <c r="AD260" i="62"/>
  <c r="AI259" i="62"/>
  <c r="AJ259" i="62" s="1"/>
  <c r="AE259" i="62"/>
  <c r="AD259" i="62"/>
  <c r="AI258" i="62"/>
  <c r="AJ258" i="62" s="1"/>
  <c r="AE258" i="62"/>
  <c r="AD258" i="62"/>
  <c r="AI257" i="62"/>
  <c r="AJ257" i="62" s="1"/>
  <c r="AE257" i="62"/>
  <c r="AD257" i="62"/>
  <c r="AI256" i="62"/>
  <c r="AJ256" i="62" s="1"/>
  <c r="AE256" i="62"/>
  <c r="AD256" i="62"/>
  <c r="AI255" i="62"/>
  <c r="AJ255" i="62" s="1"/>
  <c r="AE255" i="62"/>
  <c r="AD255" i="62"/>
  <c r="AI254" i="62"/>
  <c r="AJ254" i="62" s="1"/>
  <c r="AE254" i="62"/>
  <c r="AD254" i="62"/>
  <c r="AI253" i="62"/>
  <c r="AJ253" i="62" s="1"/>
  <c r="AE253" i="62"/>
  <c r="AD253" i="62"/>
  <c r="AI252" i="62"/>
  <c r="AJ252" i="62" s="1"/>
  <c r="AE252" i="62"/>
  <c r="AD252" i="62"/>
  <c r="AJ251" i="62"/>
  <c r="AI251" i="62"/>
  <c r="AE251" i="62"/>
  <c r="AD251" i="62"/>
  <c r="AI250" i="62"/>
  <c r="AJ250" i="62" s="1"/>
  <c r="AE250" i="62"/>
  <c r="AD250" i="62" s="1"/>
  <c r="AJ249" i="62"/>
  <c r="AI249" i="62"/>
  <c r="AE249" i="62"/>
  <c r="AD249" i="62"/>
  <c r="AI248" i="62"/>
  <c r="AJ248" i="62" s="1"/>
  <c r="AE248" i="62"/>
  <c r="AD248" i="62" s="1"/>
  <c r="AJ247" i="62"/>
  <c r="AI247" i="62"/>
  <c r="AE247" i="62"/>
  <c r="AD247" i="62"/>
  <c r="AI246" i="62"/>
  <c r="AJ246" i="62" s="1"/>
  <c r="AE246" i="62"/>
  <c r="AD246" i="62" s="1"/>
  <c r="AJ245" i="62"/>
  <c r="AI245" i="62"/>
  <c r="AE245" i="62"/>
  <c r="AD245" i="62"/>
  <c r="AI244" i="62"/>
  <c r="AJ244" i="62" s="1"/>
  <c r="AE244" i="62"/>
  <c r="AD244" i="62" s="1"/>
  <c r="AJ243" i="62"/>
  <c r="AI243" i="62"/>
  <c r="AE243" i="62"/>
  <c r="AD243" i="62"/>
  <c r="AI242" i="62"/>
  <c r="AJ242" i="62" s="1"/>
  <c r="AE242" i="62"/>
  <c r="AD242" i="62" s="1"/>
  <c r="AJ241" i="62"/>
  <c r="AI241" i="62"/>
  <c r="AE241" i="62"/>
  <c r="AD241" i="62"/>
  <c r="AI240" i="62"/>
  <c r="AJ240" i="62" s="1"/>
  <c r="AE240" i="62"/>
  <c r="AD240" i="62" s="1"/>
  <c r="AJ239" i="62"/>
  <c r="AI239" i="62"/>
  <c r="AE239" i="62"/>
  <c r="AD239" i="62"/>
  <c r="AI238" i="62"/>
  <c r="AJ238" i="62" s="1"/>
  <c r="AE238" i="62"/>
  <c r="AD238" i="62" s="1"/>
  <c r="AJ237" i="62"/>
  <c r="AI237" i="62"/>
  <c r="AE237" i="62"/>
  <c r="AD237" i="62"/>
  <c r="AI236" i="62"/>
  <c r="AJ236" i="62" s="1"/>
  <c r="AE236" i="62"/>
  <c r="AD236" i="62" s="1"/>
  <c r="AJ235" i="62"/>
  <c r="AI235" i="62"/>
  <c r="AE235" i="62"/>
  <c r="AD235" i="62"/>
  <c r="AI234" i="62"/>
  <c r="AJ234" i="62" s="1"/>
  <c r="AE234" i="62"/>
  <c r="AD234" i="62" s="1"/>
  <c r="AJ233" i="62"/>
  <c r="AI233" i="62"/>
  <c r="AE233" i="62"/>
  <c r="AD233" i="62"/>
  <c r="AI232" i="62"/>
  <c r="AJ232" i="62" s="1"/>
  <c r="AE232" i="62"/>
  <c r="AD232" i="62" s="1"/>
  <c r="AJ231" i="62"/>
  <c r="AI231" i="62"/>
  <c r="AE231" i="62"/>
  <c r="AD231" i="62"/>
  <c r="AI230" i="62"/>
  <c r="AJ230" i="62" s="1"/>
  <c r="AE230" i="62"/>
  <c r="AD230" i="62" s="1"/>
  <c r="AJ229" i="62"/>
  <c r="AI229" i="62"/>
  <c r="AE229" i="62"/>
  <c r="AD229" i="62"/>
  <c r="AI228" i="62"/>
  <c r="AJ228" i="62" s="1"/>
  <c r="AE228" i="62"/>
  <c r="AD228" i="62" s="1"/>
  <c r="AJ227" i="62"/>
  <c r="AI227" i="62"/>
  <c r="AE227" i="62"/>
  <c r="AD227" i="62"/>
  <c r="AI226" i="62"/>
  <c r="AJ226" i="62" s="1"/>
  <c r="AE226" i="62"/>
  <c r="AD226" i="62" s="1"/>
  <c r="AJ225" i="62"/>
  <c r="AI225" i="62"/>
  <c r="AE225" i="62"/>
  <c r="AD225" i="62"/>
  <c r="AI224" i="62"/>
  <c r="AJ224" i="62" s="1"/>
  <c r="AE224" i="62"/>
  <c r="AD224" i="62" s="1"/>
  <c r="AJ223" i="62"/>
  <c r="AI223" i="62"/>
  <c r="AE223" i="62"/>
  <c r="AD223" i="62"/>
  <c r="AI222" i="62"/>
  <c r="AJ222" i="62" s="1"/>
  <c r="AE222" i="62"/>
  <c r="AD222" i="62" s="1"/>
  <c r="AJ221" i="62"/>
  <c r="AI221" i="62"/>
  <c r="AE221" i="62"/>
  <c r="AD221" i="62"/>
  <c r="AI220" i="62"/>
  <c r="AJ220" i="62" s="1"/>
  <c r="AE220" i="62"/>
  <c r="AD220" i="62" s="1"/>
  <c r="AJ219" i="62"/>
  <c r="AI219" i="62"/>
  <c r="AE219" i="62"/>
  <c r="AD219" i="62"/>
  <c r="AI218" i="62"/>
  <c r="AJ218" i="62" s="1"/>
  <c r="AE218" i="62"/>
  <c r="AD218" i="62" s="1"/>
  <c r="AJ217" i="62"/>
  <c r="AI217" i="62"/>
  <c r="AE217" i="62"/>
  <c r="AD217" i="62"/>
  <c r="AI216" i="62"/>
  <c r="AJ216" i="62" s="1"/>
  <c r="AE216" i="62"/>
  <c r="AD216" i="62" s="1"/>
  <c r="AJ215" i="62"/>
  <c r="AI215" i="62"/>
  <c r="AE215" i="62"/>
  <c r="AD215" i="62"/>
  <c r="AI214" i="62"/>
  <c r="AJ214" i="62" s="1"/>
  <c r="AE214" i="62"/>
  <c r="AD214" i="62" s="1"/>
  <c r="AJ213" i="62"/>
  <c r="AI213" i="62"/>
  <c r="AE213" i="62"/>
  <c r="AD213" i="62"/>
  <c r="AI212" i="62"/>
  <c r="AJ212" i="62" s="1"/>
  <c r="AE212" i="62"/>
  <c r="AD212" i="62" s="1"/>
  <c r="AJ211" i="62"/>
  <c r="AI211" i="62"/>
  <c r="AE211" i="62"/>
  <c r="AD211" i="62"/>
  <c r="AI210" i="62"/>
  <c r="AJ210" i="62" s="1"/>
  <c r="AE210" i="62"/>
  <c r="AD210" i="62" s="1"/>
  <c r="AJ209" i="62"/>
  <c r="AI209" i="62"/>
  <c r="AE209" i="62"/>
  <c r="AD209" i="62"/>
  <c r="AI208" i="62"/>
  <c r="AJ208" i="62" s="1"/>
  <c r="AE208" i="62"/>
  <c r="AD208" i="62" s="1"/>
  <c r="AJ207" i="62"/>
  <c r="AI207" i="62"/>
  <c r="AE207" i="62"/>
  <c r="AD207" i="62"/>
  <c r="AI206" i="62"/>
  <c r="AJ206" i="62" s="1"/>
  <c r="AE206" i="62"/>
  <c r="AD206" i="62"/>
  <c r="AI205" i="62"/>
  <c r="AJ205" i="62" s="1"/>
  <c r="AE205" i="62"/>
  <c r="AD205" i="62"/>
  <c r="AI204" i="62"/>
  <c r="AJ204" i="62" s="1"/>
  <c r="AE204" i="62"/>
  <c r="AD204" i="62"/>
  <c r="AJ203" i="62"/>
  <c r="AI203" i="62"/>
  <c r="AE203" i="62"/>
  <c r="AD203" i="62"/>
  <c r="AI202" i="62"/>
  <c r="AJ202" i="62" s="1"/>
  <c r="AE202" i="62"/>
  <c r="AD202" i="62"/>
  <c r="AI201" i="62"/>
  <c r="AJ201" i="62" s="1"/>
  <c r="AE201" i="62"/>
  <c r="AD201" i="62"/>
  <c r="AI200" i="62"/>
  <c r="AJ200" i="62" s="1"/>
  <c r="AE200" i="62"/>
  <c r="AD200" i="62" s="1"/>
  <c r="AJ199" i="62"/>
  <c r="AI199" i="62"/>
  <c r="AE199" i="62"/>
  <c r="AD199" i="62"/>
  <c r="AI198" i="62"/>
  <c r="AJ198" i="62" s="1"/>
  <c r="AE198" i="62"/>
  <c r="AD198" i="62" s="1"/>
  <c r="AJ197" i="62"/>
  <c r="AI197" i="62"/>
  <c r="AE197" i="62"/>
  <c r="AD197" i="62"/>
  <c r="AI196" i="62"/>
  <c r="AJ196" i="62" s="1"/>
  <c r="AE196" i="62"/>
  <c r="AD196" i="62" s="1"/>
  <c r="AJ195" i="62"/>
  <c r="AI195" i="62"/>
  <c r="AE195" i="62"/>
  <c r="AD195" i="62"/>
  <c r="AI194" i="62"/>
  <c r="AJ194" i="62" s="1"/>
  <c r="AE194" i="62"/>
  <c r="AD194" i="62" s="1"/>
  <c r="AJ193" i="62"/>
  <c r="AI193" i="62"/>
  <c r="AE193" i="62"/>
  <c r="AD193" i="62"/>
  <c r="AI192" i="62"/>
  <c r="AJ192" i="62" s="1"/>
  <c r="AE192" i="62"/>
  <c r="AD192" i="62" s="1"/>
  <c r="AJ191" i="62"/>
  <c r="AI191" i="62"/>
  <c r="AE191" i="62"/>
  <c r="AD191" i="62"/>
  <c r="AI190" i="62"/>
  <c r="AJ190" i="62" s="1"/>
  <c r="AE190" i="62"/>
  <c r="AD190" i="62" s="1"/>
  <c r="AJ189" i="62"/>
  <c r="AI189" i="62"/>
  <c r="AE189" i="62"/>
  <c r="AD189" i="62"/>
  <c r="AI188" i="62"/>
  <c r="AJ188" i="62" s="1"/>
  <c r="AE188" i="62"/>
  <c r="AD188" i="62" s="1"/>
  <c r="AJ187" i="62"/>
  <c r="AI187" i="62"/>
  <c r="AE187" i="62"/>
  <c r="AD187" i="62"/>
  <c r="AI186" i="62"/>
  <c r="AJ186" i="62" s="1"/>
  <c r="AE186" i="62"/>
  <c r="AD186" i="62" s="1"/>
  <c r="AJ185" i="62"/>
  <c r="AI185" i="62"/>
  <c r="AE185" i="62"/>
  <c r="AD185" i="62"/>
  <c r="AI184" i="62"/>
  <c r="AJ184" i="62" s="1"/>
  <c r="AE184" i="62"/>
  <c r="AD184" i="62" s="1"/>
  <c r="AJ183" i="62"/>
  <c r="AI183" i="62"/>
  <c r="AE183" i="62"/>
  <c r="AD183" i="62"/>
  <c r="AI182" i="62"/>
  <c r="AJ182" i="62" s="1"/>
  <c r="AE182" i="62"/>
  <c r="AD182" i="62" s="1"/>
  <c r="AJ181" i="62"/>
  <c r="AI181" i="62"/>
  <c r="AE181" i="62"/>
  <c r="AD181" i="62"/>
  <c r="AI180" i="62"/>
  <c r="AJ180" i="62" s="1"/>
  <c r="AE180" i="62"/>
  <c r="AD180" i="62" s="1"/>
  <c r="AJ179" i="62"/>
  <c r="AI179" i="62"/>
  <c r="AE179" i="62"/>
  <c r="AD179" i="62"/>
  <c r="AI178" i="62"/>
  <c r="AJ178" i="62" s="1"/>
  <c r="AE178" i="62"/>
  <c r="AD178" i="62" s="1"/>
  <c r="AJ177" i="62"/>
  <c r="AI177" i="62"/>
  <c r="AE177" i="62"/>
  <c r="AD177" i="62"/>
  <c r="AI176" i="62"/>
  <c r="AJ176" i="62" s="1"/>
  <c r="AE176" i="62"/>
  <c r="AD176" i="62" s="1"/>
  <c r="AJ175" i="62"/>
  <c r="AI175" i="62"/>
  <c r="AE175" i="62"/>
  <c r="AD175" i="62"/>
  <c r="AI174" i="62"/>
  <c r="AJ174" i="62" s="1"/>
  <c r="AE174" i="62"/>
  <c r="AD174" i="62" s="1"/>
  <c r="AJ173" i="62"/>
  <c r="AI173" i="62"/>
  <c r="AE173" i="62"/>
  <c r="AD173" i="62"/>
  <c r="AI172" i="62"/>
  <c r="AJ172" i="62" s="1"/>
  <c r="AE172" i="62"/>
  <c r="AD172" i="62" s="1"/>
  <c r="AJ171" i="62"/>
  <c r="AI171" i="62"/>
  <c r="AE171" i="62"/>
  <c r="AD171" i="62"/>
  <c r="AI170" i="62"/>
  <c r="AJ170" i="62" s="1"/>
  <c r="AE170" i="62"/>
  <c r="AD170" i="62" s="1"/>
  <c r="AJ169" i="62"/>
  <c r="AI169" i="62"/>
  <c r="AE169" i="62"/>
  <c r="AD169" i="62"/>
  <c r="AI168" i="62"/>
  <c r="AJ168" i="62" s="1"/>
  <c r="AE168" i="62"/>
  <c r="AD168" i="62" s="1"/>
  <c r="AJ167" i="62"/>
  <c r="AI167" i="62"/>
  <c r="AE167" i="62"/>
  <c r="AD167" i="62"/>
  <c r="AI166" i="62"/>
  <c r="AJ166" i="62" s="1"/>
  <c r="AE166" i="62"/>
  <c r="AD166" i="62" s="1"/>
  <c r="AJ165" i="62"/>
  <c r="AI165" i="62"/>
  <c r="AE165" i="62"/>
  <c r="AD165" i="62"/>
  <c r="AI164" i="62"/>
  <c r="AJ164" i="62" s="1"/>
  <c r="AE164" i="62"/>
  <c r="AD164" i="62" s="1"/>
  <c r="AJ163" i="62"/>
  <c r="AI163" i="62"/>
  <c r="AE163" i="62"/>
  <c r="AD163" i="62"/>
  <c r="AI162" i="62"/>
  <c r="AJ162" i="62" s="1"/>
  <c r="AE162" i="62"/>
  <c r="AD162" i="62" s="1"/>
  <c r="AJ161" i="62"/>
  <c r="AI161" i="62"/>
  <c r="AE161" i="62"/>
  <c r="AD161" i="62"/>
  <c r="AI160" i="62"/>
  <c r="AJ160" i="62" s="1"/>
  <c r="AE160" i="62"/>
  <c r="AD160" i="62" s="1"/>
  <c r="AJ159" i="62"/>
  <c r="AI159" i="62"/>
  <c r="AE159" i="62"/>
  <c r="AD159" i="62"/>
  <c r="AI158" i="62"/>
  <c r="AJ158" i="62" s="1"/>
  <c r="AE158" i="62"/>
  <c r="AD158" i="62" s="1"/>
  <c r="AJ157" i="62"/>
  <c r="AI157" i="62"/>
  <c r="AE157" i="62"/>
  <c r="AD157" i="62"/>
  <c r="AI156" i="62"/>
  <c r="AJ156" i="62" s="1"/>
  <c r="AE156" i="62"/>
  <c r="AD156" i="62" s="1"/>
  <c r="AJ155" i="62"/>
  <c r="AI155" i="62"/>
  <c r="AE155" i="62"/>
  <c r="AD155" i="62"/>
  <c r="AI154" i="62"/>
  <c r="AJ154" i="62" s="1"/>
  <c r="AE154" i="62"/>
  <c r="AD154" i="62" s="1"/>
  <c r="AJ153" i="62"/>
  <c r="AI153" i="62"/>
  <c r="AE153" i="62"/>
  <c r="AD153" i="62"/>
  <c r="AI152" i="62"/>
  <c r="AJ152" i="62" s="1"/>
  <c r="AE152" i="62"/>
  <c r="AD152" i="62" s="1"/>
  <c r="AJ151" i="62"/>
  <c r="AI151" i="62"/>
  <c r="AE151" i="62"/>
  <c r="AD151" i="62"/>
  <c r="AI150" i="62"/>
  <c r="AJ150" i="62" s="1"/>
  <c r="AE150" i="62"/>
  <c r="AD150" i="62" s="1"/>
  <c r="AJ149" i="62"/>
  <c r="AI149" i="62"/>
  <c r="AE149" i="62"/>
  <c r="AD149" i="62"/>
  <c r="AI148" i="62"/>
  <c r="AJ148" i="62" s="1"/>
  <c r="AE148" i="62"/>
  <c r="AD148" i="62" s="1"/>
  <c r="AJ147" i="62"/>
  <c r="AI147" i="62"/>
  <c r="AE147" i="62"/>
  <c r="AD147" i="62"/>
  <c r="AI146" i="62"/>
  <c r="AJ146" i="62" s="1"/>
  <c r="AE146" i="62"/>
  <c r="AD146" i="62" s="1"/>
  <c r="AJ145" i="62"/>
  <c r="AI145" i="62"/>
  <c r="AE145" i="62"/>
  <c r="AD145" i="62"/>
  <c r="AI144" i="62"/>
  <c r="AJ144" i="62" s="1"/>
  <c r="AE144" i="62"/>
  <c r="AD144" i="62" s="1"/>
  <c r="AJ143" i="62"/>
  <c r="AI143" i="62"/>
  <c r="AE143" i="62"/>
  <c r="AD143" i="62"/>
  <c r="AI142" i="62"/>
  <c r="AJ142" i="62" s="1"/>
  <c r="AE142" i="62"/>
  <c r="AD142" i="62" s="1"/>
  <c r="AJ141" i="62"/>
  <c r="AI141" i="62"/>
  <c r="AE141" i="62"/>
  <c r="AD141" i="62"/>
  <c r="AI140" i="62"/>
  <c r="AJ140" i="62" s="1"/>
  <c r="AE140" i="62"/>
  <c r="AD140" i="62" s="1"/>
  <c r="AJ139" i="62"/>
  <c r="AI139" i="62"/>
  <c r="AE139" i="62"/>
  <c r="AD139" i="62"/>
  <c r="AI138" i="62"/>
  <c r="AJ138" i="62" s="1"/>
  <c r="AE138" i="62"/>
  <c r="AD138" i="62" s="1"/>
  <c r="AJ137" i="62"/>
  <c r="AI137" i="62"/>
  <c r="AE137" i="62"/>
  <c r="AD137" i="62"/>
  <c r="AI136" i="62"/>
  <c r="AJ136" i="62" s="1"/>
  <c r="AE136" i="62"/>
  <c r="AD136" i="62" s="1"/>
  <c r="AJ135" i="62"/>
  <c r="AI135" i="62"/>
  <c r="AE135" i="62"/>
  <c r="AD135" i="62"/>
  <c r="AI134" i="62"/>
  <c r="AJ134" i="62" s="1"/>
  <c r="AE134" i="62"/>
  <c r="AD134" i="62" s="1"/>
  <c r="AJ133" i="62"/>
  <c r="AI133" i="62"/>
  <c r="AE133" i="62"/>
  <c r="AD133" i="62"/>
  <c r="AI132" i="62"/>
  <c r="AJ132" i="62" s="1"/>
  <c r="AE132" i="62"/>
  <c r="AD132" i="62" s="1"/>
  <c r="AJ131" i="62"/>
  <c r="AI131" i="62"/>
  <c r="AE131" i="62"/>
  <c r="AD131" i="62"/>
  <c r="AI130" i="62"/>
  <c r="AJ130" i="62" s="1"/>
  <c r="AE130" i="62"/>
  <c r="AD130" i="62" s="1"/>
  <c r="AJ129" i="62"/>
  <c r="AI129" i="62"/>
  <c r="AE129" i="62"/>
  <c r="AD129" i="62"/>
  <c r="AI128" i="62"/>
  <c r="AJ128" i="62" s="1"/>
  <c r="AE128" i="62"/>
  <c r="AD128" i="62" s="1"/>
  <c r="AJ127" i="62"/>
  <c r="AI127" i="62"/>
  <c r="AE127" i="62"/>
  <c r="AD127" i="62"/>
  <c r="AI126" i="62"/>
  <c r="AJ126" i="62" s="1"/>
  <c r="AE126" i="62"/>
  <c r="AD126" i="62" s="1"/>
  <c r="AJ125" i="62"/>
  <c r="AI125" i="62"/>
  <c r="AE125" i="62"/>
  <c r="AD125" i="62"/>
  <c r="AI124" i="62"/>
  <c r="AJ124" i="62" s="1"/>
  <c r="AE124" i="62"/>
  <c r="AD124" i="62" s="1"/>
  <c r="AJ123" i="62"/>
  <c r="AI123" i="62"/>
  <c r="AE123" i="62"/>
  <c r="AD123" i="62"/>
  <c r="AI122" i="62"/>
  <c r="AJ122" i="62" s="1"/>
  <c r="AE122" i="62"/>
  <c r="AD122" i="62" s="1"/>
  <c r="AI121" i="62"/>
  <c r="AJ121" i="62" s="1"/>
  <c r="AE121" i="62"/>
  <c r="AD121" i="62"/>
  <c r="AI120" i="62"/>
  <c r="AJ120" i="62" s="1"/>
  <c r="AE120" i="62"/>
  <c r="AD120" i="62"/>
  <c r="AI119" i="62"/>
  <c r="AJ119" i="62" s="1"/>
  <c r="AE119" i="62"/>
  <c r="AD119" i="62"/>
  <c r="AI118" i="62"/>
  <c r="AJ118" i="62" s="1"/>
  <c r="AE118" i="62"/>
  <c r="AD118" i="62"/>
  <c r="AI117" i="62"/>
  <c r="AJ117" i="62" s="1"/>
  <c r="AE117" i="62"/>
  <c r="AD117" i="62"/>
  <c r="AI116" i="62"/>
  <c r="AJ116" i="62" s="1"/>
  <c r="AE116" i="62"/>
  <c r="AD116" i="62"/>
  <c r="AI115" i="62"/>
  <c r="AJ115" i="62" s="1"/>
  <c r="AE115" i="62"/>
  <c r="AD115" i="62"/>
  <c r="AI114" i="62"/>
  <c r="AJ114" i="62" s="1"/>
  <c r="AE114" i="62"/>
  <c r="AD114" i="62"/>
  <c r="AI113" i="62"/>
  <c r="AJ113" i="62" s="1"/>
  <c r="AE113" i="62"/>
  <c r="AD113" i="62"/>
  <c r="AI112" i="62"/>
  <c r="AJ112" i="62" s="1"/>
  <c r="AE112" i="62"/>
  <c r="AD112" i="62"/>
  <c r="AI111" i="62"/>
  <c r="AJ111" i="62" s="1"/>
  <c r="AE111" i="62"/>
  <c r="AD111" i="62"/>
  <c r="AI110" i="62"/>
  <c r="AJ110" i="62" s="1"/>
  <c r="AE110" i="62"/>
  <c r="AD110" i="62"/>
  <c r="AI109" i="62"/>
  <c r="AJ109" i="62" s="1"/>
  <c r="AE109" i="62"/>
  <c r="AD109" i="62"/>
  <c r="AI108" i="62"/>
  <c r="AJ108" i="62" s="1"/>
  <c r="AE108" i="62"/>
  <c r="AD108" i="62"/>
  <c r="AI107" i="62"/>
  <c r="AJ107" i="62" s="1"/>
  <c r="AE107" i="62"/>
  <c r="AD107" i="62"/>
  <c r="AI106" i="62"/>
  <c r="AJ106" i="62" s="1"/>
  <c r="AE106" i="62"/>
  <c r="AD106" i="62"/>
  <c r="AI105" i="62"/>
  <c r="AJ105" i="62" s="1"/>
  <c r="AE105" i="62"/>
  <c r="AD105" i="62"/>
  <c r="AI104" i="62"/>
  <c r="AJ104" i="62" s="1"/>
  <c r="AE104" i="62"/>
  <c r="AD104" i="62"/>
  <c r="AI103" i="62"/>
  <c r="AJ103" i="62" s="1"/>
  <c r="AE103" i="62"/>
  <c r="AD103" i="62"/>
  <c r="AI102" i="62"/>
  <c r="AJ102" i="62" s="1"/>
  <c r="AE102" i="62"/>
  <c r="AD102" i="62"/>
  <c r="AI101" i="62"/>
  <c r="AJ101" i="62" s="1"/>
  <c r="AE101" i="62"/>
  <c r="AD101" i="62"/>
  <c r="AI100" i="62"/>
  <c r="AJ100" i="62" s="1"/>
  <c r="AE100" i="62"/>
  <c r="AD100" i="62"/>
  <c r="AI99" i="62"/>
  <c r="AJ99" i="62" s="1"/>
  <c r="AE99" i="62"/>
  <c r="AD99" i="62"/>
  <c r="AI98" i="62"/>
  <c r="AJ98" i="62" s="1"/>
  <c r="AE98" i="62"/>
  <c r="AD98" i="62" s="1"/>
  <c r="AJ97" i="62"/>
  <c r="AI97" i="62"/>
  <c r="AE97" i="62"/>
  <c r="AD97" i="62"/>
  <c r="AI96" i="62"/>
  <c r="AJ96" i="62" s="1"/>
  <c r="AE96" i="62"/>
  <c r="AD96" i="62" s="1"/>
  <c r="AJ95" i="62"/>
  <c r="AI95" i="62"/>
  <c r="AE95" i="62"/>
  <c r="AD95" i="62"/>
  <c r="AI94" i="62"/>
  <c r="AJ94" i="62" s="1"/>
  <c r="AE94" i="62"/>
  <c r="AD94" i="62" s="1"/>
  <c r="AJ93" i="62"/>
  <c r="AI93" i="62"/>
  <c r="AE93" i="62"/>
  <c r="AD93" i="62"/>
  <c r="AI92" i="62"/>
  <c r="AJ92" i="62" s="1"/>
  <c r="AE92" i="62"/>
  <c r="AD92" i="62" s="1"/>
  <c r="AJ91" i="62"/>
  <c r="AI91" i="62"/>
  <c r="AE91" i="62"/>
  <c r="AD91" i="62"/>
  <c r="AI90" i="62"/>
  <c r="AJ90" i="62" s="1"/>
  <c r="AE90" i="62"/>
  <c r="AD90" i="62" s="1"/>
  <c r="AJ89" i="62"/>
  <c r="AI89" i="62"/>
  <c r="AE89" i="62"/>
  <c r="AD89" i="62"/>
  <c r="AI88" i="62"/>
  <c r="AJ88" i="62" s="1"/>
  <c r="AE88" i="62"/>
  <c r="AD88" i="62"/>
  <c r="AI87" i="62"/>
  <c r="AJ87" i="62" s="1"/>
  <c r="AE87" i="62"/>
  <c r="AD87" i="62"/>
  <c r="AI86" i="62"/>
  <c r="AJ86" i="62" s="1"/>
  <c r="AE86" i="62"/>
  <c r="AD86" i="62"/>
  <c r="AI85" i="62"/>
  <c r="AJ85" i="62" s="1"/>
  <c r="AE85" i="62"/>
  <c r="AD85" i="62"/>
  <c r="AI84" i="62"/>
  <c r="AJ84" i="62" s="1"/>
  <c r="AE84" i="62"/>
  <c r="AD84" i="62"/>
  <c r="AI83" i="62"/>
  <c r="AJ83" i="62" s="1"/>
  <c r="AE83" i="62"/>
  <c r="AD83" i="62"/>
  <c r="AI82" i="62"/>
  <c r="AJ82" i="62" s="1"/>
  <c r="AE82" i="62"/>
  <c r="AD82" i="62"/>
  <c r="AI81" i="62"/>
  <c r="AJ81" i="62" s="1"/>
  <c r="AE81" i="62"/>
  <c r="AD81" i="62"/>
  <c r="AI80" i="62"/>
  <c r="AJ80" i="62" s="1"/>
  <c r="AE80" i="62"/>
  <c r="AD80" i="62"/>
  <c r="AI79" i="62"/>
  <c r="AJ79" i="62" s="1"/>
  <c r="AE79" i="62"/>
  <c r="AD79" i="62"/>
  <c r="AI78" i="62"/>
  <c r="AJ78" i="62" s="1"/>
  <c r="AE78" i="62"/>
  <c r="AD78" i="62"/>
  <c r="AI77" i="62"/>
  <c r="AJ77" i="62" s="1"/>
  <c r="AE77" i="62"/>
  <c r="AD77" i="62"/>
  <c r="AI76" i="62"/>
  <c r="AJ76" i="62" s="1"/>
  <c r="AE76" i="62"/>
  <c r="AD76" i="62"/>
  <c r="AI75" i="62"/>
  <c r="AJ75" i="62" s="1"/>
  <c r="AE75" i="62"/>
  <c r="AD75" i="62"/>
  <c r="AI74" i="62"/>
  <c r="AJ74" i="62" s="1"/>
  <c r="AE74" i="62"/>
  <c r="AD74" i="62"/>
  <c r="AI73" i="62"/>
  <c r="AJ73" i="62" s="1"/>
  <c r="AE73" i="62"/>
  <c r="AD73" i="62"/>
  <c r="AI72" i="62"/>
  <c r="AJ72" i="62" s="1"/>
  <c r="AE72" i="62"/>
  <c r="AD72" i="62"/>
  <c r="AI71" i="62"/>
  <c r="AJ71" i="62" s="1"/>
  <c r="AE71" i="62"/>
  <c r="AD71" i="62"/>
  <c r="AI70" i="62"/>
  <c r="AJ70" i="62" s="1"/>
  <c r="AE70" i="62"/>
  <c r="AD70" i="62"/>
  <c r="AI69" i="62"/>
  <c r="AJ69" i="62" s="1"/>
  <c r="AE69" i="62"/>
  <c r="AD69" i="62"/>
  <c r="AI68" i="62"/>
  <c r="AJ68" i="62" s="1"/>
  <c r="AE68" i="62"/>
  <c r="AD68" i="62"/>
  <c r="AI67" i="62"/>
  <c r="AJ67" i="62" s="1"/>
  <c r="AE67" i="62"/>
  <c r="AD67" i="62"/>
  <c r="AI66" i="62"/>
  <c r="AJ66" i="62" s="1"/>
  <c r="AE66" i="62"/>
  <c r="AD66" i="62"/>
  <c r="AI65" i="62"/>
  <c r="AJ65" i="62" s="1"/>
  <c r="AE65" i="62"/>
  <c r="AD65" i="62"/>
  <c r="AI64" i="62"/>
  <c r="AJ64" i="62" s="1"/>
  <c r="AE64" i="62"/>
  <c r="AD64" i="62"/>
  <c r="AI63" i="62"/>
  <c r="AJ63" i="62" s="1"/>
  <c r="AE63" i="62"/>
  <c r="AD63" i="62"/>
  <c r="AI62" i="62"/>
  <c r="AJ62" i="62" s="1"/>
  <c r="AE62" i="62"/>
  <c r="AD62" i="62"/>
  <c r="AI61" i="62"/>
  <c r="AJ61" i="62" s="1"/>
  <c r="AE61" i="62"/>
  <c r="AD61" i="62"/>
  <c r="AI60" i="62"/>
  <c r="AJ60" i="62" s="1"/>
  <c r="AE60" i="62"/>
  <c r="AD60" i="62"/>
  <c r="AI59" i="62"/>
  <c r="AJ59" i="62" s="1"/>
  <c r="AE59" i="62"/>
  <c r="AD59" i="62"/>
  <c r="AI58" i="62"/>
  <c r="AJ58" i="62" s="1"/>
  <c r="AE58" i="62"/>
  <c r="AD58" i="62"/>
  <c r="AI57" i="62"/>
  <c r="AJ57" i="62" s="1"/>
  <c r="AE57" i="62"/>
  <c r="AD57" i="62"/>
  <c r="AI56" i="62"/>
  <c r="AJ56" i="62" s="1"/>
  <c r="AE56" i="62"/>
  <c r="AD56" i="62"/>
  <c r="AI55" i="62"/>
  <c r="AJ55" i="62" s="1"/>
  <c r="AE55" i="62"/>
  <c r="AD55" i="62"/>
  <c r="AI54" i="62"/>
  <c r="AJ54" i="62" s="1"/>
  <c r="AE54" i="62"/>
  <c r="AD54" i="62"/>
  <c r="AI53" i="62"/>
  <c r="AJ53" i="62" s="1"/>
  <c r="AE53" i="62"/>
  <c r="AD53" i="62"/>
  <c r="AI52" i="62"/>
  <c r="AJ52" i="62" s="1"/>
  <c r="AE52" i="62"/>
  <c r="AD52" i="62"/>
  <c r="AI51" i="62"/>
  <c r="AJ51" i="62" s="1"/>
  <c r="AE51" i="62"/>
  <c r="AD51" i="62"/>
  <c r="AI50" i="62"/>
  <c r="AJ50" i="62" s="1"/>
  <c r="AE50" i="62"/>
  <c r="AD50" i="62"/>
  <c r="AJ49" i="62"/>
  <c r="AI49" i="62"/>
  <c r="AE49" i="62"/>
  <c r="AD49" i="62"/>
  <c r="AI48" i="62"/>
  <c r="AJ48" i="62" s="1"/>
  <c r="AE48" i="62"/>
  <c r="AD48" i="62" s="1"/>
  <c r="AJ47" i="62"/>
  <c r="AI47" i="62"/>
  <c r="AE47" i="62"/>
  <c r="AD47" i="62"/>
  <c r="AI46" i="62"/>
  <c r="AJ46" i="62" s="1"/>
  <c r="AE46" i="62"/>
  <c r="AD46" i="62" s="1"/>
  <c r="AJ45" i="62"/>
  <c r="AI45" i="62"/>
  <c r="AE45" i="62"/>
  <c r="AD45" i="62"/>
  <c r="AI44" i="62"/>
  <c r="AJ44" i="62" s="1"/>
  <c r="AE44" i="62"/>
  <c r="AD44" i="62" s="1"/>
  <c r="AJ43" i="62"/>
  <c r="AI43" i="62"/>
  <c r="AE43" i="62"/>
  <c r="AD43" i="62"/>
  <c r="AI42" i="62"/>
  <c r="AJ42" i="62" s="1"/>
  <c r="AE42" i="62"/>
  <c r="AD42" i="62" s="1"/>
  <c r="AJ41" i="62"/>
  <c r="AI41" i="62"/>
  <c r="AE41" i="62"/>
  <c r="AD41" i="62"/>
  <c r="AI40" i="62"/>
  <c r="AJ40" i="62" s="1"/>
  <c r="AE40" i="62"/>
  <c r="AD40" i="62" s="1"/>
  <c r="AJ39" i="62"/>
  <c r="AI39" i="62"/>
  <c r="AE39" i="62"/>
  <c r="AD39" i="62"/>
  <c r="AI38" i="62"/>
  <c r="AJ38" i="62" s="1"/>
  <c r="AE38" i="62"/>
  <c r="AD38" i="62" s="1"/>
  <c r="AJ37" i="62"/>
  <c r="AI37" i="62"/>
  <c r="AE37" i="62"/>
  <c r="AD37" i="62"/>
  <c r="AI36" i="62"/>
  <c r="AJ36" i="62" s="1"/>
  <c r="AE36" i="62"/>
  <c r="AD36" i="62" s="1"/>
  <c r="AJ35" i="62"/>
  <c r="AI35" i="62"/>
  <c r="AE35" i="62"/>
  <c r="AD35" i="62"/>
  <c r="AI34" i="62"/>
  <c r="AJ34" i="62" s="1"/>
  <c r="AE34" i="62"/>
  <c r="AD34" i="62" s="1"/>
  <c r="AJ33" i="62"/>
  <c r="AI33" i="62"/>
  <c r="AE33" i="62"/>
  <c r="AD33" i="62"/>
  <c r="AJ32" i="62"/>
  <c r="AI32" i="62"/>
  <c r="AE32" i="62"/>
  <c r="AD32" i="62"/>
  <c r="AI31" i="62"/>
  <c r="AJ31" i="62" s="1"/>
  <c r="AE31" i="62"/>
  <c r="AD31" i="62" s="1"/>
  <c r="AJ30" i="62"/>
  <c r="AI30" i="62"/>
  <c r="AE30" i="62"/>
  <c r="AD30" i="62"/>
  <c r="AI29" i="62"/>
  <c r="AJ29" i="62" s="1"/>
  <c r="AE29" i="62"/>
  <c r="AD29" i="62" s="1"/>
  <c r="AJ28" i="62"/>
  <c r="AI28" i="62"/>
  <c r="AE28" i="62"/>
  <c r="AD28" i="62"/>
  <c r="AI27" i="62"/>
  <c r="AJ27" i="62" s="1"/>
  <c r="AE27" i="62"/>
  <c r="AD27" i="62" s="1"/>
  <c r="AJ26" i="62"/>
  <c r="AI26" i="62"/>
  <c r="AE26" i="62"/>
  <c r="AD26" i="62"/>
  <c r="AJ25" i="62"/>
  <c r="AI25" i="62"/>
  <c r="AE25" i="62"/>
  <c r="AD25" i="62" s="1"/>
  <c r="AJ24" i="62"/>
  <c r="AI24" i="62"/>
  <c r="AE24" i="62"/>
  <c r="AD24" i="62"/>
  <c r="AJ23" i="62"/>
  <c r="AI23" i="62"/>
  <c r="AE23" i="62"/>
  <c r="AD23" i="62"/>
  <c r="AJ22" i="62"/>
  <c r="AI22" i="62"/>
  <c r="AE22" i="62"/>
  <c r="AD22" i="62"/>
  <c r="AJ21" i="62"/>
  <c r="AI21" i="62"/>
  <c r="AE21" i="62"/>
  <c r="AD21" i="62"/>
  <c r="AI20" i="62"/>
  <c r="AJ20" i="62" s="1"/>
  <c r="AE20" i="62"/>
  <c r="AD20" i="62" s="1"/>
  <c r="AI19" i="62"/>
  <c r="AJ19" i="62" s="1"/>
  <c r="AE19" i="62"/>
  <c r="AD19" i="62" s="1"/>
  <c r="AJ18" i="62"/>
  <c r="AI18" i="62"/>
  <c r="AE18" i="62"/>
  <c r="AD18" i="62"/>
  <c r="AN17" i="62"/>
  <c r="AM17" i="62"/>
  <c r="AO17" i="62" s="1"/>
  <c r="AJ17" i="62"/>
  <c r="AI17" i="62"/>
  <c r="AE17" i="62"/>
  <c r="AD17" i="62"/>
  <c r="AI16" i="62"/>
  <c r="AJ16" i="62" s="1"/>
  <c r="AE16" i="62"/>
  <c r="AD16" i="62" s="1"/>
  <c r="AJ15" i="62"/>
  <c r="AI15" i="62"/>
  <c r="AE15" i="62"/>
  <c r="AD15" i="62"/>
  <c r="AI14" i="62"/>
  <c r="AJ14" i="62" s="1"/>
  <c r="AE14" i="62"/>
  <c r="AD14" i="62" s="1"/>
  <c r="AJ13" i="62"/>
  <c r="AI13" i="62"/>
  <c r="AE13" i="62"/>
  <c r="AD13" i="62"/>
  <c r="AI12" i="62"/>
  <c r="AJ12" i="62" s="1"/>
  <c r="AE12" i="62"/>
  <c r="AD12" i="62" s="1"/>
  <c r="AJ11" i="62"/>
  <c r="AI11" i="62"/>
  <c r="AE11" i="62"/>
  <c r="AD11" i="62"/>
  <c r="AI10" i="62"/>
  <c r="AJ10" i="62" s="1"/>
  <c r="AE10" i="62"/>
  <c r="AD10" i="62" s="1"/>
  <c r="B10" i="62"/>
  <c r="E10" i="62" s="1"/>
  <c r="AJ9" i="62"/>
  <c r="AI9" i="62"/>
  <c r="AE9" i="62"/>
  <c r="AD9" i="62"/>
  <c r="B9" i="62"/>
  <c r="AI8" i="62"/>
  <c r="AJ8" i="62" s="1"/>
  <c r="AE8" i="62"/>
  <c r="AD8" i="62" s="1"/>
  <c r="M8" i="62"/>
  <c r="L8" i="62"/>
  <c r="K8" i="62"/>
  <c r="G8" i="62"/>
  <c r="G9" i="62" s="1"/>
  <c r="E8" i="62"/>
  <c r="AJ7" i="62"/>
  <c r="AI7" i="62"/>
  <c r="AE7" i="62"/>
  <c r="AD7" i="62" s="1"/>
  <c r="D7" i="62"/>
  <c r="I6" i="62" s="1"/>
  <c r="C7" i="62"/>
  <c r="H6" i="62" s="1"/>
  <c r="AJ6" i="62"/>
  <c r="AI6" i="62"/>
  <c r="AE6" i="62"/>
  <c r="AD6" i="62" s="1"/>
  <c r="AJ5" i="62"/>
  <c r="AI5" i="62"/>
  <c r="AE5" i="62"/>
  <c r="AD5" i="62" s="1"/>
  <c r="AJ4" i="62"/>
  <c r="AI4" i="62"/>
  <c r="AE4" i="62"/>
  <c r="AD4" i="62" s="1"/>
  <c r="AJ3" i="62"/>
  <c r="AI3" i="62"/>
  <c r="AE3" i="62"/>
  <c r="AD3" i="62"/>
  <c r="AJ2" i="62"/>
  <c r="AI2" i="62"/>
  <c r="AE2" i="62"/>
  <c r="AD2" i="62" s="1"/>
  <c r="E9" i="62" l="1"/>
  <c r="M9" i="62"/>
  <c r="G10" i="62"/>
  <c r="AM20" i="62"/>
  <c r="AM19" i="62"/>
  <c r="AM22" i="62"/>
  <c r="AM21" i="62"/>
  <c r="W8" i="62"/>
  <c r="K9" i="62"/>
  <c r="M10" i="62"/>
  <c r="L9" i="62"/>
  <c r="B11" i="62"/>
  <c r="AN21" i="62" l="1"/>
  <c r="G11" i="62"/>
  <c r="K10" i="62"/>
  <c r="L10" i="62"/>
  <c r="W9" i="62"/>
  <c r="AM23" i="62"/>
  <c r="AN22" i="62" s="1"/>
  <c r="AN19" i="62"/>
  <c r="M11" i="62"/>
  <c r="B12" i="62"/>
  <c r="E11" i="62"/>
  <c r="AN20" i="62"/>
  <c r="AO20" i="62" s="1"/>
  <c r="L11" i="62" l="1"/>
  <c r="K11" i="62"/>
  <c r="AO22" i="62"/>
  <c r="S8" i="62" s="1"/>
  <c r="E12" i="62"/>
  <c r="B13" i="62"/>
  <c r="M12" i="62"/>
  <c r="G12" i="62"/>
  <c r="W10" i="62"/>
  <c r="T8" i="62" l="1"/>
  <c r="U8" i="62"/>
  <c r="G13" i="62"/>
  <c r="K12" i="62"/>
  <c r="L12" i="62"/>
  <c r="S9" i="62"/>
  <c r="W11" i="62"/>
  <c r="M13" i="62"/>
  <c r="E13" i="62"/>
  <c r="B14" i="62"/>
  <c r="S10" i="62"/>
  <c r="T11" i="62"/>
  <c r="U11" i="62"/>
  <c r="T12" i="62" l="1"/>
  <c r="W12" i="62"/>
  <c r="U12" i="62"/>
  <c r="G14" i="62"/>
  <c r="U10" i="62"/>
  <c r="T10" i="62"/>
  <c r="E14" i="62"/>
  <c r="B15" i="62"/>
  <c r="M14" i="62"/>
  <c r="L13" i="62"/>
  <c r="K13" i="62"/>
  <c r="U9" i="62"/>
  <c r="T9" i="62"/>
  <c r="U13" i="62" l="1"/>
  <c r="G15" i="62"/>
  <c r="K14" i="62"/>
  <c r="L14" i="62"/>
  <c r="W13" i="62"/>
  <c r="M15" i="62"/>
  <c r="E15" i="62"/>
  <c r="B16" i="62"/>
  <c r="T13" i="62"/>
  <c r="T15" i="62" l="1"/>
  <c r="W14" i="62"/>
  <c r="G16" i="62"/>
  <c r="U14" i="62"/>
  <c r="T14" i="62"/>
  <c r="E16" i="62"/>
  <c r="B17" i="62"/>
  <c r="M16" i="62"/>
  <c r="L15" i="62"/>
  <c r="K15" i="62"/>
  <c r="W15" i="62" l="1"/>
  <c r="K16" i="62"/>
  <c r="L16" i="62"/>
  <c r="G17" i="62"/>
  <c r="U15" i="62"/>
  <c r="B18" i="62"/>
  <c r="M17" i="62"/>
  <c r="E17" i="62"/>
  <c r="T16" i="62" l="1"/>
  <c r="T17" i="62"/>
  <c r="U17" i="62"/>
  <c r="G18" i="62"/>
  <c r="L17" i="62"/>
  <c r="K17" i="62"/>
  <c r="W16" i="62"/>
  <c r="E18" i="62"/>
  <c r="B19" i="62"/>
  <c r="M18" i="62"/>
  <c r="U16" i="62"/>
  <c r="L18" i="62" l="1"/>
  <c r="K18" i="62"/>
  <c r="W17" i="62"/>
  <c r="G19" i="62"/>
  <c r="M19" i="62"/>
  <c r="B20" i="62"/>
  <c r="E19" i="62"/>
  <c r="T19" i="62" l="1"/>
  <c r="U18" i="62"/>
  <c r="T18" i="62"/>
  <c r="L19" i="62"/>
  <c r="K19" i="62"/>
  <c r="G20" i="62"/>
  <c r="W18" i="62"/>
  <c r="B21" i="62"/>
  <c r="M20" i="62"/>
  <c r="E20" i="62"/>
  <c r="U19" i="62" l="1"/>
  <c r="T20" i="62"/>
  <c r="L20" i="62"/>
  <c r="K20" i="62"/>
  <c r="G21" i="62"/>
  <c r="M21" i="62"/>
  <c r="B22" i="62"/>
  <c r="E21" i="62"/>
  <c r="W19" i="62"/>
  <c r="U20" i="62" l="1"/>
  <c r="L21" i="62"/>
  <c r="K21" i="62"/>
  <c r="W20" i="62"/>
  <c r="B23" i="62"/>
  <c r="M22" i="62"/>
  <c r="E22" i="62"/>
  <c r="G22" i="62"/>
  <c r="T22" i="62" l="1"/>
  <c r="B24" i="62"/>
  <c r="E23" i="62"/>
  <c r="M23" i="62"/>
  <c r="W21" i="62"/>
  <c r="U21" i="62"/>
  <c r="G23" i="62"/>
  <c r="L22" i="62"/>
  <c r="K22" i="62"/>
  <c r="T21" i="62"/>
  <c r="W22" i="62" l="1"/>
  <c r="M24" i="62"/>
  <c r="B25" i="62"/>
  <c r="E24" i="62"/>
  <c r="G24" i="62"/>
  <c r="U22" i="62"/>
  <c r="L23" i="62"/>
  <c r="K23" i="62"/>
  <c r="T23" i="62" l="1"/>
  <c r="U23" i="62"/>
  <c r="U24" i="62"/>
  <c r="L24" i="62"/>
  <c r="K24" i="62"/>
  <c r="G25" i="62"/>
  <c r="B26" i="62"/>
  <c r="E25" i="62"/>
  <c r="M25" i="62"/>
  <c r="W23" i="62"/>
  <c r="T24" i="62" l="1"/>
  <c r="G26" i="62"/>
  <c r="W24" i="62"/>
  <c r="L25" i="62"/>
  <c r="K25" i="62"/>
  <c r="M26" i="62"/>
  <c r="E26" i="62"/>
  <c r="B27" i="62"/>
  <c r="G27" i="62" l="1"/>
  <c r="M27" i="62"/>
  <c r="B28" i="62"/>
  <c r="E27" i="62"/>
  <c r="L26" i="62"/>
  <c r="K26" i="62"/>
  <c r="T25" i="62"/>
  <c r="U25" i="62"/>
  <c r="W25" i="62"/>
  <c r="T27" i="62" l="1"/>
  <c r="W26" i="62"/>
  <c r="T26" i="62"/>
  <c r="E28" i="62"/>
  <c r="M28" i="62"/>
  <c r="B29" i="62"/>
  <c r="U26" i="62"/>
  <c r="K27" i="62"/>
  <c r="L27" i="62"/>
  <c r="U27" i="62" l="1"/>
  <c r="B30" i="62"/>
  <c r="M29" i="62"/>
  <c r="E29" i="62"/>
  <c r="W27" i="62"/>
  <c r="K28" i="62"/>
  <c r="L28" i="62"/>
  <c r="L29" i="62" l="1"/>
  <c r="K29" i="62"/>
  <c r="E30" i="62"/>
  <c r="B31" i="62"/>
  <c r="M30" i="62"/>
  <c r="U28" i="62"/>
  <c r="T28" i="62"/>
  <c r="T30" i="62" l="1"/>
  <c r="U30" i="62"/>
  <c r="K30" i="62"/>
  <c r="L30" i="62"/>
  <c r="B32" i="62"/>
  <c r="M31" i="62"/>
  <c r="E31" i="62"/>
  <c r="T29" i="62"/>
  <c r="U29" i="62"/>
  <c r="T31" i="62" l="1"/>
  <c r="U31" i="62"/>
  <c r="L31" i="62"/>
  <c r="K31" i="62"/>
  <c r="E32" i="62"/>
  <c r="B33" i="62"/>
  <c r="M32" i="62"/>
  <c r="T32" i="62" l="1"/>
  <c r="U32" i="62"/>
  <c r="E33" i="62"/>
  <c r="B34" i="62"/>
  <c r="M33" i="62"/>
  <c r="K32" i="62"/>
  <c r="L32" i="62"/>
  <c r="T33" i="62" l="1"/>
  <c r="E34" i="62"/>
  <c r="B35" i="62"/>
  <c r="M34" i="62"/>
  <c r="L33" i="62"/>
  <c r="K33" i="62"/>
  <c r="U33" i="62" l="1"/>
  <c r="L34" i="62"/>
  <c r="K34" i="62"/>
  <c r="E35" i="62"/>
  <c r="M35" i="62"/>
  <c r="B36" i="62"/>
  <c r="U34" i="62" l="1"/>
  <c r="T34" i="62"/>
  <c r="L35" i="62"/>
  <c r="K35" i="62"/>
  <c r="E36" i="62"/>
  <c r="B37" i="62"/>
  <c r="M36" i="62"/>
  <c r="U35" i="62" l="1"/>
  <c r="T35" i="62"/>
  <c r="T36" i="62"/>
  <c r="U36" i="62"/>
  <c r="L36" i="62"/>
  <c r="K36" i="62"/>
  <c r="E37" i="62"/>
  <c r="M37" i="62"/>
  <c r="B38" i="62"/>
  <c r="E38" i="62" l="1"/>
  <c r="B39" i="62"/>
  <c r="M38" i="62"/>
  <c r="L37" i="62"/>
  <c r="K37" i="62"/>
  <c r="T37" i="62" l="1"/>
  <c r="U37" i="62"/>
  <c r="T38" i="62"/>
  <c r="L38" i="62"/>
  <c r="K38" i="62"/>
  <c r="E39" i="62"/>
  <c r="B40" i="62"/>
  <c r="M39" i="62"/>
  <c r="U38" i="62" l="1"/>
  <c r="T39" i="62"/>
  <c r="U39" i="62"/>
  <c r="L39" i="62"/>
  <c r="K39" i="62"/>
  <c r="E40" i="62"/>
  <c r="B41" i="62"/>
  <c r="M40" i="62"/>
  <c r="T40" i="62" l="1"/>
  <c r="L40" i="62"/>
  <c r="K40" i="62"/>
  <c r="E41" i="62"/>
  <c r="M41" i="62"/>
  <c r="B42" i="62"/>
  <c r="U40" i="62" l="1"/>
  <c r="T41" i="62"/>
  <c r="E42" i="62"/>
  <c r="B43" i="62"/>
  <c r="M42" i="62"/>
  <c r="L41" i="62"/>
  <c r="K41" i="62"/>
  <c r="U41" i="62" l="1"/>
  <c r="L42" i="62"/>
  <c r="K42" i="62"/>
  <c r="E43" i="62"/>
  <c r="M43" i="62"/>
  <c r="B44" i="62"/>
  <c r="U42" i="62" l="1"/>
  <c r="T42" i="62"/>
  <c r="E44" i="62"/>
  <c r="B45" i="62"/>
  <c r="M44" i="62"/>
  <c r="L43" i="62"/>
  <c r="K43" i="62"/>
  <c r="U43" i="62" l="1"/>
  <c r="T43" i="62"/>
  <c r="E45" i="62"/>
  <c r="B46" i="62"/>
  <c r="M45" i="62"/>
  <c r="L44" i="62"/>
  <c r="K44" i="62"/>
  <c r="E46" i="62" l="1"/>
  <c r="B47" i="62"/>
  <c r="M46" i="62"/>
  <c r="U44" i="62"/>
  <c r="T44" i="62"/>
  <c r="L45" i="62"/>
  <c r="K45" i="62"/>
  <c r="T45" i="62" l="1"/>
  <c r="L46" i="62"/>
  <c r="K46" i="62"/>
  <c r="E47" i="62"/>
  <c r="B48" i="62"/>
  <c r="M47" i="62"/>
  <c r="U45" i="62"/>
  <c r="T46" i="62" l="1"/>
  <c r="T47" i="62"/>
  <c r="L47" i="62"/>
  <c r="K47" i="62"/>
  <c r="E48" i="62"/>
  <c r="B49" i="62"/>
  <c r="M48" i="62"/>
  <c r="U46" i="62"/>
  <c r="U47" i="62" l="1"/>
  <c r="T48" i="62"/>
  <c r="U48" i="62"/>
  <c r="L48" i="62"/>
  <c r="K48" i="62"/>
  <c r="E49" i="62"/>
  <c r="M49" i="62"/>
  <c r="B50" i="62"/>
  <c r="B51" i="62" l="1"/>
  <c r="E50" i="62"/>
  <c r="M50" i="62"/>
  <c r="L49" i="62"/>
  <c r="K49" i="62"/>
  <c r="T49" i="62" l="1"/>
  <c r="U49" i="62"/>
  <c r="U50" i="62"/>
  <c r="L50" i="62"/>
  <c r="K50" i="62"/>
  <c r="E51" i="62"/>
  <c r="B52" i="62"/>
  <c r="M51" i="62"/>
  <c r="T50" i="62" l="1"/>
  <c r="L51" i="62"/>
  <c r="K51" i="62"/>
  <c r="B53" i="62"/>
  <c r="M52" i="62"/>
  <c r="E52" i="62"/>
  <c r="U51" i="62" l="1"/>
  <c r="T51" i="62"/>
  <c r="L52" i="62"/>
  <c r="K52" i="62"/>
  <c r="E53" i="62"/>
  <c r="B54" i="62"/>
  <c r="M53" i="62"/>
  <c r="T52" i="62" l="1"/>
  <c r="U52" i="62"/>
  <c r="L53" i="62"/>
  <c r="K53" i="62"/>
  <c r="B55" i="62"/>
  <c r="M54" i="62"/>
  <c r="E54" i="62"/>
  <c r="U53" i="62" l="1"/>
  <c r="T53" i="62"/>
  <c r="T54" i="62"/>
  <c r="U54" i="62"/>
  <c r="L54" i="62"/>
  <c r="K54" i="62"/>
  <c r="E55" i="62"/>
  <c r="B56" i="62"/>
  <c r="M55" i="62"/>
  <c r="T55" i="62" l="1"/>
  <c r="L55" i="62"/>
  <c r="K55" i="62"/>
  <c r="B57" i="62"/>
  <c r="M56" i="62"/>
  <c r="E56" i="62"/>
  <c r="U55" i="62" l="1"/>
  <c r="T56" i="62"/>
  <c r="L56" i="62"/>
  <c r="K56" i="62"/>
  <c r="E57" i="62"/>
  <c r="B58" i="62"/>
  <c r="M57" i="62"/>
  <c r="L57" i="62" l="1"/>
  <c r="K57" i="62"/>
  <c r="U56" i="62"/>
  <c r="B59" i="62"/>
  <c r="M58" i="62"/>
  <c r="E58" i="62"/>
  <c r="T57" i="62" l="1"/>
  <c r="U57" i="62"/>
  <c r="L58" i="62"/>
  <c r="K58" i="62"/>
  <c r="E59" i="62"/>
  <c r="M59" i="62"/>
  <c r="B60" i="62"/>
  <c r="T58" i="62" l="1"/>
  <c r="E60" i="62"/>
  <c r="M60" i="62"/>
  <c r="B61" i="62"/>
  <c r="U58" i="62"/>
  <c r="L59" i="62"/>
  <c r="K59" i="62"/>
  <c r="T60" i="62" l="1"/>
  <c r="L60" i="62"/>
  <c r="K60" i="62"/>
  <c r="U59" i="62"/>
  <c r="T59" i="62"/>
  <c r="E61" i="62"/>
  <c r="M61" i="62"/>
  <c r="B62" i="62"/>
  <c r="U60" i="62" l="1"/>
  <c r="L61" i="62"/>
  <c r="K61" i="62"/>
  <c r="E62" i="62"/>
  <c r="M62" i="62"/>
  <c r="B63" i="62"/>
  <c r="U61" i="62" l="1"/>
  <c r="T61" i="62"/>
  <c r="T62" i="62"/>
  <c r="L62" i="62"/>
  <c r="K62" i="62"/>
  <c r="E63" i="62"/>
  <c r="M63" i="62"/>
  <c r="B64" i="62"/>
  <c r="U62" i="62" l="1"/>
  <c r="U63" i="62"/>
  <c r="E64" i="62"/>
  <c r="M64" i="62"/>
  <c r="B65" i="62"/>
  <c r="L63" i="62"/>
  <c r="K63" i="62"/>
  <c r="T63" i="62" l="1"/>
  <c r="L64" i="62"/>
  <c r="K64" i="62"/>
  <c r="E65" i="62"/>
  <c r="M65" i="62"/>
  <c r="B66" i="62"/>
  <c r="T64" i="62" l="1"/>
  <c r="T65" i="62"/>
  <c r="U65" i="62"/>
  <c r="E66" i="62"/>
  <c r="M66" i="62"/>
  <c r="B67" i="62"/>
  <c r="L65" i="62"/>
  <c r="K65" i="62"/>
  <c r="U64" i="62"/>
  <c r="L66" i="62" l="1"/>
  <c r="K66" i="62"/>
  <c r="E67" i="62"/>
  <c r="M67" i="62"/>
  <c r="B68" i="62"/>
  <c r="T66" i="62" l="1"/>
  <c r="U66" i="62"/>
  <c r="T67" i="62"/>
  <c r="E68" i="62"/>
  <c r="M68" i="62"/>
  <c r="B69" i="62"/>
  <c r="L67" i="62"/>
  <c r="K67" i="62"/>
  <c r="U67" i="62" l="1"/>
  <c r="T68" i="62"/>
  <c r="U68" i="62"/>
  <c r="L68" i="62"/>
  <c r="K68" i="62"/>
  <c r="E69" i="62"/>
  <c r="B70" i="62"/>
  <c r="M69" i="62"/>
  <c r="U69" i="62" l="1"/>
  <c r="L69" i="62"/>
  <c r="K69" i="62"/>
  <c r="T69" i="62"/>
  <c r="E70" i="62"/>
  <c r="M70" i="62"/>
  <c r="B71" i="62"/>
  <c r="L70" i="62" l="1"/>
  <c r="K70" i="62"/>
  <c r="E71" i="62"/>
  <c r="B72" i="62"/>
  <c r="M71" i="62"/>
  <c r="U70" i="62" l="1"/>
  <c r="T71" i="62"/>
  <c r="U71" i="62"/>
  <c r="T70" i="62"/>
  <c r="L71" i="62"/>
  <c r="K71" i="62"/>
  <c r="E72" i="62"/>
  <c r="B73" i="62"/>
  <c r="M72" i="62"/>
  <c r="U72" i="62" l="1"/>
  <c r="T72" i="62"/>
  <c r="E73" i="62"/>
  <c r="B74" i="62"/>
  <c r="M73" i="62"/>
  <c r="L72" i="62"/>
  <c r="K72" i="62"/>
  <c r="T73" i="62" l="1"/>
  <c r="U73" i="62"/>
  <c r="L73" i="62"/>
  <c r="K73" i="62"/>
  <c r="E74" i="62"/>
  <c r="B75" i="62"/>
  <c r="M74" i="62"/>
  <c r="L74" i="62" l="1"/>
  <c r="K74" i="62"/>
  <c r="E75" i="62"/>
  <c r="B76" i="62"/>
  <c r="M75" i="62"/>
  <c r="T75" i="62" l="1"/>
  <c r="T74" i="62"/>
  <c r="U74" i="62"/>
  <c r="L75" i="62"/>
  <c r="K75" i="62"/>
  <c r="E76" i="62"/>
  <c r="B77" i="62"/>
  <c r="M76" i="62"/>
  <c r="T76" i="62" l="1"/>
  <c r="E77" i="62"/>
  <c r="B78" i="62"/>
  <c r="M77" i="62"/>
  <c r="L76" i="62"/>
  <c r="K76" i="62"/>
  <c r="U75" i="62"/>
  <c r="U76" i="62" l="1"/>
  <c r="T77" i="62"/>
  <c r="U77" i="62"/>
  <c r="L77" i="62"/>
  <c r="K77" i="62"/>
  <c r="E78" i="62"/>
  <c r="M78" i="62"/>
  <c r="B79" i="62"/>
  <c r="L78" i="62" l="1"/>
  <c r="K78" i="62"/>
  <c r="E79" i="62"/>
  <c r="B80" i="62"/>
  <c r="M79" i="62"/>
  <c r="U78" i="62" l="1"/>
  <c r="U79" i="62"/>
  <c r="T78" i="62"/>
  <c r="L79" i="62"/>
  <c r="K79" i="62"/>
  <c r="E80" i="62"/>
  <c r="B81" i="62"/>
  <c r="M80" i="62"/>
  <c r="T79" i="62" l="1"/>
  <c r="E81" i="62"/>
  <c r="B82" i="62"/>
  <c r="M81" i="62"/>
  <c r="L80" i="62"/>
  <c r="K80" i="62"/>
  <c r="U80" i="62" l="1"/>
  <c r="T80" i="62"/>
  <c r="T81" i="62"/>
  <c r="L81" i="62"/>
  <c r="K81" i="62"/>
  <c r="E82" i="62"/>
  <c r="B83" i="62"/>
  <c r="M82" i="62"/>
  <c r="U81" i="62" l="1"/>
  <c r="T82" i="62"/>
  <c r="U82" i="62"/>
  <c r="E83" i="62"/>
  <c r="B84" i="62"/>
  <c r="M83" i="62"/>
  <c r="L82" i="62"/>
  <c r="K82" i="62"/>
  <c r="T83" i="62" l="1"/>
  <c r="L83" i="62"/>
  <c r="K83" i="62"/>
  <c r="E84" i="62"/>
  <c r="B85" i="62"/>
  <c r="M84" i="62"/>
  <c r="U83" i="62" l="1"/>
  <c r="T84" i="62"/>
  <c r="U84" i="62"/>
  <c r="L84" i="62"/>
  <c r="K84" i="62"/>
  <c r="E85" i="62"/>
  <c r="B86" i="62"/>
  <c r="M85" i="62"/>
  <c r="T85" i="62" l="1"/>
  <c r="L85" i="62"/>
  <c r="K85" i="62"/>
  <c r="E86" i="62"/>
  <c r="B87" i="62"/>
  <c r="M86" i="62"/>
  <c r="U85" i="62" l="1"/>
  <c r="L86" i="62"/>
  <c r="K86" i="62"/>
  <c r="E87" i="62"/>
  <c r="B88" i="62"/>
  <c r="M87" i="62"/>
  <c r="U86" i="62" l="1"/>
  <c r="T87" i="62"/>
  <c r="U87" i="62"/>
  <c r="T86" i="62"/>
  <c r="L87" i="62"/>
  <c r="K87" i="62"/>
  <c r="E88" i="62"/>
  <c r="B89" i="62"/>
  <c r="M88" i="62"/>
  <c r="T88" i="62" l="1"/>
  <c r="E89" i="62"/>
  <c r="M89" i="62"/>
  <c r="B90" i="62"/>
  <c r="L88" i="62"/>
  <c r="K88" i="62"/>
  <c r="U88" i="62" l="1"/>
  <c r="E90" i="62"/>
  <c r="B91" i="62"/>
  <c r="M90" i="62"/>
  <c r="L89" i="62"/>
  <c r="K89" i="62"/>
  <c r="T89" i="62" l="1"/>
  <c r="U89" i="62"/>
  <c r="E91" i="62"/>
  <c r="M91" i="62"/>
  <c r="B92" i="62"/>
  <c r="L90" i="62"/>
  <c r="K90" i="62"/>
  <c r="T90" i="62" l="1"/>
  <c r="U90" i="62"/>
  <c r="L91" i="62"/>
  <c r="K91" i="62"/>
  <c r="E92" i="62"/>
  <c r="B93" i="62"/>
  <c r="M92" i="62"/>
  <c r="U91" i="62" l="1"/>
  <c r="T91" i="62"/>
  <c r="L92" i="62"/>
  <c r="K92" i="62"/>
  <c r="E93" i="62"/>
  <c r="M93" i="62"/>
  <c r="B94" i="62"/>
  <c r="U93" i="62" l="1"/>
  <c r="L93" i="62"/>
  <c r="K93" i="62"/>
  <c r="E94" i="62"/>
  <c r="B95" i="62"/>
  <c r="M94" i="62"/>
  <c r="T92" i="62"/>
  <c r="U92" i="62"/>
  <c r="T93" i="62" l="1"/>
  <c r="L94" i="62"/>
  <c r="K94" i="62"/>
  <c r="E95" i="62"/>
  <c r="M95" i="62"/>
  <c r="B96" i="62"/>
  <c r="T95" i="62" l="1"/>
  <c r="E96" i="62"/>
  <c r="B97" i="62"/>
  <c r="M96" i="62"/>
  <c r="T94" i="62"/>
  <c r="U94" i="62"/>
  <c r="L95" i="62"/>
  <c r="K95" i="62"/>
  <c r="E97" i="62" l="1"/>
  <c r="M97" i="62"/>
  <c r="B98" i="62"/>
  <c r="U95" i="62"/>
  <c r="L96" i="62"/>
  <c r="K96" i="62"/>
  <c r="U96" i="62" l="1"/>
  <c r="E98" i="62"/>
  <c r="B99" i="62"/>
  <c r="M98" i="62"/>
  <c r="L97" i="62"/>
  <c r="K97" i="62"/>
  <c r="T96" i="62"/>
  <c r="U97" i="62" l="1"/>
  <c r="T97" i="62"/>
  <c r="E99" i="62"/>
  <c r="M99" i="62"/>
  <c r="B100" i="62"/>
  <c r="L98" i="62"/>
  <c r="K98" i="62"/>
  <c r="U98" i="62" l="1"/>
  <c r="T98" i="62"/>
  <c r="E100" i="62"/>
  <c r="M100" i="62"/>
  <c r="B101" i="62"/>
  <c r="L99" i="62"/>
  <c r="K99" i="62"/>
  <c r="T99" i="62" l="1"/>
  <c r="U99" i="62"/>
  <c r="E101" i="62"/>
  <c r="B102" i="62"/>
  <c r="M101" i="62"/>
  <c r="L100" i="62"/>
  <c r="K100" i="62"/>
  <c r="T100" i="62" l="1"/>
  <c r="T101" i="62"/>
  <c r="U101" i="62"/>
  <c r="E102" i="62"/>
  <c r="B103" i="62"/>
  <c r="M102" i="62"/>
  <c r="U100" i="62"/>
  <c r="L101" i="62"/>
  <c r="K101" i="62"/>
  <c r="T102" i="62" l="1"/>
  <c r="U102" i="62"/>
  <c r="E103" i="62"/>
  <c r="B104" i="62"/>
  <c r="M103" i="62"/>
  <c r="L102" i="62"/>
  <c r="K102" i="62"/>
  <c r="T103" i="62" l="1"/>
  <c r="L103" i="62"/>
  <c r="K103" i="62"/>
  <c r="E104" i="62"/>
  <c r="B105" i="62"/>
  <c r="M104" i="62"/>
  <c r="U103" i="62" l="1"/>
  <c r="U104" i="62"/>
  <c r="L104" i="62"/>
  <c r="K104" i="62"/>
  <c r="E105" i="62"/>
  <c r="B106" i="62"/>
  <c r="M105" i="62"/>
  <c r="T104" i="62" l="1"/>
  <c r="L105" i="62"/>
  <c r="K105" i="62"/>
  <c r="E106" i="62"/>
  <c r="M106" i="62"/>
  <c r="B107" i="62"/>
  <c r="T105" i="62" l="1"/>
  <c r="U105" i="62"/>
  <c r="U106" i="62"/>
  <c r="L106" i="62"/>
  <c r="K106" i="62"/>
  <c r="E107" i="62"/>
  <c r="B108" i="62"/>
  <c r="M107" i="62"/>
  <c r="T107" i="62" l="1"/>
  <c r="U107" i="62"/>
  <c r="T106" i="62"/>
  <c r="L107" i="62"/>
  <c r="K107" i="62"/>
  <c r="E108" i="62"/>
  <c r="B109" i="62"/>
  <c r="M108" i="62"/>
  <c r="T108" i="62" l="1"/>
  <c r="E109" i="62"/>
  <c r="B110" i="62"/>
  <c r="M109" i="62"/>
  <c r="L108" i="62"/>
  <c r="K108" i="62"/>
  <c r="U108" i="62" l="1"/>
  <c r="U109" i="62"/>
  <c r="L109" i="62"/>
  <c r="K109" i="62"/>
  <c r="E110" i="62"/>
  <c r="B111" i="62"/>
  <c r="M110" i="62"/>
  <c r="T109" i="62" l="1"/>
  <c r="L110" i="62"/>
  <c r="K110" i="62"/>
  <c r="E111" i="62"/>
  <c r="B112" i="62"/>
  <c r="M111" i="62"/>
  <c r="T111" i="62" l="1"/>
  <c r="T110" i="62"/>
  <c r="U110" i="62"/>
  <c r="L111" i="62"/>
  <c r="K111" i="62"/>
  <c r="E112" i="62"/>
  <c r="B113" i="62"/>
  <c r="M112" i="62"/>
  <c r="T112" i="62" l="1"/>
  <c r="E113" i="62"/>
  <c r="B114" i="62"/>
  <c r="M113" i="62"/>
  <c r="L112" i="62"/>
  <c r="K112" i="62"/>
  <c r="U111" i="62"/>
  <c r="U112" i="62" l="1"/>
  <c r="T113" i="62"/>
  <c r="U113" i="62"/>
  <c r="L113" i="62"/>
  <c r="K113" i="62"/>
  <c r="E114" i="62"/>
  <c r="M114" i="62"/>
  <c r="B115" i="62"/>
  <c r="T114" i="62" l="1"/>
  <c r="U114" i="62"/>
  <c r="E115" i="62"/>
  <c r="B116" i="62"/>
  <c r="M115" i="62"/>
  <c r="L114" i="62"/>
  <c r="K114" i="62"/>
  <c r="L115" i="62" l="1"/>
  <c r="K115" i="62"/>
  <c r="E116" i="62"/>
  <c r="B117" i="62"/>
  <c r="M116" i="62"/>
  <c r="T115" i="62" l="1"/>
  <c r="U115" i="62"/>
  <c r="T116" i="62"/>
  <c r="L116" i="62"/>
  <c r="K116" i="62"/>
  <c r="E117" i="62"/>
  <c r="B118" i="62"/>
  <c r="M117" i="62"/>
  <c r="U116" i="62" l="1"/>
  <c r="U117" i="62"/>
  <c r="L117" i="62"/>
  <c r="T117" i="62"/>
  <c r="K117" i="62"/>
  <c r="E118" i="62"/>
  <c r="B119" i="62"/>
  <c r="M118" i="62"/>
  <c r="L118" i="62" l="1"/>
  <c r="K118" i="62"/>
  <c r="U118" i="62"/>
  <c r="E119" i="62"/>
  <c r="B120" i="62"/>
  <c r="M119" i="62"/>
  <c r="T118" i="62" l="1"/>
  <c r="T119" i="62"/>
  <c r="L119" i="62"/>
  <c r="K119" i="62"/>
  <c r="E120" i="62"/>
  <c r="B121" i="62"/>
  <c r="M120" i="62"/>
  <c r="U119" i="62" l="1"/>
  <c r="L120" i="62"/>
  <c r="K120" i="62"/>
  <c r="E121" i="62"/>
  <c r="B122" i="62"/>
  <c r="M121" i="62"/>
  <c r="U120" i="62" l="1"/>
  <c r="T120" i="62"/>
  <c r="T121" i="62"/>
  <c r="U121" i="62"/>
  <c r="L121" i="62"/>
  <c r="K121" i="62"/>
  <c r="B123" i="62"/>
  <c r="M122" i="62"/>
  <c r="E122" i="62"/>
  <c r="T122" i="62" l="1"/>
  <c r="B124" i="62"/>
  <c r="E123" i="62"/>
  <c r="M123" i="62"/>
  <c r="L122" i="62"/>
  <c r="K122" i="62"/>
  <c r="U122" i="62" l="1"/>
  <c r="K123" i="62"/>
  <c r="L123" i="62"/>
  <c r="B125" i="62"/>
  <c r="M124" i="62"/>
  <c r="E124" i="62"/>
  <c r="T124" i="62" l="1"/>
  <c r="T123" i="62"/>
  <c r="U123" i="62"/>
  <c r="L124" i="62"/>
  <c r="K124" i="62"/>
  <c r="B126" i="62"/>
  <c r="E125" i="62"/>
  <c r="M125" i="62"/>
  <c r="U124" i="62" l="1"/>
  <c r="K125" i="62"/>
  <c r="L125" i="62"/>
  <c r="B127" i="62"/>
  <c r="M126" i="62"/>
  <c r="E126" i="62"/>
  <c r="T126" i="62" l="1"/>
  <c r="U126" i="62"/>
  <c r="E127" i="62"/>
  <c r="B128" i="62"/>
  <c r="M127" i="62"/>
  <c r="U125" i="62"/>
  <c r="L126" i="62"/>
  <c r="K126" i="62"/>
  <c r="T125" i="62"/>
  <c r="K127" i="62" l="1"/>
  <c r="L127" i="62"/>
  <c r="B129" i="62"/>
  <c r="M128" i="62"/>
  <c r="E128" i="62"/>
  <c r="U127" i="62" l="1"/>
  <c r="E129" i="62"/>
  <c r="B130" i="62"/>
  <c r="M129" i="62"/>
  <c r="L128" i="62"/>
  <c r="K128" i="62"/>
  <c r="T127" i="62"/>
  <c r="T128" i="62" l="1"/>
  <c r="U128" i="62"/>
  <c r="K129" i="62"/>
  <c r="L129" i="62"/>
  <c r="B131" i="62"/>
  <c r="M130" i="62"/>
  <c r="E130" i="62"/>
  <c r="U129" i="62" l="1"/>
  <c r="T130" i="62"/>
  <c r="U130" i="62"/>
  <c r="E131" i="62"/>
  <c r="B132" i="62"/>
  <c r="M131" i="62"/>
  <c r="L130" i="62"/>
  <c r="K130" i="62"/>
  <c r="T129" i="62"/>
  <c r="K131" i="62" l="1"/>
  <c r="L131" i="62"/>
  <c r="B133" i="62"/>
  <c r="M132" i="62"/>
  <c r="E132" i="62"/>
  <c r="U131" i="62" l="1"/>
  <c r="T132" i="62"/>
  <c r="E133" i="62"/>
  <c r="B134" i="62"/>
  <c r="M133" i="62"/>
  <c r="L132" i="62"/>
  <c r="K132" i="62"/>
  <c r="T131" i="62"/>
  <c r="U132" i="62" l="1"/>
  <c r="U133" i="62"/>
  <c r="K133" i="62"/>
  <c r="L133" i="62"/>
  <c r="B135" i="62"/>
  <c r="M134" i="62"/>
  <c r="E134" i="62"/>
  <c r="T134" i="62" l="1"/>
  <c r="U134" i="62"/>
  <c r="E135" i="62"/>
  <c r="B136" i="62"/>
  <c r="M135" i="62"/>
  <c r="L134" i="62"/>
  <c r="K134" i="62"/>
  <c r="T133" i="62"/>
  <c r="K135" i="62" l="1"/>
  <c r="L135" i="62"/>
  <c r="B137" i="62"/>
  <c r="M136" i="62"/>
  <c r="E136" i="62"/>
  <c r="U135" i="62" l="1"/>
  <c r="U136" i="62"/>
  <c r="E137" i="62"/>
  <c r="B138" i="62"/>
  <c r="M137" i="62"/>
  <c r="L136" i="62"/>
  <c r="K136" i="62"/>
  <c r="T135" i="62"/>
  <c r="T136" i="62" l="1"/>
  <c r="U137" i="62"/>
  <c r="K137" i="62"/>
  <c r="L137" i="62"/>
  <c r="B139" i="62"/>
  <c r="M138" i="62"/>
  <c r="E138" i="62"/>
  <c r="T138" i="62" l="1"/>
  <c r="U138" i="62"/>
  <c r="E139" i="62"/>
  <c r="M139" i="62"/>
  <c r="B140" i="62"/>
  <c r="L138" i="62"/>
  <c r="K138" i="62"/>
  <c r="T137" i="62"/>
  <c r="K139" i="62" l="1"/>
  <c r="L139" i="62"/>
  <c r="B141" i="62"/>
  <c r="M140" i="62"/>
  <c r="E140" i="62"/>
  <c r="E141" i="62" l="1"/>
  <c r="M141" i="62"/>
  <c r="B142" i="62"/>
  <c r="L140" i="62"/>
  <c r="K140" i="62"/>
  <c r="U139" i="62"/>
  <c r="T139" i="62"/>
  <c r="K141" i="62" l="1"/>
  <c r="L141" i="62"/>
  <c r="T140" i="62"/>
  <c r="U140" i="62"/>
  <c r="B143" i="62"/>
  <c r="M142" i="62"/>
  <c r="E142" i="62"/>
  <c r="U141" i="62" l="1"/>
  <c r="T142" i="62"/>
  <c r="L142" i="62"/>
  <c r="K142" i="62"/>
  <c r="E143" i="62"/>
  <c r="M143" i="62"/>
  <c r="B144" i="62"/>
  <c r="T141" i="62"/>
  <c r="B145" i="62" l="1"/>
  <c r="M144" i="62"/>
  <c r="E144" i="62"/>
  <c r="K143" i="62"/>
  <c r="L143" i="62"/>
  <c r="U142" i="62"/>
  <c r="T144" i="62" l="1"/>
  <c r="U143" i="62"/>
  <c r="T143" i="62"/>
  <c r="L144" i="62"/>
  <c r="K144" i="62"/>
  <c r="E145" i="62"/>
  <c r="M145" i="62"/>
  <c r="B146" i="62"/>
  <c r="U144" i="62" l="1"/>
  <c r="B147" i="62"/>
  <c r="M146" i="62"/>
  <c r="E146" i="62"/>
  <c r="K145" i="62"/>
  <c r="L145" i="62"/>
  <c r="U145" i="62" l="1"/>
  <c r="T145" i="62"/>
  <c r="L146" i="62"/>
  <c r="K146" i="62"/>
  <c r="E147" i="62"/>
  <c r="M147" i="62"/>
  <c r="B148" i="62"/>
  <c r="T146" i="62" l="1"/>
  <c r="U146" i="62"/>
  <c r="B149" i="62"/>
  <c r="M148" i="62"/>
  <c r="E148" i="62"/>
  <c r="K147" i="62"/>
  <c r="L147" i="62"/>
  <c r="T148" i="62" l="1"/>
  <c r="U148" i="62"/>
  <c r="U147" i="62"/>
  <c r="T147" i="62"/>
  <c r="L148" i="62"/>
  <c r="K148" i="62"/>
  <c r="E149" i="62"/>
  <c r="B150" i="62"/>
  <c r="M149" i="62"/>
  <c r="K149" i="62" l="1"/>
  <c r="L149" i="62"/>
  <c r="B151" i="62"/>
  <c r="M150" i="62"/>
  <c r="E150" i="62"/>
  <c r="E151" i="62" l="1"/>
  <c r="B152" i="62"/>
  <c r="M151" i="62"/>
  <c r="U149" i="62"/>
  <c r="L150" i="62"/>
  <c r="K150" i="62"/>
  <c r="T149" i="62"/>
  <c r="K151" i="62" l="1"/>
  <c r="L151" i="62"/>
  <c r="U150" i="62"/>
  <c r="B153" i="62"/>
  <c r="M152" i="62"/>
  <c r="E152" i="62"/>
  <c r="T150" i="62"/>
  <c r="U151" i="62" l="1"/>
  <c r="L152" i="62"/>
  <c r="K152" i="62"/>
  <c r="E153" i="62"/>
  <c r="M153" i="62"/>
  <c r="B154" i="62"/>
  <c r="T151" i="62"/>
  <c r="U152" i="62" l="1"/>
  <c r="T153" i="62"/>
  <c r="B155" i="62"/>
  <c r="M154" i="62"/>
  <c r="E154" i="62"/>
  <c r="T152" i="62"/>
  <c r="K153" i="62"/>
  <c r="L153" i="62"/>
  <c r="U153" i="62" l="1"/>
  <c r="L154" i="62"/>
  <c r="K154" i="62"/>
  <c r="E155" i="62"/>
  <c r="M155" i="62"/>
  <c r="B156" i="62"/>
  <c r="U155" i="62" l="1"/>
  <c r="T154" i="62"/>
  <c r="B157" i="62"/>
  <c r="M156" i="62"/>
  <c r="E156" i="62"/>
  <c r="K155" i="62"/>
  <c r="L155" i="62"/>
  <c r="U154" i="62"/>
  <c r="T155" i="62" l="1"/>
  <c r="L156" i="62"/>
  <c r="K156" i="62"/>
  <c r="E157" i="62"/>
  <c r="B158" i="62"/>
  <c r="M157" i="62"/>
  <c r="B159" i="62" l="1"/>
  <c r="M158" i="62"/>
  <c r="E158" i="62"/>
  <c r="T156" i="62"/>
  <c r="U156" i="62"/>
  <c r="K157" i="62"/>
  <c r="L157" i="62"/>
  <c r="T157" i="62" l="1"/>
  <c r="U157" i="62"/>
  <c r="L158" i="62"/>
  <c r="K158" i="62"/>
  <c r="E159" i="62"/>
  <c r="B160" i="62"/>
  <c r="M159" i="62"/>
  <c r="U159" i="62" l="1"/>
  <c r="K159" i="62"/>
  <c r="L159" i="62"/>
  <c r="T158" i="62"/>
  <c r="B161" i="62"/>
  <c r="M160" i="62"/>
  <c r="E160" i="62"/>
  <c r="U158" i="62"/>
  <c r="L160" i="62" l="1"/>
  <c r="K160" i="62"/>
  <c r="E161" i="62"/>
  <c r="M161" i="62"/>
  <c r="B162" i="62"/>
  <c r="T159" i="62"/>
  <c r="T160" i="62" l="1"/>
  <c r="B163" i="62"/>
  <c r="M162" i="62"/>
  <c r="E162" i="62"/>
  <c r="K161" i="62"/>
  <c r="L161" i="62"/>
  <c r="U160" i="62"/>
  <c r="U161" i="62" l="1"/>
  <c r="T162" i="62"/>
  <c r="T161" i="62"/>
  <c r="L162" i="62"/>
  <c r="K162" i="62"/>
  <c r="E163" i="62"/>
  <c r="M163" i="62"/>
  <c r="B164" i="62"/>
  <c r="U163" i="62" l="1"/>
  <c r="K163" i="62"/>
  <c r="L163" i="62"/>
  <c r="U162" i="62"/>
  <c r="B165" i="62"/>
  <c r="M164" i="62"/>
  <c r="E164" i="62"/>
  <c r="T164" i="62" l="1"/>
  <c r="L164" i="62"/>
  <c r="K164" i="62"/>
  <c r="E165" i="62"/>
  <c r="B166" i="62"/>
  <c r="M165" i="62"/>
  <c r="T163" i="62"/>
  <c r="B167" i="62" l="1"/>
  <c r="M166" i="62"/>
  <c r="E166" i="62"/>
  <c r="K165" i="62"/>
  <c r="L165" i="62"/>
  <c r="U164" i="62"/>
  <c r="U165" i="62" l="1"/>
  <c r="T165" i="62"/>
  <c r="L166" i="62"/>
  <c r="K166" i="62"/>
  <c r="E167" i="62"/>
  <c r="B168" i="62"/>
  <c r="M167" i="62"/>
  <c r="T167" i="62" l="1"/>
  <c r="U167" i="62"/>
  <c r="B169" i="62"/>
  <c r="M168" i="62"/>
  <c r="E168" i="62"/>
  <c r="U166" i="62"/>
  <c r="K167" i="62"/>
  <c r="L167" i="62"/>
  <c r="T166" i="62"/>
  <c r="L168" i="62" l="1"/>
  <c r="K168" i="62"/>
  <c r="E169" i="62"/>
  <c r="B170" i="62"/>
  <c r="M169" i="62"/>
  <c r="T169" i="62" l="1"/>
  <c r="B171" i="62"/>
  <c r="M170" i="62"/>
  <c r="E170" i="62"/>
  <c r="T168" i="62"/>
  <c r="K169" i="62"/>
  <c r="L169" i="62"/>
  <c r="U168" i="62"/>
  <c r="U169" i="62" l="1"/>
  <c r="L170" i="62"/>
  <c r="K170" i="62"/>
  <c r="E171" i="62"/>
  <c r="M171" i="62"/>
  <c r="B172" i="62"/>
  <c r="K171" i="62" l="1"/>
  <c r="L171" i="62"/>
  <c r="T170" i="62"/>
  <c r="B173" i="62"/>
  <c r="M172" i="62"/>
  <c r="E172" i="62"/>
  <c r="U170" i="62"/>
  <c r="U171" i="62" l="1"/>
  <c r="L172" i="62"/>
  <c r="K172" i="62"/>
  <c r="E173" i="62"/>
  <c r="B174" i="62"/>
  <c r="M173" i="62"/>
  <c r="T171" i="62"/>
  <c r="T173" i="62" l="1"/>
  <c r="B175" i="62"/>
  <c r="M174" i="62"/>
  <c r="E174" i="62"/>
  <c r="T172" i="62"/>
  <c r="K173" i="62"/>
  <c r="L173" i="62"/>
  <c r="U172" i="62"/>
  <c r="U173" i="62" l="1"/>
  <c r="L174" i="62"/>
  <c r="K174" i="62"/>
  <c r="E175" i="62"/>
  <c r="B176" i="62"/>
  <c r="M175" i="62"/>
  <c r="B177" i="62" l="1"/>
  <c r="M176" i="62"/>
  <c r="E176" i="62"/>
  <c r="T174" i="62"/>
  <c r="K175" i="62"/>
  <c r="L175" i="62"/>
  <c r="U174" i="62"/>
  <c r="T176" i="62" l="1"/>
  <c r="U175" i="62"/>
  <c r="T175" i="62"/>
  <c r="L176" i="62"/>
  <c r="K176" i="62"/>
  <c r="E177" i="62"/>
  <c r="B178" i="62"/>
  <c r="M177" i="62"/>
  <c r="B179" i="62" l="1"/>
  <c r="M178" i="62"/>
  <c r="E178" i="62"/>
  <c r="U176" i="62"/>
  <c r="K177" i="62"/>
  <c r="L177" i="62"/>
  <c r="U177" i="62" l="1"/>
  <c r="T177" i="62"/>
  <c r="L178" i="62"/>
  <c r="K178" i="62"/>
  <c r="E179" i="62"/>
  <c r="M179" i="62"/>
  <c r="B180" i="62"/>
  <c r="U179" i="62" l="1"/>
  <c r="U178" i="62"/>
  <c r="B181" i="62"/>
  <c r="M180" i="62"/>
  <c r="E180" i="62"/>
  <c r="K179" i="62"/>
  <c r="L179" i="62"/>
  <c r="T178" i="62"/>
  <c r="T180" i="62" l="1"/>
  <c r="U180" i="62"/>
  <c r="T179" i="62"/>
  <c r="L180" i="62"/>
  <c r="K180" i="62"/>
  <c r="M181" i="62"/>
  <c r="B182" i="62"/>
  <c r="E181" i="62"/>
  <c r="T181" i="62" l="1"/>
  <c r="K181" i="62"/>
  <c r="L181" i="62"/>
  <c r="B183" i="62"/>
  <c r="M182" i="62"/>
  <c r="E182" i="62"/>
  <c r="U181" i="62" l="1"/>
  <c r="M183" i="62"/>
  <c r="B184" i="62"/>
  <c r="E183" i="62"/>
  <c r="K182" i="62"/>
  <c r="L182" i="62"/>
  <c r="T182" i="62" l="1"/>
  <c r="B185" i="62"/>
  <c r="M184" i="62"/>
  <c r="E184" i="62"/>
  <c r="U182" i="62"/>
  <c r="K183" i="62"/>
  <c r="L183" i="62"/>
  <c r="T183" i="62" l="1"/>
  <c r="U183" i="62"/>
  <c r="K184" i="62"/>
  <c r="L184" i="62"/>
  <c r="M185" i="62"/>
  <c r="B186" i="62"/>
  <c r="E185" i="62"/>
  <c r="T184" i="62" l="1"/>
  <c r="B187" i="62"/>
  <c r="M186" i="62"/>
  <c r="E186" i="62"/>
  <c r="U184" i="62"/>
  <c r="K185" i="62"/>
  <c r="L185" i="62"/>
  <c r="T185" i="62" l="1"/>
  <c r="U185" i="62"/>
  <c r="K186" i="62"/>
  <c r="L186" i="62"/>
  <c r="M187" i="62"/>
  <c r="B188" i="62"/>
  <c r="E187" i="62"/>
  <c r="T186" i="62" l="1"/>
  <c r="K187" i="62"/>
  <c r="L187" i="62"/>
  <c r="B189" i="62"/>
  <c r="M188" i="62"/>
  <c r="E188" i="62"/>
  <c r="U186" i="62"/>
  <c r="U187" i="62" l="1"/>
  <c r="M189" i="62"/>
  <c r="B190" i="62"/>
  <c r="E189" i="62"/>
  <c r="K188" i="62"/>
  <c r="L188" i="62"/>
  <c r="T187" i="62"/>
  <c r="T188" i="62" l="1"/>
  <c r="B191" i="62"/>
  <c r="M190" i="62"/>
  <c r="E190" i="62"/>
  <c r="U188" i="62"/>
  <c r="K189" i="62"/>
  <c r="L189" i="62"/>
  <c r="T190" i="62" l="1"/>
  <c r="T189" i="62"/>
  <c r="U189" i="62"/>
  <c r="K190" i="62"/>
  <c r="L190" i="62"/>
  <c r="M191" i="62"/>
  <c r="B192" i="62"/>
  <c r="E191" i="62"/>
  <c r="B193" i="62" l="1"/>
  <c r="M192" i="62"/>
  <c r="E192" i="62"/>
  <c r="U190" i="62"/>
  <c r="K191" i="62"/>
  <c r="L191" i="62"/>
  <c r="T192" i="62" l="1"/>
  <c r="T191" i="62"/>
  <c r="U191" i="62"/>
  <c r="K192" i="62"/>
  <c r="L192" i="62"/>
  <c r="M193" i="62"/>
  <c r="B194" i="62"/>
  <c r="E193" i="62"/>
  <c r="T193" i="62" l="1"/>
  <c r="U193" i="62"/>
  <c r="U192" i="62"/>
  <c r="K193" i="62"/>
  <c r="L193" i="62"/>
  <c r="B195" i="62"/>
  <c r="M194" i="62"/>
  <c r="E194" i="62"/>
  <c r="T194" i="62" l="1"/>
  <c r="K194" i="62"/>
  <c r="L194" i="62"/>
  <c r="M195" i="62"/>
  <c r="B196" i="62"/>
  <c r="E195" i="62"/>
  <c r="T195" i="62" l="1"/>
  <c r="U195" i="62"/>
  <c r="B197" i="62"/>
  <c r="M196" i="62"/>
  <c r="E196" i="62"/>
  <c r="K195" i="62"/>
  <c r="L195" i="62"/>
  <c r="U194" i="62"/>
  <c r="T196" i="62" l="1"/>
  <c r="K196" i="62"/>
  <c r="L196" i="62"/>
  <c r="M197" i="62"/>
  <c r="B198" i="62"/>
  <c r="E197" i="62"/>
  <c r="K197" i="62" l="1"/>
  <c r="L197" i="62"/>
  <c r="B199" i="62"/>
  <c r="M198" i="62"/>
  <c r="E198" i="62"/>
  <c r="U196" i="62"/>
  <c r="U197" i="62" l="1"/>
  <c r="T197" i="62"/>
  <c r="M199" i="62"/>
  <c r="B200" i="62"/>
  <c r="E199" i="62"/>
  <c r="K198" i="62"/>
  <c r="L198" i="62"/>
  <c r="T198" i="62" l="1"/>
  <c r="B201" i="62"/>
  <c r="M200" i="62"/>
  <c r="E200" i="62"/>
  <c r="U198" i="62"/>
  <c r="K199" i="62"/>
  <c r="L199" i="62"/>
  <c r="T200" i="62" l="1"/>
  <c r="T199" i="62"/>
  <c r="U199" i="62"/>
  <c r="K200" i="62"/>
  <c r="L200" i="62"/>
  <c r="E201" i="62"/>
  <c r="B202" i="62"/>
  <c r="M201" i="62"/>
  <c r="T201" i="62" l="1"/>
  <c r="B203" i="62"/>
  <c r="M202" i="62"/>
  <c r="E202" i="62"/>
  <c r="U200" i="62"/>
  <c r="L201" i="62"/>
  <c r="K201" i="62"/>
  <c r="T202" i="62" l="1"/>
  <c r="L202" i="62"/>
  <c r="K202" i="62"/>
  <c r="E203" i="62"/>
  <c r="B204" i="62"/>
  <c r="M203" i="62"/>
  <c r="U201" i="62"/>
  <c r="L203" i="62" l="1"/>
  <c r="K203" i="62"/>
  <c r="B205" i="62"/>
  <c r="E204" i="62"/>
  <c r="M204" i="62"/>
  <c r="U202" i="62"/>
  <c r="U203" i="62" l="1"/>
  <c r="T203" i="62"/>
  <c r="U204" i="62"/>
  <c r="L204" i="62"/>
  <c r="K204" i="62"/>
  <c r="E205" i="62"/>
  <c r="B206" i="62"/>
  <c r="M205" i="62"/>
  <c r="L205" i="62" l="1"/>
  <c r="K205" i="62"/>
  <c r="T204" i="62"/>
  <c r="B207" i="62"/>
  <c r="M206" i="62"/>
  <c r="E206" i="62"/>
  <c r="T205" i="62" l="1"/>
  <c r="U205" i="62"/>
  <c r="L206" i="62"/>
  <c r="K206" i="62"/>
  <c r="E207" i="62"/>
  <c r="B208" i="62"/>
  <c r="M207" i="62"/>
  <c r="T206" i="62" l="1"/>
  <c r="T207" i="62"/>
  <c r="B209" i="62"/>
  <c r="M208" i="62"/>
  <c r="E208" i="62"/>
  <c r="U206" i="62"/>
  <c r="L207" i="62"/>
  <c r="K207" i="62"/>
  <c r="U208" i="62" l="1"/>
  <c r="L208" i="62"/>
  <c r="K208" i="62"/>
  <c r="U207" i="62"/>
  <c r="E209" i="62"/>
  <c r="M209" i="62"/>
  <c r="B210" i="62"/>
  <c r="B211" i="62" l="1"/>
  <c r="M210" i="62"/>
  <c r="E210" i="62"/>
  <c r="K209" i="62"/>
  <c r="L209" i="62"/>
  <c r="T208" i="62"/>
  <c r="T210" i="62" l="1"/>
  <c r="U209" i="62"/>
  <c r="L210" i="62"/>
  <c r="K210" i="62"/>
  <c r="T209" i="62"/>
  <c r="E211" i="62"/>
  <c r="M211" i="62"/>
  <c r="B212" i="62"/>
  <c r="U210" i="62" l="1"/>
  <c r="K211" i="62"/>
  <c r="L211" i="62"/>
  <c r="B213" i="62"/>
  <c r="M212" i="62"/>
  <c r="E212" i="62"/>
  <c r="E213" i="62" l="1"/>
  <c r="M213" i="62"/>
  <c r="B214" i="62"/>
  <c r="U211" i="62"/>
  <c r="L212" i="62"/>
  <c r="K212" i="62"/>
  <c r="T211" i="62"/>
  <c r="U212" i="62" l="1"/>
  <c r="K213" i="62"/>
  <c r="L213" i="62"/>
  <c r="B215" i="62"/>
  <c r="M214" i="62"/>
  <c r="E214" i="62"/>
  <c r="T212" i="62"/>
  <c r="T214" i="62" l="1"/>
  <c r="U214" i="62"/>
  <c r="U213" i="62"/>
  <c r="L214" i="62"/>
  <c r="K214" i="62"/>
  <c r="T213" i="62"/>
  <c r="E215" i="62"/>
  <c r="B216" i="62"/>
  <c r="M215" i="62"/>
  <c r="B217" i="62" l="1"/>
  <c r="M216" i="62"/>
  <c r="E216" i="62"/>
  <c r="K215" i="62"/>
  <c r="L215" i="62"/>
  <c r="U215" i="62" l="1"/>
  <c r="T215" i="62"/>
  <c r="L216" i="62"/>
  <c r="K216" i="62"/>
  <c r="E217" i="62"/>
  <c r="B218" i="62"/>
  <c r="M217" i="62"/>
  <c r="T216" i="62" l="1"/>
  <c r="U216" i="62"/>
  <c r="B219" i="62"/>
  <c r="M218" i="62"/>
  <c r="E218" i="62"/>
  <c r="K217" i="62"/>
  <c r="L217" i="62"/>
  <c r="T218" i="62" l="1"/>
  <c r="U217" i="62"/>
  <c r="T217" i="62"/>
  <c r="L218" i="62"/>
  <c r="K218" i="62"/>
  <c r="E219" i="62"/>
  <c r="B220" i="62"/>
  <c r="M219" i="62"/>
  <c r="U218" i="62" l="1"/>
  <c r="U219" i="62"/>
  <c r="B221" i="62"/>
  <c r="M220" i="62"/>
  <c r="E220" i="62"/>
  <c r="K219" i="62"/>
  <c r="L219" i="62"/>
  <c r="T219" i="62" l="1"/>
  <c r="L220" i="62"/>
  <c r="K220" i="62"/>
  <c r="E221" i="62"/>
  <c r="B222" i="62"/>
  <c r="M221" i="62"/>
  <c r="T220" i="62" l="1"/>
  <c r="U220" i="62"/>
  <c r="U221" i="62"/>
  <c r="K221" i="62"/>
  <c r="L221" i="62"/>
  <c r="B223" i="62"/>
  <c r="M222" i="62"/>
  <c r="E222" i="62"/>
  <c r="E223" i="62" l="1"/>
  <c r="B224" i="62"/>
  <c r="M223" i="62"/>
  <c r="L222" i="62"/>
  <c r="K222" i="62"/>
  <c r="T221" i="62"/>
  <c r="T222" i="62" l="1"/>
  <c r="U222" i="62"/>
  <c r="K223" i="62"/>
  <c r="L223" i="62"/>
  <c r="B225" i="62"/>
  <c r="M224" i="62"/>
  <c r="E224" i="62"/>
  <c r="T224" i="62" l="1"/>
  <c r="E225" i="62"/>
  <c r="B226" i="62"/>
  <c r="M225" i="62"/>
  <c r="U223" i="62"/>
  <c r="L224" i="62"/>
  <c r="K224" i="62"/>
  <c r="T223" i="62"/>
  <c r="K225" i="62" l="1"/>
  <c r="L225" i="62"/>
  <c r="U224" i="62"/>
  <c r="B227" i="62"/>
  <c r="M226" i="62"/>
  <c r="E226" i="62"/>
  <c r="T226" i="62" l="1"/>
  <c r="L226" i="62"/>
  <c r="K226" i="62"/>
  <c r="U225" i="62"/>
  <c r="E227" i="62"/>
  <c r="B228" i="62"/>
  <c r="M227" i="62"/>
  <c r="T225" i="62"/>
  <c r="K227" i="62" l="1"/>
  <c r="L227" i="62"/>
  <c r="B229" i="62"/>
  <c r="M228" i="62"/>
  <c r="E228" i="62"/>
  <c r="U226" i="62"/>
  <c r="U227" i="62" l="1"/>
  <c r="T228" i="62"/>
  <c r="U228" i="62"/>
  <c r="E229" i="62"/>
  <c r="B230" i="62"/>
  <c r="M229" i="62"/>
  <c r="L228" i="62"/>
  <c r="K228" i="62"/>
  <c r="T227" i="62"/>
  <c r="B231" i="62" l="1"/>
  <c r="M230" i="62"/>
  <c r="E230" i="62"/>
  <c r="K229" i="62"/>
  <c r="L229" i="62"/>
  <c r="T230" i="62" l="1"/>
  <c r="U230" i="62"/>
  <c r="U229" i="62"/>
  <c r="T229" i="62"/>
  <c r="L230" i="62"/>
  <c r="K230" i="62"/>
  <c r="E231" i="62"/>
  <c r="B232" i="62"/>
  <c r="M231" i="62"/>
  <c r="B233" i="62" l="1"/>
  <c r="M232" i="62"/>
  <c r="E232" i="62"/>
  <c r="K231" i="62"/>
  <c r="L231" i="62"/>
  <c r="U231" i="62" l="1"/>
  <c r="T231" i="62"/>
  <c r="L232" i="62"/>
  <c r="K232" i="62"/>
  <c r="E233" i="62"/>
  <c r="B234" i="62"/>
  <c r="M233" i="62"/>
  <c r="T232" i="62" l="1"/>
  <c r="U232" i="62"/>
  <c r="B235" i="62"/>
  <c r="M234" i="62"/>
  <c r="E234" i="62"/>
  <c r="K233" i="62"/>
  <c r="L233" i="62"/>
  <c r="T234" i="62" l="1"/>
  <c r="T233" i="62"/>
  <c r="L234" i="62"/>
  <c r="K234" i="62"/>
  <c r="U233" i="62"/>
  <c r="E235" i="62"/>
  <c r="M235" i="62"/>
  <c r="B236" i="62"/>
  <c r="K235" i="62" l="1"/>
  <c r="L235" i="62"/>
  <c r="B237" i="62"/>
  <c r="M236" i="62"/>
  <c r="E236" i="62"/>
  <c r="U234" i="62"/>
  <c r="U235" i="62" l="1"/>
  <c r="E237" i="62"/>
  <c r="M237" i="62"/>
  <c r="B238" i="62"/>
  <c r="L236" i="62"/>
  <c r="K236" i="62"/>
  <c r="T235" i="62"/>
  <c r="T236" i="62" l="1"/>
  <c r="K237" i="62"/>
  <c r="L237" i="62"/>
  <c r="U236" i="62"/>
  <c r="B239" i="62"/>
  <c r="M238" i="62"/>
  <c r="E238" i="62"/>
  <c r="U237" i="62" l="1"/>
  <c r="L238" i="62"/>
  <c r="K238" i="62"/>
  <c r="E239" i="62"/>
  <c r="B240" i="62"/>
  <c r="M239" i="62"/>
  <c r="T237" i="62"/>
  <c r="U239" i="62" l="1"/>
  <c r="B241" i="62"/>
  <c r="M240" i="62"/>
  <c r="E240" i="62"/>
  <c r="T238" i="62"/>
  <c r="U238" i="62"/>
  <c r="K239" i="62"/>
  <c r="L239" i="62"/>
  <c r="T239" i="62" l="1"/>
  <c r="L240" i="62"/>
  <c r="K240" i="62"/>
  <c r="E241" i="62"/>
  <c r="B242" i="62"/>
  <c r="M241" i="62"/>
  <c r="T240" i="62" l="1"/>
  <c r="K241" i="62"/>
  <c r="L241" i="62"/>
  <c r="B243" i="62"/>
  <c r="M242" i="62"/>
  <c r="E242" i="62"/>
  <c r="U240" i="62"/>
  <c r="E243" i="62" l="1"/>
  <c r="M243" i="62"/>
  <c r="B244" i="62"/>
  <c r="U241" i="62"/>
  <c r="L242" i="62"/>
  <c r="K242" i="62"/>
  <c r="T241" i="62"/>
  <c r="T243" i="62" l="1"/>
  <c r="U243" i="62"/>
  <c r="B245" i="62"/>
  <c r="M244" i="62"/>
  <c r="E244" i="62"/>
  <c r="U242" i="62"/>
  <c r="K243" i="62"/>
  <c r="L243" i="62"/>
  <c r="T242" i="62"/>
  <c r="L244" i="62" l="1"/>
  <c r="K244" i="62"/>
  <c r="E245" i="62"/>
  <c r="M245" i="62"/>
  <c r="B246" i="62"/>
  <c r="T244" i="62" l="1"/>
  <c r="B247" i="62"/>
  <c r="M246" i="62"/>
  <c r="E246" i="62"/>
  <c r="K245" i="62"/>
  <c r="L245" i="62"/>
  <c r="U244" i="62"/>
  <c r="U245" i="62" l="1"/>
  <c r="T245" i="62"/>
  <c r="L246" i="62"/>
  <c r="K246" i="62"/>
  <c r="E247" i="62"/>
  <c r="M247" i="62"/>
  <c r="T246" i="62" l="1"/>
  <c r="U246" i="62"/>
  <c r="K247" i="62"/>
  <c r="X8" i="62"/>
  <c r="L247" i="62"/>
  <c r="Z8" i="62"/>
  <c r="H9" i="62"/>
  <c r="H8" i="62"/>
  <c r="H10" i="62"/>
  <c r="I11" i="62"/>
  <c r="I8" i="62"/>
  <c r="H11" i="62"/>
  <c r="I10" i="62"/>
  <c r="I9" i="62"/>
  <c r="AA12" i="62"/>
  <c r="Y9" i="62"/>
  <c r="X9" i="62"/>
  <c r="AA9" i="62"/>
  <c r="I12" i="62"/>
  <c r="Z9" i="62"/>
  <c r="H13" i="62"/>
  <c r="AA11" i="62"/>
  <c r="AA10" i="62"/>
  <c r="X10" i="62"/>
  <c r="Y10" i="62"/>
  <c r="Z10" i="62"/>
  <c r="X11" i="62"/>
  <c r="H12" i="62"/>
  <c r="I13" i="62"/>
  <c r="I15" i="62"/>
  <c r="Z11" i="62"/>
  <c r="Y12" i="62"/>
  <c r="Y11" i="62"/>
  <c r="Z12" i="62"/>
  <c r="I14" i="62"/>
  <c r="X12" i="62"/>
  <c r="Z14" i="62"/>
  <c r="H15" i="62"/>
  <c r="H14" i="62"/>
  <c r="X14" i="62"/>
  <c r="Z13" i="62"/>
  <c r="X13" i="62"/>
  <c r="AA13" i="62"/>
  <c r="X15" i="62"/>
  <c r="I17" i="62"/>
  <c r="H16" i="62"/>
  <c r="Y13" i="62"/>
  <c r="Y14" i="62"/>
  <c r="H17" i="62"/>
  <c r="I18" i="62"/>
  <c r="Y15" i="62"/>
  <c r="Z15" i="62"/>
  <c r="AA14" i="62"/>
  <c r="AA15" i="62"/>
  <c r="I16" i="62"/>
  <c r="Z16" i="62"/>
  <c r="AA16" i="62"/>
  <c r="AA19" i="62"/>
  <c r="H18" i="62"/>
  <c r="H20" i="62"/>
  <c r="H19" i="62"/>
  <c r="X16" i="62"/>
  <c r="Y16" i="62"/>
  <c r="AA17" i="62"/>
  <c r="Z17" i="62"/>
  <c r="Y17" i="62"/>
  <c r="X17" i="62"/>
  <c r="Z18" i="62"/>
  <c r="AA18" i="62"/>
  <c r="I20" i="62"/>
  <c r="I19" i="62"/>
  <c r="H21" i="62"/>
  <c r="I21" i="62"/>
  <c r="X19" i="62"/>
  <c r="Z21" i="62"/>
  <c r="I22" i="62"/>
  <c r="I24" i="62"/>
  <c r="Y19" i="62"/>
  <c r="X18" i="62"/>
  <c r="Z19" i="62"/>
  <c r="Y18" i="62"/>
  <c r="X21" i="62"/>
  <c r="H22" i="62"/>
  <c r="AA21" i="62"/>
  <c r="H23" i="62"/>
  <c r="X20" i="62"/>
  <c r="Z20" i="62"/>
  <c r="AA20" i="62"/>
  <c r="I23" i="62"/>
  <c r="Y20" i="62"/>
  <c r="H24" i="62"/>
  <c r="Y21" i="62"/>
  <c r="Z24" i="62"/>
  <c r="Z22" i="62"/>
  <c r="Y23" i="62"/>
  <c r="AA22" i="62"/>
  <c r="Y22" i="62"/>
  <c r="H25" i="62"/>
  <c r="X23" i="62"/>
  <c r="X22" i="62"/>
  <c r="AA24" i="62"/>
  <c r="Y24" i="62"/>
  <c r="H26" i="62"/>
  <c r="Z23" i="62"/>
  <c r="X26" i="62"/>
  <c r="I25" i="62"/>
  <c r="AA23" i="62"/>
  <c r="X25" i="62"/>
  <c r="I26" i="62"/>
  <c r="X24" i="62"/>
  <c r="Y25" i="62"/>
  <c r="Z25" i="62"/>
  <c r="H27" i="62"/>
  <c r="I27" i="62"/>
  <c r="AA25" i="62"/>
  <c r="Z26" i="62"/>
  <c r="Y26" i="62"/>
  <c r="AA26" i="62"/>
  <c r="AA27" i="62"/>
  <c r="Z27" i="62" l="1"/>
  <c r="X27" i="62"/>
  <c r="T247" i="62"/>
  <c r="Y8" i="62"/>
  <c r="Y27" i="62"/>
  <c r="U247" i="62"/>
  <c r="AA8" i="62"/>
  <c r="I33" i="62" l="1"/>
  <c r="H33" i="62"/>
  <c r="X37" i="62"/>
  <c r="Z37" i="62"/>
  <c r="Y37" i="62"/>
  <c r="AA37" i="62"/>
  <c r="I36" i="44" l="1"/>
  <c r="I35" i="44"/>
  <c r="B11" i="39" l="1"/>
  <c r="I34" i="44"/>
  <c r="E11" i="39" l="1"/>
  <c r="D11" i="39"/>
  <c r="C11" i="39"/>
  <c r="F11" i="39"/>
  <c r="B12" i="39"/>
  <c r="B11" i="44"/>
  <c r="B11" i="36"/>
  <c r="B13" i="39" l="1"/>
  <c r="D12" i="39"/>
  <c r="C12" i="39"/>
  <c r="F12" i="39"/>
  <c r="E12" i="39"/>
  <c r="F11" i="36"/>
  <c r="E11" i="36"/>
  <c r="D11" i="36"/>
  <c r="C11" i="36"/>
  <c r="D11" i="44"/>
  <c r="C11" i="44"/>
  <c r="F11" i="44"/>
  <c r="E11" i="44"/>
  <c r="B12" i="44"/>
  <c r="B12" i="36"/>
  <c r="B11" i="45"/>
  <c r="B14" i="39" l="1"/>
  <c r="E13" i="39"/>
  <c r="D13" i="39"/>
  <c r="C13" i="39"/>
  <c r="F13" i="39"/>
  <c r="F12" i="36"/>
  <c r="E12" i="36"/>
  <c r="C12" i="36"/>
  <c r="D12" i="36"/>
  <c r="F11" i="45"/>
  <c r="E11" i="45"/>
  <c r="D11" i="45"/>
  <c r="C11" i="45"/>
  <c r="D12" i="44"/>
  <c r="C12" i="44"/>
  <c r="E12" i="44"/>
  <c r="F12" i="44"/>
  <c r="B12" i="45"/>
  <c r="B13" i="44"/>
  <c r="B13" i="36"/>
  <c r="D14" i="39" l="1"/>
  <c r="C14" i="39"/>
  <c r="F14" i="39"/>
  <c r="E14" i="39"/>
  <c r="F13" i="36"/>
  <c r="C13" i="36"/>
  <c r="E13" i="36"/>
  <c r="D13" i="36"/>
  <c r="B14" i="44"/>
  <c r="D13" i="44"/>
  <c r="C13" i="44"/>
  <c r="E13" i="44"/>
  <c r="F13" i="44"/>
  <c r="B13" i="45"/>
  <c r="F12" i="45"/>
  <c r="E12" i="45"/>
  <c r="D12" i="45"/>
  <c r="C12" i="45"/>
  <c r="B14" i="36"/>
  <c r="F14" i="36" l="1"/>
  <c r="E14" i="36"/>
  <c r="D14" i="36"/>
  <c r="C14" i="36"/>
  <c r="B14" i="45"/>
  <c r="F13" i="45"/>
  <c r="E13" i="45"/>
  <c r="D13" i="45"/>
  <c r="C13" i="45"/>
  <c r="D14" i="44"/>
  <c r="C14" i="44"/>
  <c r="F14" i="44"/>
  <c r="E14" i="44"/>
  <c r="B15" i="44"/>
  <c r="D15" i="44" l="1"/>
  <c r="C15" i="44"/>
  <c r="E15" i="44"/>
  <c r="F15" i="44"/>
  <c r="F14" i="45"/>
  <c r="E14" i="45"/>
  <c r="D14" i="45"/>
  <c r="C14" i="45"/>
  <c r="E14" i="66"/>
  <c r="D14" i="66"/>
  <c r="B7" i="66"/>
  <c r="B8" i="66" s="1"/>
  <c r="B9" i="66" s="1"/>
  <c r="B10" i="66" s="1"/>
  <c r="B11" i="66" s="1"/>
  <c r="W164" i="65"/>
  <c r="W163" i="65"/>
  <c r="W162" i="65"/>
  <c r="V165" i="65"/>
  <c r="U165" i="65"/>
  <c r="T165" i="65"/>
  <c r="S165" i="65"/>
  <c r="R165" i="65"/>
  <c r="Q165" i="65"/>
  <c r="P165" i="65"/>
  <c r="O165" i="65"/>
  <c r="N165" i="65"/>
  <c r="M165" i="65"/>
  <c r="L165" i="65"/>
  <c r="K165" i="65"/>
  <c r="J165" i="65"/>
  <c r="I165" i="65"/>
  <c r="H165" i="65"/>
  <c r="G165" i="65"/>
  <c r="F165" i="65"/>
  <c r="E165" i="65"/>
  <c r="D165" i="65"/>
  <c r="C165" i="65"/>
  <c r="U83" i="65"/>
  <c r="Q83" i="65"/>
  <c r="M83" i="65"/>
  <c r="I83" i="65"/>
  <c r="E83" i="65"/>
  <c r="W82" i="65"/>
  <c r="V83" i="65"/>
  <c r="T83" i="65"/>
  <c r="S83" i="65"/>
  <c r="R83" i="65"/>
  <c r="P83" i="65"/>
  <c r="O83" i="65"/>
  <c r="N83" i="65"/>
  <c r="L83" i="65"/>
  <c r="K83" i="65"/>
  <c r="J83" i="65"/>
  <c r="H83" i="65"/>
  <c r="G83" i="65"/>
  <c r="F83" i="65"/>
  <c r="D83" i="65"/>
  <c r="C83" i="65"/>
  <c r="W83" i="65" s="1"/>
  <c r="W165" i="65" l="1"/>
  <c r="W81" i="65"/>
  <c r="W161" i="65"/>
  <c r="B15" i="39" l="1"/>
  <c r="D15" i="39" l="1"/>
  <c r="C15" i="39"/>
  <c r="F15" i="39"/>
  <c r="E15" i="39"/>
  <c r="B16" i="39"/>
  <c r="D16" i="39" l="1"/>
  <c r="C16" i="39"/>
  <c r="F16" i="39"/>
  <c r="E16" i="39"/>
  <c r="B17" i="39"/>
  <c r="D17" i="39" l="1"/>
  <c r="C17" i="39"/>
  <c r="F17" i="39"/>
  <c r="E17" i="39"/>
  <c r="B18" i="39"/>
  <c r="D18" i="39" l="1"/>
  <c r="C18" i="39"/>
  <c r="F18" i="39"/>
  <c r="E18" i="39"/>
  <c r="B19" i="39"/>
  <c r="D19" i="39" l="1"/>
  <c r="C19" i="39"/>
  <c r="F19" i="39"/>
  <c r="E19" i="39"/>
  <c r="B20" i="39"/>
  <c r="B33" i="29"/>
  <c r="D6" i="29"/>
  <c r="C6" i="29"/>
  <c r="D20" i="39" l="1"/>
  <c r="C20" i="39"/>
  <c r="F20" i="39"/>
  <c r="E20" i="39"/>
  <c r="B21" i="39"/>
  <c r="D21" i="39" l="1"/>
  <c r="C21" i="39"/>
  <c r="F21" i="39"/>
  <c r="E21" i="39"/>
  <c r="B22" i="39"/>
  <c r="D22" i="39" l="1"/>
  <c r="C22" i="39"/>
  <c r="F22" i="39"/>
  <c r="E22" i="39"/>
  <c r="B23" i="39"/>
  <c r="D48" i="13"/>
  <c r="D50" i="13"/>
  <c r="D23" i="39" l="1"/>
  <c r="C23" i="39"/>
  <c r="F23" i="39"/>
  <c r="E23" i="39"/>
  <c r="D49" i="13"/>
  <c r="D47" i="13"/>
  <c r="B24" i="39"/>
  <c r="D24" i="39" l="1"/>
  <c r="C24" i="39"/>
  <c r="F24" i="39"/>
  <c r="E24" i="39"/>
  <c r="B25" i="39"/>
  <c r="D25" i="39" l="1"/>
  <c r="C25" i="39"/>
  <c r="F25" i="39"/>
  <c r="E25" i="39"/>
  <c r="B26" i="39"/>
  <c r="B34" i="39"/>
  <c r="D26" i="39" l="1"/>
  <c r="C26" i="39"/>
  <c r="F26" i="39"/>
  <c r="E26" i="39"/>
  <c r="B27" i="39"/>
  <c r="D27" i="39" l="1"/>
  <c r="C27" i="39"/>
  <c r="F27" i="39"/>
  <c r="E27" i="39"/>
  <c r="B28" i="39"/>
  <c r="B29" i="39" l="1"/>
  <c r="D28" i="39"/>
  <c r="C28" i="39"/>
  <c r="F28" i="39"/>
  <c r="E28" i="39"/>
  <c r="B30" i="39"/>
  <c r="E30" i="39" l="1"/>
  <c r="D30" i="39"/>
  <c r="C30" i="39"/>
  <c r="F30" i="39"/>
  <c r="E29" i="39"/>
  <c r="D29" i="39"/>
  <c r="C29" i="39"/>
  <c r="F29" i="39"/>
  <c r="D10" i="29"/>
  <c r="C10" i="29"/>
  <c r="I11" i="45" l="1"/>
  <c r="I12" i="45" l="1"/>
  <c r="I13" i="45"/>
  <c r="I11" i="44"/>
  <c r="I12" i="44" s="1"/>
  <c r="I13" i="44" l="1"/>
  <c r="I14" i="44" s="1"/>
  <c r="I15" i="44" s="1"/>
  <c r="I16" i="44" s="1"/>
  <c r="I17" i="44" s="1"/>
  <c r="I18" i="44" s="1"/>
  <c r="I19" i="44" s="1"/>
  <c r="I20" i="44" s="1"/>
  <c r="I21" i="44" s="1"/>
  <c r="I22" i="44" s="1"/>
  <c r="I23" i="44" s="1"/>
  <c r="I24" i="44" s="1"/>
  <c r="I25" i="44" s="1"/>
  <c r="I26" i="44" s="1"/>
  <c r="I27" i="44" s="1"/>
  <c r="I14" i="45"/>
  <c r="I15" i="45" l="1"/>
  <c r="I16" i="45" l="1"/>
  <c r="I17" i="45" l="1"/>
  <c r="N10" i="13"/>
  <c r="K10" i="13"/>
  <c r="H10" i="13"/>
  <c r="E10" i="13"/>
  <c r="I18" i="45" l="1"/>
  <c r="I19" i="45" s="1"/>
  <c r="I20" i="45" s="1"/>
  <c r="I21" i="45" l="1"/>
  <c r="I22" i="45" l="1"/>
  <c r="I23" i="45" l="1"/>
  <c r="I24" i="45" l="1"/>
  <c r="I34" i="45" s="1"/>
  <c r="I25" i="45" l="1"/>
  <c r="I26" i="45" l="1"/>
  <c r="I35" i="45" l="1"/>
  <c r="I27" i="45"/>
  <c r="I36" i="45" s="1"/>
  <c r="B10" i="59" l="1"/>
  <c r="B11" i="59" l="1"/>
  <c r="B12" i="59" l="1"/>
  <c r="B13" i="59" l="1"/>
  <c r="B14" i="59" l="1"/>
  <c r="B15" i="59" l="1"/>
  <c r="B16" i="59" l="1"/>
  <c r="B17" i="59" l="1"/>
  <c r="B18" i="59" l="1"/>
  <c r="B19" i="59" l="1"/>
  <c r="B20" i="59" l="1"/>
  <c r="B21" i="59" l="1"/>
  <c r="B22" i="59" l="1"/>
  <c r="B23" i="59" l="1"/>
  <c r="B24" i="59" l="1"/>
  <c r="B25" i="59" l="1"/>
  <c r="B26" i="59" l="1"/>
  <c r="B27" i="59" l="1"/>
  <c r="B28" i="59" l="1"/>
  <c r="B29" i="59" s="1"/>
  <c r="D28" i="59"/>
  <c r="D29" i="59" s="1"/>
  <c r="C28" i="59"/>
  <c r="C29" i="59" s="1"/>
  <c r="B15" i="45" l="1"/>
  <c r="B16" i="45"/>
  <c r="F16" i="45" l="1"/>
  <c r="E16" i="45"/>
  <c r="D16" i="45"/>
  <c r="C16" i="45"/>
  <c r="F15" i="45"/>
  <c r="E15" i="45"/>
  <c r="D15" i="45"/>
  <c r="C15" i="45"/>
  <c r="B17" i="45"/>
  <c r="F17" i="45" l="1"/>
  <c r="E17" i="45"/>
  <c r="D17" i="45"/>
  <c r="C17" i="45"/>
  <c r="B18" i="45"/>
  <c r="F18" i="45" l="1"/>
  <c r="E18" i="45"/>
  <c r="D18" i="45"/>
  <c r="C18" i="45"/>
  <c r="B19" i="45"/>
  <c r="F19" i="45" l="1"/>
  <c r="E19" i="45"/>
  <c r="D19" i="45"/>
  <c r="C19" i="45"/>
  <c r="B20" i="45"/>
  <c r="B16" i="44"/>
  <c r="D16" i="44" l="1"/>
  <c r="C16" i="44"/>
  <c r="F16" i="44"/>
  <c r="E16" i="44"/>
  <c r="F20" i="45"/>
  <c r="E20" i="45"/>
  <c r="D20" i="45"/>
  <c r="C20" i="45"/>
  <c r="B21" i="45"/>
  <c r="B17" i="44"/>
  <c r="D17" i="44" l="1"/>
  <c r="C17" i="44"/>
  <c r="E17" i="44"/>
  <c r="F17" i="44"/>
  <c r="F21" i="45"/>
  <c r="E21" i="45"/>
  <c r="D21" i="45"/>
  <c r="C21" i="45"/>
  <c r="B22" i="45"/>
  <c r="B18" i="44"/>
  <c r="D18" i="44" l="1"/>
  <c r="C18" i="44"/>
  <c r="F18" i="44"/>
  <c r="E18" i="44"/>
  <c r="F22" i="45"/>
  <c r="E22" i="45"/>
  <c r="D22" i="45"/>
  <c r="C22" i="45"/>
  <c r="B23" i="45"/>
  <c r="B19" i="44"/>
  <c r="D19" i="44" l="1"/>
  <c r="C19" i="44"/>
  <c r="E19" i="44"/>
  <c r="F19" i="44"/>
  <c r="F23" i="45"/>
  <c r="E23" i="45"/>
  <c r="D23" i="45"/>
  <c r="C23" i="45"/>
  <c r="B24" i="45"/>
  <c r="B20" i="44"/>
  <c r="D20" i="44" l="1"/>
  <c r="C20" i="44"/>
  <c r="F20" i="44"/>
  <c r="E20" i="44"/>
  <c r="F24" i="45"/>
  <c r="E24" i="45"/>
  <c r="D24" i="45"/>
  <c r="C24" i="45"/>
  <c r="B25" i="45"/>
  <c r="B21" i="44"/>
  <c r="D21" i="44" l="1"/>
  <c r="C21" i="44"/>
  <c r="F21" i="44"/>
  <c r="E21" i="44"/>
  <c r="F25" i="45"/>
  <c r="E25" i="45"/>
  <c r="D25" i="45"/>
  <c r="C25" i="45"/>
  <c r="B26" i="45"/>
  <c r="B22" i="44"/>
  <c r="K41" i="45"/>
  <c r="B34" i="45"/>
  <c r="D22" i="44" l="1"/>
  <c r="C22" i="44"/>
  <c r="E22" i="44"/>
  <c r="F22" i="44"/>
  <c r="F26" i="45"/>
  <c r="E26" i="45"/>
  <c r="D26" i="45"/>
  <c r="C26" i="45"/>
  <c r="B27" i="45"/>
  <c r="B23" i="44"/>
  <c r="D23" i="44" l="1"/>
  <c r="C23" i="44"/>
  <c r="F23" i="44"/>
  <c r="E23" i="44"/>
  <c r="F27" i="45"/>
  <c r="E27" i="45"/>
  <c r="D27" i="45"/>
  <c r="C27" i="45"/>
  <c r="B28" i="45"/>
  <c r="B24" i="44"/>
  <c r="D24" i="44" l="1"/>
  <c r="C24" i="44"/>
  <c r="E24" i="44"/>
  <c r="F24" i="44"/>
  <c r="F28" i="45"/>
  <c r="E28" i="45"/>
  <c r="D28" i="45"/>
  <c r="C28" i="45"/>
  <c r="B29" i="45"/>
  <c r="B25" i="44"/>
  <c r="D25" i="44" l="1"/>
  <c r="C25" i="44"/>
  <c r="F25" i="44"/>
  <c r="E25" i="44"/>
  <c r="F29" i="45"/>
  <c r="E29" i="45"/>
  <c r="D29" i="45"/>
  <c r="C29" i="45"/>
  <c r="B26" i="44"/>
  <c r="B34" i="44"/>
  <c r="K41" i="44"/>
  <c r="D26" i="44" l="1"/>
  <c r="C26" i="44"/>
  <c r="F26" i="44"/>
  <c r="E26" i="44"/>
  <c r="B27" i="44"/>
  <c r="D27" i="44" l="1"/>
  <c r="C27" i="44"/>
  <c r="F27" i="44"/>
  <c r="E27" i="44"/>
  <c r="B28" i="44"/>
  <c r="D28" i="44" l="1"/>
  <c r="C28" i="44"/>
  <c r="F28" i="44"/>
  <c r="E28" i="44"/>
  <c r="B29" i="44"/>
  <c r="D29" i="44" l="1"/>
  <c r="C29" i="44"/>
  <c r="F29" i="44"/>
  <c r="E29" i="44"/>
  <c r="B30" i="44"/>
  <c r="D30" i="44" l="1"/>
  <c r="C30" i="44"/>
  <c r="F30" i="44"/>
  <c r="E30" i="44"/>
  <c r="B33" i="32"/>
  <c r="B13" i="13" l="1"/>
  <c r="B14" i="13" l="1"/>
  <c r="B15" i="13" l="1"/>
  <c r="B16" i="13" l="1"/>
  <c r="B17" i="13" l="1"/>
  <c r="B18" i="13" l="1"/>
  <c r="B19" i="13" l="1"/>
  <c r="B20" i="13" l="1"/>
  <c r="B21" i="13" l="1"/>
  <c r="B22" i="13" l="1"/>
  <c r="B23" i="13" l="1"/>
  <c r="B24" i="13" l="1"/>
  <c r="B25" i="13" l="1"/>
  <c r="B26" i="13" l="1"/>
  <c r="B27" i="13" l="1"/>
  <c r="B28" i="13" l="1"/>
  <c r="F10" i="32" l="1"/>
  <c r="C10" i="32"/>
  <c r="D10" i="32"/>
  <c r="E10" i="32"/>
  <c r="B11" i="32"/>
  <c r="B11" i="29"/>
  <c r="B12" i="29" s="1"/>
  <c r="B13" i="29" s="1"/>
  <c r="B14" i="29" s="1"/>
  <c r="B15" i="29" s="1"/>
  <c r="B16" i="29" s="1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l="1"/>
  <c r="D28" i="29"/>
  <c r="C28" i="29"/>
  <c r="D11" i="32"/>
  <c r="E11" i="32"/>
  <c r="C11" i="32"/>
  <c r="F11" i="32"/>
  <c r="D11" i="29"/>
  <c r="C11" i="29"/>
  <c r="B12" i="32"/>
  <c r="C29" i="29" l="1"/>
  <c r="D29" i="29"/>
  <c r="C12" i="29"/>
  <c r="D12" i="29"/>
  <c r="D12" i="32"/>
  <c r="F12" i="32"/>
  <c r="E12" i="32"/>
  <c r="C12" i="32"/>
  <c r="B13" i="32"/>
  <c r="F13" i="32" l="1"/>
  <c r="D13" i="32"/>
  <c r="C13" i="32"/>
  <c r="E13" i="32"/>
  <c r="C13" i="29"/>
  <c r="D13" i="29"/>
  <c r="B14" i="32"/>
  <c r="C14" i="29" l="1"/>
  <c r="D14" i="29"/>
  <c r="E14" i="32"/>
  <c r="D14" i="32"/>
  <c r="C14" i="32"/>
  <c r="F14" i="32"/>
  <c r="B15" i="32"/>
  <c r="C15" i="29" l="1"/>
  <c r="D15" i="29"/>
  <c r="D15" i="32"/>
  <c r="C15" i="32"/>
  <c r="E15" i="32"/>
  <c r="F15" i="32"/>
  <c r="B16" i="32"/>
  <c r="E16" i="32" l="1"/>
  <c r="F16" i="32"/>
  <c r="D16" i="32"/>
  <c r="C16" i="32"/>
  <c r="C16" i="29"/>
  <c r="D16" i="29"/>
  <c r="B17" i="32"/>
  <c r="E17" i="32" l="1"/>
  <c r="C17" i="32"/>
  <c r="D17" i="32"/>
  <c r="F17" i="32"/>
  <c r="C17" i="29"/>
  <c r="D17" i="29"/>
  <c r="B18" i="32"/>
  <c r="D18" i="29" l="1"/>
  <c r="C18" i="29"/>
  <c r="D18" i="32"/>
  <c r="C18" i="32"/>
  <c r="F18" i="32"/>
  <c r="E18" i="32"/>
  <c r="B19" i="32"/>
  <c r="C19" i="29" l="1"/>
  <c r="D19" i="29"/>
  <c r="C19" i="32"/>
  <c r="F19" i="32"/>
  <c r="D19" i="32"/>
  <c r="E19" i="32"/>
  <c r="B20" i="32"/>
  <c r="E20" i="32" l="1"/>
  <c r="D20" i="32"/>
  <c r="F20" i="32"/>
  <c r="C20" i="32"/>
  <c r="C20" i="29"/>
  <c r="D20" i="29"/>
  <c r="B21" i="32"/>
  <c r="C21" i="32" l="1"/>
  <c r="D21" i="32"/>
  <c r="F21" i="32"/>
  <c r="E21" i="32"/>
  <c r="D21" i="29"/>
  <c r="C21" i="29"/>
  <c r="B22" i="32"/>
  <c r="C22" i="29" l="1"/>
  <c r="D22" i="29"/>
  <c r="C22" i="32"/>
  <c r="D22" i="32"/>
  <c r="E22" i="32"/>
  <c r="F22" i="32"/>
  <c r="B23" i="32"/>
  <c r="C23" i="29" l="1"/>
  <c r="D23" i="29"/>
  <c r="F23" i="32"/>
  <c r="C23" i="32"/>
  <c r="E23" i="32"/>
  <c r="D23" i="32"/>
  <c r="B24" i="32"/>
  <c r="C24" i="29" l="1"/>
  <c r="D24" i="29"/>
  <c r="F24" i="32"/>
  <c r="C24" i="32"/>
  <c r="D24" i="32"/>
  <c r="E24" i="32"/>
  <c r="B25" i="32"/>
  <c r="C25" i="29" l="1"/>
  <c r="D25" i="29"/>
  <c r="B26" i="32"/>
  <c r="B27" i="32" s="1"/>
  <c r="B28" i="32" s="1"/>
  <c r="B29" i="32" s="1"/>
  <c r="D25" i="32"/>
  <c r="E25" i="32"/>
  <c r="C25" i="32"/>
  <c r="F25" i="32"/>
  <c r="D29" i="32" l="1"/>
  <c r="C29" i="32"/>
  <c r="F29" i="32"/>
  <c r="E29" i="32"/>
  <c r="D28" i="32"/>
  <c r="C28" i="32"/>
  <c r="F28" i="32"/>
  <c r="E28" i="32"/>
  <c r="C27" i="32"/>
  <c r="D27" i="32"/>
  <c r="E27" i="32"/>
  <c r="F27" i="32"/>
  <c r="C26" i="29"/>
  <c r="D26" i="29"/>
  <c r="E26" i="32"/>
  <c r="C26" i="32"/>
  <c r="D26" i="32"/>
  <c r="F26" i="32"/>
  <c r="C27" i="29" l="1"/>
  <c r="D27" i="29"/>
  <c r="B15" i="36" l="1"/>
  <c r="F15" i="36" l="1"/>
  <c r="C15" i="36"/>
  <c r="E15" i="36"/>
  <c r="D15" i="36"/>
  <c r="B16" i="36"/>
  <c r="F16" i="36" l="1"/>
  <c r="E16" i="36"/>
  <c r="C16" i="36"/>
  <c r="D16" i="36"/>
  <c r="B17" i="36"/>
  <c r="F17" i="36" l="1"/>
  <c r="E17" i="36"/>
  <c r="D17" i="36"/>
  <c r="C17" i="36"/>
  <c r="B18" i="36"/>
  <c r="F18" i="36" l="1"/>
  <c r="C18" i="36"/>
  <c r="E18" i="36"/>
  <c r="D18" i="36"/>
  <c r="B19" i="36"/>
  <c r="F19" i="36" l="1"/>
  <c r="E19" i="36"/>
  <c r="C19" i="36"/>
  <c r="D19" i="36"/>
  <c r="B20" i="36"/>
  <c r="F20" i="36" l="1"/>
  <c r="E20" i="36"/>
  <c r="D20" i="36"/>
  <c r="C20" i="36"/>
  <c r="B21" i="36"/>
  <c r="F21" i="36" l="1"/>
  <c r="C21" i="36"/>
  <c r="E21" i="36"/>
  <c r="D21" i="36"/>
  <c r="B22" i="36"/>
  <c r="F22" i="36" l="1"/>
  <c r="E22" i="36"/>
  <c r="D22" i="36"/>
  <c r="C22" i="36"/>
  <c r="B23" i="36"/>
  <c r="F23" i="36" l="1"/>
  <c r="E23" i="36"/>
  <c r="C23" i="36"/>
  <c r="D23" i="36"/>
  <c r="B24" i="36"/>
  <c r="F24" i="36" l="1"/>
  <c r="E24" i="36"/>
  <c r="D24" i="36"/>
  <c r="C24" i="36"/>
  <c r="B25" i="36"/>
  <c r="F25" i="36" l="1"/>
  <c r="E25" i="36"/>
  <c r="D25" i="36"/>
  <c r="C25" i="36"/>
  <c r="B26" i="36"/>
  <c r="F26" i="36" l="1"/>
  <c r="E26" i="36"/>
  <c r="D26" i="36"/>
  <c r="C26" i="36"/>
  <c r="B27" i="36"/>
  <c r="F27" i="36" l="1"/>
  <c r="E27" i="36"/>
  <c r="D27" i="36"/>
  <c r="C27" i="36"/>
  <c r="B28" i="36"/>
  <c r="B29" i="36" l="1"/>
  <c r="F28" i="36"/>
  <c r="C28" i="36"/>
  <c r="E28" i="36"/>
  <c r="D28" i="36"/>
  <c r="B30" i="36"/>
  <c r="B34" i="36"/>
  <c r="F30" i="36" l="1"/>
  <c r="E30" i="36"/>
  <c r="D30" i="36"/>
  <c r="C30" i="36"/>
  <c r="F29" i="36"/>
  <c r="E29" i="36"/>
  <c r="C29" i="36"/>
  <c r="D29" i="36"/>
  <c r="C21" i="13"/>
  <c r="E21" i="13" s="1"/>
  <c r="C15" i="13"/>
  <c r="C14" i="13" l="1"/>
  <c r="E15" i="13"/>
  <c r="C13" i="13"/>
  <c r="C12" i="13"/>
  <c r="C20" i="13"/>
  <c r="E20" i="13" s="1"/>
  <c r="C18" i="13"/>
  <c r="E18" i="13" s="1"/>
  <c r="C17" i="13"/>
  <c r="E17" i="13" s="1"/>
  <c r="C16" i="13"/>
  <c r="E16" i="13" s="1"/>
  <c r="C19" i="13"/>
  <c r="E19" i="13" s="1"/>
  <c r="E12" i="13" l="1"/>
  <c r="E13" i="13"/>
  <c r="E14" i="13"/>
  <c r="C26" i="13" l="1"/>
  <c r="E26" i="13" s="1"/>
  <c r="C34" i="36" l="1"/>
  <c r="C29" i="13"/>
  <c r="E29" i="13" s="1"/>
  <c r="C27" i="13"/>
  <c r="E27" i="13" s="1"/>
  <c r="C28" i="13"/>
  <c r="E28" i="13" s="1"/>
  <c r="C25" i="13"/>
  <c r="E25" i="13" s="1"/>
  <c r="C23" i="13"/>
  <c r="E23" i="13" s="1"/>
  <c r="C24" i="13"/>
  <c r="E24" i="13" s="1"/>
  <c r="C22" i="13"/>
  <c r="D34" i="36"/>
  <c r="D36" i="36"/>
  <c r="D35" i="36"/>
  <c r="F34" i="36"/>
  <c r="F35" i="36"/>
  <c r="F36" i="36"/>
  <c r="E35" i="36"/>
  <c r="E34" i="36"/>
  <c r="E36" i="36"/>
  <c r="C36" i="36"/>
  <c r="C35" i="36"/>
  <c r="C40" i="13" l="1"/>
  <c r="C43" i="13"/>
  <c r="C37" i="13"/>
  <c r="E22" i="13"/>
  <c r="E43" i="13" l="1"/>
  <c r="E40" i="13"/>
  <c r="E37" i="13"/>
  <c r="U11" i="44"/>
  <c r="R15" i="44"/>
  <c r="R11" i="44"/>
  <c r="L16" i="44"/>
  <c r="L18" i="44"/>
  <c r="L12" i="44"/>
  <c r="R16" i="44"/>
  <c r="U14" i="44"/>
  <c r="U17" i="44"/>
  <c r="U15" i="44"/>
  <c r="U12" i="44"/>
  <c r="L17" i="44"/>
  <c r="R12" i="44"/>
  <c r="L14" i="44"/>
  <c r="R10" i="44"/>
  <c r="U13" i="44"/>
  <c r="R13" i="44"/>
  <c r="L13" i="44"/>
  <c r="L15" i="44"/>
  <c r="L19" i="44"/>
  <c r="L10" i="44"/>
  <c r="U19" i="44"/>
  <c r="U18" i="44"/>
  <c r="U16" i="44"/>
  <c r="R19" i="44"/>
  <c r="R17" i="44"/>
  <c r="R18" i="44"/>
  <c r="L11" i="44"/>
  <c r="R14" i="44"/>
  <c r="U10" i="44"/>
  <c r="O12" i="44" l="1"/>
  <c r="I14" i="13"/>
  <c r="O17" i="44"/>
  <c r="I19" i="13"/>
  <c r="K19" i="13" s="1"/>
  <c r="O10" i="44"/>
  <c r="I12" i="13"/>
  <c r="O11" i="44"/>
  <c r="I13" i="13"/>
  <c r="O19" i="44"/>
  <c r="I21" i="13"/>
  <c r="K21" i="13" s="1"/>
  <c r="O15" i="44"/>
  <c r="I17" i="13"/>
  <c r="K17" i="13" s="1"/>
  <c r="O14" i="44"/>
  <c r="I16" i="13"/>
  <c r="K16" i="13" s="1"/>
  <c r="I15" i="13"/>
  <c r="O13" i="44"/>
  <c r="I20" i="13"/>
  <c r="K20" i="13" s="1"/>
  <c r="O18" i="44"/>
  <c r="I18" i="13"/>
  <c r="K18" i="13" s="1"/>
  <c r="O16" i="44"/>
  <c r="K12" i="13" l="1"/>
  <c r="K15" i="13"/>
  <c r="K14" i="13"/>
  <c r="K13" i="13"/>
  <c r="U22" i="44" l="1"/>
  <c r="U24" i="44"/>
  <c r="U20" i="44"/>
  <c r="O23" i="44" l="1"/>
  <c r="O20" i="44"/>
  <c r="U26" i="44"/>
  <c r="U23" i="44"/>
  <c r="U21" i="44"/>
  <c r="U25" i="44"/>
  <c r="L20" i="44"/>
  <c r="L23" i="44"/>
  <c r="R24" i="44"/>
  <c r="R26" i="44"/>
  <c r="R20" i="44"/>
  <c r="R21" i="44"/>
  <c r="R25" i="44"/>
  <c r="L24" i="44"/>
  <c r="L22" i="44"/>
  <c r="U41" i="44" l="1"/>
  <c r="O24" i="44"/>
  <c r="I26" i="13"/>
  <c r="K26" i="13" s="1"/>
  <c r="U36" i="44"/>
  <c r="V36" i="44" s="1"/>
  <c r="F36" i="44" s="1"/>
  <c r="O22" i="44"/>
  <c r="O21" i="44"/>
  <c r="I22" i="13"/>
  <c r="U34" i="44"/>
  <c r="V34" i="44" s="1"/>
  <c r="O25" i="44"/>
  <c r="O34" i="44"/>
  <c r="P34" i="44" s="1"/>
  <c r="O41" i="44"/>
  <c r="O26" i="44"/>
  <c r="O36" i="44" s="1"/>
  <c r="P36" i="44" s="1"/>
  <c r="D36" i="44" s="1"/>
  <c r="U35" i="44"/>
  <c r="V35" i="44" s="1"/>
  <c r="F35" i="44" s="1"/>
  <c r="R22" i="44"/>
  <c r="R23" i="44"/>
  <c r="L27" i="44"/>
  <c r="R27" i="44"/>
  <c r="L26" i="44"/>
  <c r="L25" i="44"/>
  <c r="U27" i="44"/>
  <c r="L21" i="44"/>
  <c r="L41" i="44" s="1"/>
  <c r="I29" i="13"/>
  <c r="K29" i="13" s="1"/>
  <c r="R41" i="44" l="1"/>
  <c r="O35" i="44"/>
  <c r="P35" i="44" s="1"/>
  <c r="D35" i="44" s="1"/>
  <c r="P24" i="44"/>
  <c r="P19" i="44"/>
  <c r="P21" i="44"/>
  <c r="P11" i="44"/>
  <c r="P13" i="44"/>
  <c r="D34" i="44"/>
  <c r="P17" i="44"/>
  <c r="P20" i="44"/>
  <c r="P10" i="44"/>
  <c r="P26" i="44"/>
  <c r="P23" i="44"/>
  <c r="P14" i="44"/>
  <c r="P15" i="44"/>
  <c r="P12" i="44"/>
  <c r="P22" i="44"/>
  <c r="P25" i="44"/>
  <c r="P16" i="44"/>
  <c r="P27" i="44"/>
  <c r="P18" i="44"/>
  <c r="V22" i="44"/>
  <c r="V13" i="44"/>
  <c r="V14" i="44"/>
  <c r="F34" i="44"/>
  <c r="V19" i="44"/>
  <c r="V27" i="44"/>
  <c r="V18" i="44"/>
  <c r="V15" i="44"/>
  <c r="V16" i="44"/>
  <c r="V10" i="44"/>
  <c r="V11" i="44"/>
  <c r="V26" i="44"/>
  <c r="V21" i="44"/>
  <c r="V20" i="44"/>
  <c r="V24" i="44"/>
  <c r="V25" i="44"/>
  <c r="V17" i="44"/>
  <c r="V12" i="44"/>
  <c r="V23" i="44"/>
  <c r="L35" i="44"/>
  <c r="M35" i="44" s="1"/>
  <c r="C35" i="44" s="1"/>
  <c r="R36" i="44"/>
  <c r="S36" i="44" s="1"/>
  <c r="E36" i="44" s="1"/>
  <c r="I25" i="13"/>
  <c r="K25" i="13" s="1"/>
  <c r="K22" i="13"/>
  <c r="L36" i="44"/>
  <c r="M36" i="44" s="1"/>
  <c r="C36" i="44" s="1"/>
  <c r="R35" i="44"/>
  <c r="S35" i="44" s="1"/>
  <c r="E35" i="44" s="1"/>
  <c r="I27" i="13"/>
  <c r="K27" i="13" s="1"/>
  <c r="I23" i="13"/>
  <c r="K23" i="13" s="1"/>
  <c r="L34" i="44"/>
  <c r="M34" i="44" s="1"/>
  <c r="R34" i="44"/>
  <c r="S34" i="44" s="1"/>
  <c r="O27" i="44"/>
  <c r="I28" i="13"/>
  <c r="K28" i="13" s="1"/>
  <c r="I24" i="13"/>
  <c r="K24" i="13" s="1"/>
  <c r="I37" i="13" l="1"/>
  <c r="I43" i="13"/>
  <c r="K37" i="13"/>
  <c r="K40" i="13"/>
  <c r="K43" i="13"/>
  <c r="I40" i="13"/>
  <c r="S10" i="44"/>
  <c r="S15" i="44"/>
  <c r="S24" i="44"/>
  <c r="S20" i="44"/>
  <c r="S13" i="44"/>
  <c r="S26" i="44"/>
  <c r="S19" i="44"/>
  <c r="S16" i="44"/>
  <c r="S21" i="44"/>
  <c r="S25" i="44"/>
  <c r="S14" i="44"/>
  <c r="S12" i="44"/>
  <c r="S22" i="44"/>
  <c r="S17" i="44"/>
  <c r="S23" i="44"/>
  <c r="S18" i="44"/>
  <c r="S27" i="44"/>
  <c r="E34" i="44"/>
  <c r="S11" i="44"/>
  <c r="M23" i="44"/>
  <c r="M14" i="44"/>
  <c r="M17" i="44"/>
  <c r="M24" i="44"/>
  <c r="M11" i="44"/>
  <c r="C34" i="44"/>
  <c r="M10" i="44"/>
  <c r="M21" i="44"/>
  <c r="M22" i="44"/>
  <c r="M20" i="44"/>
  <c r="M26" i="44"/>
  <c r="M27" i="44"/>
  <c r="M15" i="44"/>
  <c r="M16" i="44"/>
  <c r="M19" i="44"/>
  <c r="M18" i="44"/>
  <c r="M13" i="44"/>
  <c r="M25" i="44"/>
  <c r="M12" i="44"/>
  <c r="V41" i="44"/>
  <c r="V42" i="44" s="1"/>
  <c r="P41" i="44"/>
  <c r="P42" i="44" s="1"/>
  <c r="M41" i="44" l="1"/>
  <c r="M42" i="44" s="1"/>
  <c r="S41" i="44"/>
  <c r="S42" i="44" s="1"/>
  <c r="F18" i="13" l="1"/>
  <c r="H18" i="13" s="1"/>
  <c r="F19" i="13" l="1"/>
  <c r="H19" i="13" s="1"/>
  <c r="F12" i="13"/>
  <c r="F20" i="13"/>
  <c r="H20" i="13" s="1"/>
  <c r="F16" i="13"/>
  <c r="H16" i="13" s="1"/>
  <c r="F15" i="13"/>
  <c r="F17" i="13"/>
  <c r="H17" i="13" s="1"/>
  <c r="F14" i="13"/>
  <c r="F13" i="13"/>
  <c r="F21" i="13"/>
  <c r="H21" i="13" s="1"/>
  <c r="H12" i="13" l="1"/>
  <c r="H15" i="13"/>
  <c r="H13" i="13"/>
  <c r="H14" i="13"/>
  <c r="F26" i="13" l="1"/>
  <c r="H26" i="13" s="1"/>
  <c r="F25" i="13"/>
  <c r="H25" i="13" s="1"/>
  <c r="F24" i="13"/>
  <c r="H24" i="13" s="1"/>
  <c r="F29" i="13"/>
  <c r="H29" i="13" s="1"/>
  <c r="F28" i="13"/>
  <c r="H28" i="13" s="1"/>
  <c r="F23" i="13" l="1"/>
  <c r="H23" i="13" s="1"/>
  <c r="F22" i="13"/>
  <c r="D36" i="39"/>
  <c r="D34" i="39"/>
  <c r="D35" i="39"/>
  <c r="E36" i="39"/>
  <c r="E35" i="39"/>
  <c r="E34" i="39"/>
  <c r="C35" i="39"/>
  <c r="C36" i="39"/>
  <c r="C34" i="39"/>
  <c r="F27" i="13"/>
  <c r="H27" i="13" s="1"/>
  <c r="F36" i="39"/>
  <c r="F35" i="39"/>
  <c r="F34" i="39"/>
  <c r="F40" i="13" l="1"/>
  <c r="F37" i="13"/>
  <c r="F43" i="13"/>
  <c r="H22" i="13"/>
  <c r="H43" i="13" l="1"/>
  <c r="H40" i="13"/>
  <c r="H37" i="13"/>
  <c r="L29" i="45"/>
  <c r="L24" i="45"/>
  <c r="R24" i="45"/>
  <c r="L26" i="45"/>
  <c r="U21" i="45"/>
  <c r="U23" i="45"/>
  <c r="U27" i="45"/>
  <c r="U29" i="45"/>
  <c r="U22" i="45"/>
  <c r="U25" i="45"/>
  <c r="R23" i="45"/>
  <c r="O28" i="45"/>
  <c r="R21" i="45"/>
  <c r="R27" i="45"/>
  <c r="O29" i="45"/>
  <c r="R26" i="45"/>
  <c r="L27" i="45"/>
  <c r="R25" i="45"/>
  <c r="L23" i="45"/>
  <c r="U28" i="45"/>
  <c r="L28" i="45"/>
  <c r="R22" i="45"/>
  <c r="R29" i="45"/>
  <c r="U24" i="45"/>
  <c r="L21" i="45"/>
  <c r="L29" i="13"/>
  <c r="N29" i="13" s="1"/>
  <c r="R28" i="45"/>
  <c r="L22" i="45"/>
  <c r="U26" i="45"/>
  <c r="L25" i="45"/>
  <c r="L28" i="13" l="1"/>
  <c r="N28" i="13" s="1"/>
  <c r="O26" i="45"/>
  <c r="O21" i="45"/>
  <c r="L23" i="13"/>
  <c r="N23" i="13" s="1"/>
  <c r="L26" i="13"/>
  <c r="N26" i="13" s="1"/>
  <c r="O24" i="45"/>
  <c r="O27" i="45"/>
  <c r="O23" i="45"/>
  <c r="L25" i="13"/>
  <c r="N25" i="13" s="1"/>
  <c r="L24" i="13"/>
  <c r="N24" i="13" s="1"/>
  <c r="O22" i="45"/>
  <c r="L27" i="13"/>
  <c r="N27" i="13" s="1"/>
  <c r="O25" i="45"/>
  <c r="U12" i="45" l="1"/>
  <c r="R10" i="45"/>
  <c r="U10" i="45"/>
  <c r="O11" i="45" l="1"/>
  <c r="O12" i="45"/>
  <c r="L10" i="45"/>
  <c r="U11" i="45"/>
  <c r="O10" i="45" l="1"/>
  <c r="L12" i="13"/>
  <c r="R12" i="45"/>
  <c r="N12" i="13" l="1"/>
  <c r="L12" i="45"/>
  <c r="L14" i="13"/>
  <c r="L11" i="45"/>
  <c r="U17" i="45"/>
  <c r="U15" i="45"/>
  <c r="L15" i="45"/>
  <c r="R17" i="45"/>
  <c r="R13" i="45"/>
  <c r="L17" i="45"/>
  <c r="R15" i="45"/>
  <c r="U13" i="45"/>
  <c r="R11" i="45"/>
  <c r="L19" i="45"/>
  <c r="U16" i="45"/>
  <c r="U19" i="45"/>
  <c r="R20" i="45"/>
  <c r="U20" i="45"/>
  <c r="R16" i="45"/>
  <c r="U14" i="45"/>
  <c r="L13" i="45"/>
  <c r="L16" i="45"/>
  <c r="L18" i="45"/>
  <c r="L20" i="45"/>
  <c r="U18" i="45"/>
  <c r="R14" i="45"/>
  <c r="L14" i="45"/>
  <c r="R19" i="45"/>
  <c r="R18" i="45"/>
  <c r="O16" i="45" l="1"/>
  <c r="L18" i="13"/>
  <c r="N18" i="13" s="1"/>
  <c r="O13" i="45"/>
  <c r="L15" i="13"/>
  <c r="L13" i="13"/>
  <c r="L36" i="45"/>
  <c r="M36" i="45" s="1"/>
  <c r="C36" i="45" s="1"/>
  <c r="R41" i="45"/>
  <c r="R34" i="45"/>
  <c r="S34" i="45" s="1"/>
  <c r="R36" i="45"/>
  <c r="S36" i="45" s="1"/>
  <c r="E36" i="45" s="1"/>
  <c r="L41" i="45"/>
  <c r="L34" i="45"/>
  <c r="M34" i="45" s="1"/>
  <c r="L20" i="13"/>
  <c r="N20" i="13" s="1"/>
  <c r="O18" i="45"/>
  <c r="O14" i="45"/>
  <c r="L16" i="13"/>
  <c r="N16" i="13" s="1"/>
  <c r="U36" i="45"/>
  <c r="V36" i="45" s="1"/>
  <c r="F36" i="45" s="1"/>
  <c r="U35" i="45"/>
  <c r="V35" i="45" s="1"/>
  <c r="F35" i="45" s="1"/>
  <c r="U34" i="45"/>
  <c r="V34" i="45" s="1"/>
  <c r="U41" i="45"/>
  <c r="L17" i="13"/>
  <c r="N17" i="13" s="1"/>
  <c r="O15" i="45"/>
  <c r="N14" i="13"/>
  <c r="R35" i="45"/>
  <c r="S35" i="45" s="1"/>
  <c r="E35" i="45" s="1"/>
  <c r="O19" i="45"/>
  <c r="L21" i="13"/>
  <c r="N21" i="13" s="1"/>
  <c r="L22" i="13"/>
  <c r="N22" i="13" s="1"/>
  <c r="O20" i="45"/>
  <c r="L19" i="13"/>
  <c r="N19" i="13" s="1"/>
  <c r="O17" i="45"/>
  <c r="L35" i="45"/>
  <c r="M35" i="45" s="1"/>
  <c r="C35" i="45" s="1"/>
  <c r="L43" i="13" l="1"/>
  <c r="L40" i="13"/>
  <c r="L37" i="13"/>
  <c r="S29" i="45"/>
  <c r="S28" i="45"/>
  <c r="S14" i="45"/>
  <c r="S26" i="45"/>
  <c r="S22" i="45"/>
  <c r="S15" i="45"/>
  <c r="S21" i="45"/>
  <c r="S27" i="45"/>
  <c r="S19" i="45"/>
  <c r="S11" i="45"/>
  <c r="S25" i="45"/>
  <c r="S23" i="45"/>
  <c r="S24" i="45"/>
  <c r="S13" i="45"/>
  <c r="S10" i="45"/>
  <c r="S17" i="45"/>
  <c r="S16" i="45"/>
  <c r="E34" i="45"/>
  <c r="S18" i="45"/>
  <c r="S12" i="45"/>
  <c r="S20" i="45"/>
  <c r="N15" i="13"/>
  <c r="N43" i="13" s="1"/>
  <c r="M29" i="45"/>
  <c r="M28" i="45"/>
  <c r="M11" i="45"/>
  <c r="M18" i="45"/>
  <c r="M22" i="45"/>
  <c r="M24" i="45"/>
  <c r="M17" i="45"/>
  <c r="M25" i="45"/>
  <c r="M16" i="45"/>
  <c r="C34" i="45"/>
  <c r="M12" i="45"/>
  <c r="M21" i="45"/>
  <c r="M26" i="45"/>
  <c r="M15" i="45"/>
  <c r="M20" i="45"/>
  <c r="M23" i="45"/>
  <c r="M27" i="45"/>
  <c r="M19" i="45"/>
  <c r="M14" i="45"/>
  <c r="M13" i="45"/>
  <c r="M10" i="45"/>
  <c r="O36" i="45"/>
  <c r="P36" i="45" s="1"/>
  <c r="D36" i="45" s="1"/>
  <c r="O35" i="45"/>
  <c r="P35" i="45" s="1"/>
  <c r="D35" i="45" s="1"/>
  <c r="O41" i="45"/>
  <c r="O34" i="45"/>
  <c r="P34" i="45" s="1"/>
  <c r="V28" i="45"/>
  <c r="V29" i="45"/>
  <c r="F34" i="45"/>
  <c r="V14" i="45"/>
  <c r="V10" i="45"/>
  <c r="V13" i="45"/>
  <c r="V25" i="45"/>
  <c r="V19" i="45"/>
  <c r="V22" i="45"/>
  <c r="V23" i="45"/>
  <c r="V12" i="45"/>
  <c r="V20" i="45"/>
  <c r="V17" i="45"/>
  <c r="V16" i="45"/>
  <c r="V15" i="45"/>
  <c r="V18" i="45"/>
  <c r="V24" i="45"/>
  <c r="V27" i="45"/>
  <c r="V26" i="45"/>
  <c r="V21" i="45"/>
  <c r="V11" i="45"/>
  <c r="N13" i="13"/>
  <c r="N40" i="13" l="1"/>
  <c r="N37" i="13"/>
  <c r="V41" i="45"/>
  <c r="V42" i="45" s="1"/>
  <c r="S41" i="45"/>
  <c r="S42" i="45" s="1"/>
  <c r="P29" i="45"/>
  <c r="P28" i="45"/>
  <c r="P20" i="45"/>
  <c r="P14" i="45"/>
  <c r="P24" i="45"/>
  <c r="P18" i="45"/>
  <c r="P10" i="45"/>
  <c r="P21" i="45"/>
  <c r="P12" i="45"/>
  <c r="P25" i="45"/>
  <c r="P22" i="45"/>
  <c r="P13" i="45"/>
  <c r="P11" i="45"/>
  <c r="P19" i="45"/>
  <c r="D34" i="45"/>
  <c r="P27" i="45"/>
  <c r="P26" i="45"/>
  <c r="P17" i="45"/>
  <c r="P16" i="45"/>
  <c r="P15" i="45"/>
  <c r="P23" i="45"/>
  <c r="M41" i="45"/>
  <c r="M42" i="45" s="1"/>
  <c r="P41" i="45" l="1"/>
  <c r="P42" i="45" s="1"/>
</calcChain>
</file>

<file path=xl/sharedStrings.xml><?xml version="1.0" encoding="utf-8"?>
<sst xmlns="http://schemas.openxmlformats.org/spreadsheetml/2006/main" count="490" uniqueCount="297">
  <si>
    <t>Year</t>
  </si>
  <si>
    <t>(a)</t>
  </si>
  <si>
    <t>(b)</t>
  </si>
  <si>
    <t>(c)</t>
  </si>
  <si>
    <t>(d)</t>
  </si>
  <si>
    <t>Table 3</t>
  </si>
  <si>
    <t>Table 4</t>
  </si>
  <si>
    <t>$/MWH</t>
  </si>
  <si>
    <t>$/MMBtu</t>
  </si>
  <si>
    <t>Winter</t>
  </si>
  <si>
    <t>Summer</t>
  </si>
  <si>
    <t>Current</t>
  </si>
  <si>
    <t>Avoided Costs</t>
  </si>
  <si>
    <t>Comparison between Proposed and Current Avoided Costs</t>
  </si>
  <si>
    <t>Table 1</t>
  </si>
  <si>
    <t>Source</t>
  </si>
  <si>
    <t>Natural Gas Price - Delivered to Plant</t>
  </si>
  <si>
    <t>($/MWH)</t>
  </si>
  <si>
    <t>Prices on this tab are formated to be cut and pasted directly into the tariff page</t>
  </si>
  <si>
    <t>Market Price $/MWH</t>
  </si>
  <si>
    <t>HLH</t>
  </si>
  <si>
    <t>LLH</t>
  </si>
  <si>
    <t>Mid-Columbia</t>
  </si>
  <si>
    <t>Palo Verde</t>
  </si>
  <si>
    <t>Electricity Market Prices</t>
  </si>
  <si>
    <t>Month</t>
  </si>
  <si>
    <t>$/MWh</t>
  </si>
  <si>
    <t>Calendar Year</t>
  </si>
  <si>
    <t>Off-Peak Energy Prices (¢/kWh)</t>
  </si>
  <si>
    <t xml:space="preserve">Deliveries During </t>
  </si>
  <si>
    <t>Capacity Contribution</t>
  </si>
  <si>
    <t>Wind</t>
  </si>
  <si>
    <t>Integration Costs</t>
  </si>
  <si>
    <t>Solar</t>
  </si>
  <si>
    <t>Avoided Cost Prices for Wind QF</t>
  </si>
  <si>
    <t>Avoided Cost Prices for Base Load QF</t>
  </si>
  <si>
    <t>East</t>
  </si>
  <si>
    <t>Expansion Resources</t>
  </si>
  <si>
    <t>West</t>
  </si>
  <si>
    <t>Avoided Cost Prices for Fixed Solar QF</t>
  </si>
  <si>
    <t>Avoided Cost Prices for Tracking Solar QF</t>
  </si>
  <si>
    <t>on-peak Summer</t>
  </si>
  <si>
    <t>on-peak Winter</t>
  </si>
  <si>
    <t>off-peak Summer</t>
  </si>
  <si>
    <t>off-peak Winter</t>
  </si>
  <si>
    <t>Generation Profile_Baseload</t>
  </si>
  <si>
    <t>Generation Profile_Wind*</t>
  </si>
  <si>
    <t>Natural Gas Price Delivered to Plant  ($/MMBtu)</t>
  </si>
  <si>
    <t>Market Prices in $/MWH</t>
  </si>
  <si>
    <t>FORWARD PRICE CURVE SUMMARY</t>
  </si>
  <si>
    <t>Quotes Dated:</t>
  </si>
  <si>
    <t>Sample of source data</t>
  </si>
  <si>
    <t>Date</t>
  </si>
  <si>
    <t>Mid C</t>
  </si>
  <si>
    <t>PV</t>
  </si>
  <si>
    <t>Chk Ttl</t>
  </si>
  <si>
    <t>Check Totals</t>
  </si>
  <si>
    <t>PV HLH/Flat Ratio</t>
  </si>
  <si>
    <t>PV Flat</t>
  </si>
  <si>
    <t>PV LLH/Flat Ratio</t>
  </si>
  <si>
    <t xml:space="preserve"> </t>
  </si>
  <si>
    <t>On Peak Energy Prices (¢/kWh)</t>
  </si>
  <si>
    <t>BASE LOAD</t>
  </si>
  <si>
    <t>WIND</t>
  </si>
  <si>
    <t>SOLAR FIXED</t>
  </si>
  <si>
    <t>SOLAR TRACKING</t>
  </si>
  <si>
    <t>Hayden 1</t>
  </si>
  <si>
    <t>Hayden 2</t>
  </si>
  <si>
    <t>DaveJohnston 1</t>
  </si>
  <si>
    <t>DaveJohnston 2</t>
  </si>
  <si>
    <t>DaveJohnston 3</t>
  </si>
  <si>
    <t>DaveJohnston 4</t>
  </si>
  <si>
    <t>Generation Profile_Solar Fixed</t>
  </si>
  <si>
    <t>Generation Profile_Solar Tracking</t>
  </si>
  <si>
    <t>Table 6</t>
  </si>
  <si>
    <t>Burnertip Annual Average Price</t>
  </si>
  <si>
    <t>15-year (2019-2033) Nominal Levelized</t>
  </si>
  <si>
    <t>15-year (2020-2034) Nominal Levelized</t>
  </si>
  <si>
    <t>Off-Peak Energy Prices (¢/kWh) (1)</t>
  </si>
  <si>
    <t>Annual</t>
  </si>
  <si>
    <t>No.</t>
  </si>
  <si>
    <t>Partial Displacement</t>
  </si>
  <si>
    <t>Name plate</t>
  </si>
  <si>
    <t>Start Date</t>
  </si>
  <si>
    <t>Total Signed MW</t>
  </si>
  <si>
    <t>Period</t>
  </si>
  <si>
    <t>On Peak Winter</t>
  </si>
  <si>
    <t>On Peak Summer</t>
  </si>
  <si>
    <t>Total Hours</t>
  </si>
  <si>
    <t>HLH Hour %</t>
  </si>
  <si>
    <t>Sun/Hol</t>
  </si>
  <si>
    <t>HLH Days</t>
  </si>
  <si>
    <t>Table 5</t>
  </si>
  <si>
    <t>(e)</t>
  </si>
  <si>
    <t>(f)</t>
  </si>
  <si>
    <t>(g)</t>
  </si>
  <si>
    <t>(h)</t>
  </si>
  <si>
    <t>(i)</t>
  </si>
  <si>
    <t>(j)</t>
  </si>
  <si>
    <t>(k)</t>
  </si>
  <si>
    <t>(l)</t>
  </si>
  <si>
    <t>Proposed</t>
  </si>
  <si>
    <t>Total Difference</t>
  </si>
  <si>
    <t>(1): On- and off- peak prices are reduced by integration charges</t>
  </si>
  <si>
    <t>On-Peak Energy Prices (¢/kWh)</t>
  </si>
  <si>
    <t>Peak Winter</t>
  </si>
  <si>
    <t>Peak Summer</t>
  </si>
  <si>
    <t>Off Peak  Winter</t>
  </si>
  <si>
    <t>Off Peak  Summer</t>
  </si>
  <si>
    <t>$ With degradation</t>
  </si>
  <si>
    <t>0.5 % Degradation</t>
  </si>
  <si>
    <t>Check</t>
  </si>
  <si>
    <t>(x) Extrapolated</t>
  </si>
  <si>
    <t>West Side</t>
  </si>
  <si>
    <t>Huntington 1</t>
  </si>
  <si>
    <t>Huntington 2</t>
  </si>
  <si>
    <t>Energy Efficiency, ID</t>
  </si>
  <si>
    <t>Energy Efficiency, UT</t>
  </si>
  <si>
    <t>Energy Efficiency, WY</t>
  </si>
  <si>
    <t>JimBridger 3</t>
  </si>
  <si>
    <t>JimBridger 4</t>
  </si>
  <si>
    <t>Hermiston</t>
  </si>
  <si>
    <t>Energy Efficiency, CA</t>
  </si>
  <si>
    <t>Energy Efficiency, OR</t>
  </si>
  <si>
    <t>Energy Efficiency, WA</t>
  </si>
  <si>
    <t>Battery Storage - Willamette Valley</t>
  </si>
  <si>
    <t>Contracts Queue</t>
  </si>
  <si>
    <t>Signed Contracts</t>
  </si>
  <si>
    <t>Capacity Factor (%)</t>
  </si>
  <si>
    <t>Capacity Contribution (%)</t>
  </si>
  <si>
    <t>Summer/Winter:</t>
  </si>
  <si>
    <t>S</t>
  </si>
  <si>
    <t>W</t>
  </si>
  <si>
    <t>Solar &amp; Storage</t>
  </si>
  <si>
    <t>Idaho Falls, ID</t>
  </si>
  <si>
    <t>Lakeview, OR</t>
  </si>
  <si>
    <t>Milford, UT</t>
  </si>
  <si>
    <t>Yakima, WA</t>
  </si>
  <si>
    <t>Rock Springs, WY</t>
  </si>
  <si>
    <t>Wind &amp; Storage</t>
  </si>
  <si>
    <t>Pocatello, ID</t>
  </si>
  <si>
    <t>Arlington, OR</t>
  </si>
  <si>
    <t>Monticello, UT</t>
  </si>
  <si>
    <t>Goldendale, WA</t>
  </si>
  <si>
    <t>Medicine Bow, WY</t>
  </si>
  <si>
    <t>Stand-alone Storage</t>
  </si>
  <si>
    <t>2 hour duration</t>
  </si>
  <si>
    <t>4 hour duration</t>
  </si>
  <si>
    <t>9 hour duration</t>
  </si>
  <si>
    <t>(2): Levelized prices reflect a 0.5% annual degradation rate</t>
  </si>
  <si>
    <t>Off-Peak Energy Prices (¢/kWh) (2)</t>
  </si>
  <si>
    <t>Wind Integration</t>
  </si>
  <si>
    <t>Solar Integration</t>
  </si>
  <si>
    <t>Exxon Mobil</t>
  </si>
  <si>
    <t>2021 IRP Update Preferred Portfolio</t>
  </si>
  <si>
    <t>PacifiCorp’s 2021 IRP Update, Volume I  – Chapter 6</t>
  </si>
  <si>
    <t>Portfolio Category</t>
  </si>
  <si>
    <t xml:space="preserve"> Total</t>
  </si>
  <si>
    <t>Thermal Plant Retirements, Conversions</t>
  </si>
  <si>
    <t>Coal Plant End-of-life Retirements</t>
  </si>
  <si>
    <t>Craig 1</t>
  </si>
  <si>
    <t>Craig 2</t>
  </si>
  <si>
    <t>Wyodak</t>
  </si>
  <si>
    <t>Coal Plant End-of-life Retirements Total</t>
  </si>
  <si>
    <t>Coal Early Retirements</t>
  </si>
  <si>
    <t>Naughton 1 (Coal Early Retirement - 2025)</t>
  </si>
  <si>
    <t>Naughton 2 (Coal Early Retirement - 2025)</t>
  </si>
  <si>
    <t>Coal Early Retirements Total</t>
  </si>
  <si>
    <t>Gas Plant End-of-life Retirements</t>
  </si>
  <si>
    <t>Gadsby 1</t>
  </si>
  <si>
    <t>Gadsby 2</t>
  </si>
  <si>
    <t>Gadsby 3</t>
  </si>
  <si>
    <t>Gadsby 4</t>
  </si>
  <si>
    <t>Gadsby 5</t>
  </si>
  <si>
    <t>Gadsby 6</t>
  </si>
  <si>
    <t>Naughton 3 GC</t>
  </si>
  <si>
    <t>Gas Plant End-of-life Retirements Total</t>
  </si>
  <si>
    <t>Thermal Plant Retirements, Conversions Total</t>
  </si>
  <si>
    <t>NonEmitting Peaker</t>
  </si>
  <si>
    <t xml:space="preserve">NonEmitting Peaker - Utah North </t>
  </si>
  <si>
    <t>NonEmitting Peaker - Huntington 3</t>
  </si>
  <si>
    <t>NonEmitting Peaker Total</t>
  </si>
  <si>
    <t>Nuclear</t>
  </si>
  <si>
    <t>Advanced-Nuclear-Naughton</t>
  </si>
  <si>
    <t>Nuclear Total</t>
  </si>
  <si>
    <t>Nuclear Storage</t>
  </si>
  <si>
    <t>Nuclear Storage - Naughton</t>
  </si>
  <si>
    <t>Nuclear Storage Total</t>
  </si>
  <si>
    <t>Renewable - Wind</t>
  </si>
  <si>
    <t>Wind, Wyoming East</t>
  </si>
  <si>
    <t>RFP-Wind - Goshen</t>
  </si>
  <si>
    <t>RFP-Wind - Wyoming East</t>
  </si>
  <si>
    <t>Renewable - Wind Total</t>
  </si>
  <si>
    <t>Renewable - Utility Solar+Storage</t>
  </si>
  <si>
    <t>Utility Solar + Storage - PV - Utah North</t>
  </si>
  <si>
    <t>Utility Solar + Storage - PV - Utah South</t>
  </si>
  <si>
    <t>Utility Solar + Storage - PV - Hunter</t>
  </si>
  <si>
    <t>RFP-PVS Solar - Utah North</t>
  </si>
  <si>
    <t>RFP-PVS Solar - Utah South</t>
  </si>
  <si>
    <t>Renewable - Utility Solar+Storage Total</t>
  </si>
  <si>
    <t>Battery - Stand Alone</t>
  </si>
  <si>
    <t>Battery Storage - DJ+Wyodak</t>
  </si>
  <si>
    <t>RFP-Battery Storage - Utah-N</t>
  </si>
  <si>
    <t>Battery - Stand Alone Total</t>
  </si>
  <si>
    <t>DSM - Demand Response</t>
  </si>
  <si>
    <t>DR Summer - ID</t>
  </si>
  <si>
    <t>DR Summer - UT</t>
  </si>
  <si>
    <t>DR Summer - WY</t>
  </si>
  <si>
    <t>DR Winter - ID</t>
  </si>
  <si>
    <t>DR Winter - UT</t>
  </si>
  <si>
    <t>DR Winter - WY</t>
  </si>
  <si>
    <t>RFP- DSM DRS - Goshen</t>
  </si>
  <si>
    <t>RFP- DSM DRS - Utah North</t>
  </si>
  <si>
    <t>RFP- DSM DRS - Wyoming Central</t>
  </si>
  <si>
    <t>DSM - Demand Response Total</t>
  </si>
  <si>
    <t>DSM - Energy Efficiency</t>
  </si>
  <si>
    <t>Energy Efficiency-Home Energy Report, ID</t>
  </si>
  <si>
    <t>Energy Efficiency-Home Energy Report, UT</t>
  </si>
  <si>
    <t>DSM - Energy Efficiency Total</t>
  </si>
  <si>
    <t>Front Office Transactions</t>
  </si>
  <si>
    <t>FOT - Mona, Winter</t>
  </si>
  <si>
    <t>FOT - Mona, Summer</t>
  </si>
  <si>
    <t>Front Office Transactions Total</t>
  </si>
  <si>
    <t>Renewable - Battery (Solar+Storage)</t>
  </si>
  <si>
    <t>PVS Battery - Utah North</t>
  </si>
  <si>
    <t>PVS Battery - Utah South</t>
  </si>
  <si>
    <t>PVS Battery - Hunter</t>
  </si>
  <si>
    <t>RFP-PVS Battery - Utah North</t>
  </si>
  <si>
    <t>RFP-PVS Battery - Utah South</t>
  </si>
  <si>
    <t>Renewable - Battery (Solar+Storage) Total</t>
  </si>
  <si>
    <t>Expansion Resources Total</t>
  </si>
  <si>
    <t>Colstrip 3</t>
  </si>
  <si>
    <t>Colstrip 4</t>
  </si>
  <si>
    <t>Coal - Gas Conversions</t>
  </si>
  <si>
    <t>2024.JimBridger 1 GC, Coal Ends</t>
  </si>
  <si>
    <t>2024.JimBridger 2 GC, Coal Ends</t>
  </si>
  <si>
    <t>Coal - Gas Conversions Total</t>
  </si>
  <si>
    <t xml:space="preserve">NonEmitting Peaker - Hermiston </t>
  </si>
  <si>
    <t xml:space="preserve">NonEmitting Peaker - Bridger </t>
  </si>
  <si>
    <t>Advanced-Nuclear-Bridger</t>
  </si>
  <si>
    <t>Nuclear Storage - Bridger</t>
  </si>
  <si>
    <t>Wind, Portland North Coast</t>
  </si>
  <si>
    <t>Wind, Willamette Valley</t>
  </si>
  <si>
    <t>Wind, Bridger</t>
  </si>
  <si>
    <t>Wind, Walla Walla - WA</t>
  </si>
  <si>
    <t>Wind, Yakima</t>
  </si>
  <si>
    <t>Renewable - Wind+Storage</t>
  </si>
  <si>
    <t>Wind+Storage, Yakima</t>
  </si>
  <si>
    <t>Renewable - Wind+Storage Total</t>
  </si>
  <si>
    <t>Utility Solar + Storage - PV - BorahPop</t>
  </si>
  <si>
    <t>Utility Solar + Storage - PV - Central OR</t>
  </si>
  <si>
    <t>Utility Solar + Storage - PV - Southern OR</t>
  </si>
  <si>
    <t>Utility Solar + Storage - PV - Yakima</t>
  </si>
  <si>
    <t>RFP-PVS Solar - Southern OR</t>
  </si>
  <si>
    <t>Storage - Pumped Hydro</t>
  </si>
  <si>
    <t>Pump Storage - West</t>
  </si>
  <si>
    <t>Storage - Pumped Hydro Total</t>
  </si>
  <si>
    <t>DR Summer - CA</t>
  </si>
  <si>
    <t>DR Summer - OR</t>
  </si>
  <si>
    <t>DR Summer - WA</t>
  </si>
  <si>
    <t>DR Winter - CA</t>
  </si>
  <si>
    <t>DR Winter - OR</t>
  </si>
  <si>
    <t>DR Winter - WA</t>
  </si>
  <si>
    <t>RFP- DSM DRS - Southern OR - CA</t>
  </si>
  <si>
    <t>RFP- DSM DRS - Southern OR</t>
  </si>
  <si>
    <t>RFP- DSM DRS - Yakima</t>
  </si>
  <si>
    <t>Energy Efficiency-Home Energy Report, OR</t>
  </si>
  <si>
    <t>Energy Efficiency-Home Energy Report, WA</t>
  </si>
  <si>
    <t>FOT - Mid-C, Summer</t>
  </si>
  <si>
    <t>FOT - COB, Winter</t>
  </si>
  <si>
    <t>FOT - Mid-C, Winter</t>
  </si>
  <si>
    <t>FOT - NOB, Winter</t>
  </si>
  <si>
    <t>PVS Battery - Central OR</t>
  </si>
  <si>
    <t>PVS Battery - Southern OR</t>
  </si>
  <si>
    <t>PVS Battery - Yakima</t>
  </si>
  <si>
    <t>PVS Battery - BorahPop</t>
  </si>
  <si>
    <t>RFP-PVS Battery - Southern OR</t>
  </si>
  <si>
    <t>1/ Front office transaction amounts reflect one-year transaction periods, are not additive</t>
  </si>
  <si>
    <t>Simplot Phosphates</t>
  </si>
  <si>
    <t>Sunnyside Solar QF</t>
  </si>
  <si>
    <t>2021 IRP Appendix K</t>
  </si>
  <si>
    <t>Table K.2 – Final CF Method Capacity Contribution Values for Solar Combined with Storage</t>
  </si>
  <si>
    <t>Table K.1 – Final CF Method Capacity Contribution Values for Wind, Solar, and Storage</t>
  </si>
  <si>
    <t>Seasonal Split</t>
  </si>
  <si>
    <t>Source: 2021 IRP - Appendix F - Flexible Reserve Study</t>
  </si>
  <si>
    <t>East Side</t>
  </si>
  <si>
    <t>Discount Rate - 2021 IRP Update</t>
  </si>
  <si>
    <t>Inflation: 2021 IRP Update.  Chapter 5. Pg. 55.</t>
  </si>
  <si>
    <t>Kennecott Smelter</t>
  </si>
  <si>
    <t>Kennecott Refinery</t>
  </si>
  <si>
    <t>Tesoro</t>
  </si>
  <si>
    <t>(3): Renewable energy credits transfer to the utility starting in 2026</t>
  </si>
  <si>
    <t>(2): Renewable energy credits transfer to the utility starting in 2026</t>
  </si>
  <si>
    <t>15-year (2023-2037) Nominal Levelized</t>
  </si>
  <si>
    <t>15-year (2024-2038) Nominal Levelized</t>
  </si>
  <si>
    <t>On-Peak Energy Prices (¢/kWh)(2)</t>
  </si>
  <si>
    <t>On-Peak Energy Prices (¢/kWh)(1)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</si>
</sst>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&quot;$&quot;#,##0.00"/>
    <numFmt numFmtId="167" formatCode="0.0%"/>
    <numFmt numFmtId="168" formatCode="&quot;$&quot;###0;[Red]\(&quot;$&quot;###0\)"/>
    <numFmt numFmtId="169" formatCode="_(&quot;$&quot;* #,##0_);_(&quot;$&quot;* \(#,##0\);_(&quot;$&quot;* &quot;-&quot;??_);_(@_)"/>
    <numFmt numFmtId="170" formatCode="_(* #,##0_);[Red]_(* \(#,##0\);_(* &quot;-&quot;_);_(@_)"/>
    <numFmt numFmtId="171" formatCode="0.000"/>
    <numFmt numFmtId="172" formatCode="0.000%"/>
    <numFmt numFmtId="173" formatCode="#,##0.000_);\(#,##0.000\)"/>
    <numFmt numFmtId="174" formatCode="_(* #,##0.000_);[Red]_(* \(#,##0.000\);_(* &quot;-&quot;_);_(@_)"/>
    <numFmt numFmtId="175" formatCode="_(* #,##0.00_);[Red]_(* \(#,##0.00\);_(* &quot;-&quot;_);_(@_)"/>
    <numFmt numFmtId="176" formatCode="_(* #,##0.000_);_(* \(#,##0.000\);_(* &quot;-&quot;??_);_(@_)"/>
    <numFmt numFmtId="177" formatCode="[$-409]mmmm\ d\,\ yyyy;@"/>
    <numFmt numFmtId="178" formatCode="yyyy\ mm\ dd"/>
    <numFmt numFmtId="179" formatCode="_(* #,##0.0000_);_(* \(#,##0.0000\);_(* &quot;-&quot;??_);_(@_)"/>
    <numFmt numFmtId="180" formatCode="_(&quot;$&quot;* #,##0.000_);_(&quot;$&quot;* \(#,##0.000\);_(&quot;$&quot;* &quot;-&quot;??_);_(@_)"/>
    <numFmt numFmtId="181" formatCode="\ \ \ \ &quot;$&quot;0.00\ \(\x\)"/>
    <numFmt numFmtId="182" formatCode="\ \ \ \ &quot;$&quot;00.00\ \(\x\)"/>
    <numFmt numFmtId="183" formatCode="_(* #,##0.0_);_(* \(#,##0.0\);_(* &quot;-&quot;?_);_(@_)"/>
    <numFmt numFmtId="184" formatCode="_(* #,##0.00_);_(* \(#,##0.00\);_(* &quot;-&quot;?_);_(@_)"/>
    <numFmt numFmtId="185" formatCode="_(* #,##0_);_(* \(#,##0\);_(* &quot;-&quot;?_);_(@_)"/>
    <numFmt numFmtId="186" formatCode="0\ \(\3\)"/>
    <numFmt numFmtId="187" formatCode="0\ \(\2\)"/>
  </numFmts>
  <fonts count="43" x14ac:knownFonts="1">
    <font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sz val="12"/>
      <name val="Arial"/>
      <family val="2"/>
    </font>
    <font>
      <b/>
      <i/>
      <sz val="8"/>
      <color indexed="18"/>
      <name val="Helv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u/>
      <sz val="10"/>
      <name val="Times New Roman"/>
      <family val="1"/>
    </font>
    <font>
      <b/>
      <sz val="10"/>
      <name val="Arial"/>
      <family val="2"/>
    </font>
    <font>
      <sz val="9"/>
      <name val="Times New Roman"/>
      <family val="1"/>
    </font>
    <font>
      <u/>
      <sz val="9"/>
      <name val="Times New Roman"/>
      <family val="1"/>
    </font>
    <font>
      <u val="singleAccounting"/>
      <sz val="9"/>
      <name val="Times New Roman"/>
      <family val="1"/>
    </font>
    <font>
      <b/>
      <i/>
      <sz val="10"/>
      <name val="Arial"/>
      <family val="2"/>
    </font>
    <font>
      <b/>
      <u/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Times New Roman"/>
      <family val="1"/>
    </font>
    <font>
      <u/>
      <sz val="10"/>
      <color theme="10"/>
      <name val="Arial"/>
      <family val="2"/>
    </font>
    <font>
      <sz val="10"/>
      <color rgb="FF1F497D"/>
      <name val="Calibri"/>
      <family val="2"/>
    </font>
    <font>
      <u/>
      <sz val="10"/>
      <name val="Arial"/>
      <family val="2"/>
    </font>
    <font>
      <u/>
      <sz val="7.5"/>
      <color indexed="12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rgb="FFFF0000"/>
      <name val="Calibri"/>
      <family val="2"/>
      <scheme val="minor"/>
    </font>
    <font>
      <b/>
      <sz val="11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43">
    <xf numFmtId="17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8" fontId="19" fillId="0" borderId="0" applyFont="0" applyFill="0" applyBorder="0" applyProtection="0">
      <alignment horizontal="right"/>
    </xf>
    <xf numFmtId="0" fontId="18" fillId="0" borderId="0" applyNumberFormat="0" applyFill="0" applyBorder="0" applyAlignment="0">
      <protection locked="0"/>
    </xf>
    <xf numFmtId="165" fontId="20" fillId="0" borderId="0" applyNumberFormat="0" applyFill="0" applyBorder="0" applyAlignment="0" applyProtection="0"/>
    <xf numFmtId="0" fontId="21" fillId="0" borderId="1" applyNumberFormat="0" applyBorder="0" applyAlignment="0"/>
    <xf numFmtId="0" fontId="10" fillId="0" borderId="0"/>
    <xf numFmtId="170" fontId="10" fillId="0" borderId="0"/>
    <xf numFmtId="0" fontId="8" fillId="0" borderId="0"/>
    <xf numFmtId="170" fontId="8" fillId="0" borderId="0"/>
    <xf numFmtId="12" fontId="17" fillId="2" borderId="2">
      <alignment horizontal="left"/>
    </xf>
    <xf numFmtId="9" fontId="8" fillId="0" borderId="0" applyFont="0" applyFill="0" applyBorder="0" applyAlignment="0" applyProtection="0"/>
    <xf numFmtId="37" fontId="21" fillId="3" borderId="0" applyNumberFormat="0" applyBorder="0" applyAlignment="0" applyProtection="0"/>
    <xf numFmtId="37" fontId="22" fillId="0" borderId="0"/>
    <xf numFmtId="3" fontId="23" fillId="4" borderId="3" applyProtection="0"/>
    <xf numFmtId="170" fontId="8" fillId="0" borderId="0"/>
    <xf numFmtId="170" fontId="10" fillId="0" borderId="0"/>
    <xf numFmtId="0" fontId="7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6" fillId="0" borderId="0"/>
    <xf numFmtId="44" fontId="8" fillId="0" borderId="0" applyFont="0" applyFill="0" applyBorder="0" applyAlignment="0" applyProtection="0"/>
    <xf numFmtId="170" fontId="10" fillId="0" borderId="0"/>
    <xf numFmtId="170" fontId="8" fillId="0" borderId="0"/>
    <xf numFmtId="170" fontId="5" fillId="0" borderId="0"/>
    <xf numFmtId="170" fontId="8" fillId="0" borderId="0"/>
    <xf numFmtId="0" fontId="8" fillId="0" borderId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0" fontId="34" fillId="0" borderId="0" applyNumberFormat="0" applyFill="0" applyBorder="0" applyAlignment="0" applyProtection="0"/>
    <xf numFmtId="0" fontId="8" fillId="0" borderId="0"/>
    <xf numFmtId="170" fontId="8" fillId="0" borderId="0"/>
    <xf numFmtId="43" fontId="8" fillId="0" borderId="0" applyFont="0" applyFill="0" applyBorder="0" applyAlignment="0" applyProtection="0"/>
    <xf numFmtId="170" fontId="8" fillId="0" borderId="0"/>
    <xf numFmtId="0" fontId="37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26">
    <xf numFmtId="170" fontId="0" fillId="0" borderId="0" xfId="0"/>
    <xf numFmtId="170" fontId="11" fillId="0" borderId="0" xfId="0" applyFont="1" applyAlignment="1">
      <alignment horizontal="centerContinuous"/>
    </xf>
    <xf numFmtId="170" fontId="16" fillId="0" borderId="0" xfId="0" applyFont="1" applyAlignment="1">
      <alignment horizontal="centerContinuous"/>
    </xf>
    <xf numFmtId="170" fontId="12" fillId="0" borderId="0" xfId="0" applyFont="1" applyAlignment="1">
      <alignment horizontal="centerContinuous"/>
    </xf>
    <xf numFmtId="170" fontId="14" fillId="0" borderId="0" xfId="0" applyFont="1"/>
    <xf numFmtId="170" fontId="14" fillId="0" borderId="0" xfId="0" applyFont="1" applyAlignment="1">
      <alignment horizontal="centerContinuous"/>
    </xf>
    <xf numFmtId="170" fontId="15" fillId="0" borderId="0" xfId="0" applyFont="1"/>
    <xf numFmtId="170" fontId="11" fillId="0" borderId="0" xfId="8" applyFont="1" applyAlignment="1">
      <alignment horizontal="centerContinuous"/>
    </xf>
    <xf numFmtId="170" fontId="9" fillId="0" borderId="4" xfId="8" applyFont="1" applyBorder="1" applyAlignment="1">
      <alignment horizontal="center"/>
    </xf>
    <xf numFmtId="170" fontId="13" fillId="0" borderId="0" xfId="8" quotePrefix="1" applyFont="1" applyAlignment="1">
      <alignment horizontal="center"/>
    </xf>
    <xf numFmtId="170" fontId="12" fillId="0" borderId="0" xfId="8" applyFont="1" applyAlignment="1">
      <alignment horizontal="centerContinuous"/>
    </xf>
    <xf numFmtId="170" fontId="9" fillId="0" borderId="9" xfId="8" applyFont="1" applyBorder="1" applyAlignment="1">
      <alignment horizontal="centerContinuous"/>
    </xf>
    <xf numFmtId="170" fontId="9" fillId="0" borderId="5" xfId="8" applyFont="1" applyBorder="1" applyAlignment="1">
      <alignment horizontal="center"/>
    </xf>
    <xf numFmtId="170" fontId="9" fillId="0" borderId="8" xfId="8" applyFont="1" applyBorder="1" applyAlignment="1">
      <alignment horizontal="center"/>
    </xf>
    <xf numFmtId="170" fontId="24" fillId="0" borderId="0" xfId="8" applyFont="1" applyAlignment="1">
      <alignment horizontal="left"/>
    </xf>
    <xf numFmtId="170" fontId="0" fillId="0" borderId="0" xfId="8" applyFont="1"/>
    <xf numFmtId="167" fontId="0" fillId="0" borderId="0" xfId="12" applyNumberFormat="1" applyFont="1" applyFill="1"/>
    <xf numFmtId="170" fontId="0" fillId="0" borderId="0" xfId="8" applyFont="1" applyAlignment="1">
      <alignment horizontal="centerContinuous"/>
    </xf>
    <xf numFmtId="170" fontId="0" fillId="0" borderId="8" xfId="8" applyFont="1" applyBorder="1"/>
    <xf numFmtId="170" fontId="0" fillId="0" borderId="0" xfId="8" quotePrefix="1" applyFont="1" applyAlignment="1">
      <alignment horizontal="center"/>
    </xf>
    <xf numFmtId="0" fontId="0" fillId="0" borderId="0" xfId="8" applyNumberFormat="1" applyFont="1" applyAlignment="1">
      <alignment horizontal="center"/>
    </xf>
    <xf numFmtId="166" fontId="0" fillId="0" borderId="0" xfId="8" applyNumberFormat="1" applyFont="1" applyAlignment="1">
      <alignment horizontal="center"/>
    </xf>
    <xf numFmtId="170" fontId="0" fillId="0" borderId="0" xfId="8" applyFont="1" applyAlignment="1">
      <alignment horizontal="right"/>
    </xf>
    <xf numFmtId="170" fontId="0" fillId="0" borderId="0" xfId="8" applyFont="1" applyAlignment="1">
      <alignment horizontal="center"/>
    </xf>
    <xf numFmtId="172" fontId="0" fillId="0" borderId="0" xfId="0" applyNumberFormat="1" applyAlignment="1">
      <alignment horizontal="center"/>
    </xf>
    <xf numFmtId="170" fontId="26" fillId="0" borderId="0" xfId="0" applyFont="1"/>
    <xf numFmtId="170" fontId="26" fillId="0" borderId="0" xfId="0" applyFont="1" applyAlignment="1">
      <alignment horizontal="center"/>
    </xf>
    <xf numFmtId="170" fontId="27" fillId="0" borderId="0" xfId="0" applyFont="1" applyAlignment="1">
      <alignment horizontal="centerContinuous"/>
    </xf>
    <xf numFmtId="170" fontId="28" fillId="0" borderId="0" xfId="0" applyFont="1" applyAlignment="1">
      <alignment horizontal="center"/>
    </xf>
    <xf numFmtId="2" fontId="26" fillId="0" borderId="0" xfId="0" applyNumberFormat="1" applyFont="1" applyAlignment="1">
      <alignment horizontal="center"/>
    </xf>
    <xf numFmtId="0" fontId="26" fillId="0" borderId="0" xfId="0" applyNumberFormat="1" applyFont="1" applyAlignment="1">
      <alignment horizontal="center"/>
    </xf>
    <xf numFmtId="171" fontId="26" fillId="0" borderId="0" xfId="0" applyNumberFormat="1" applyFont="1" applyAlignment="1">
      <alignment horizontal="center"/>
    </xf>
    <xf numFmtId="8" fontId="26" fillId="0" borderId="0" xfId="0" applyNumberFormat="1" applyFont="1" applyAlignment="1">
      <alignment horizontal="left"/>
    </xf>
    <xf numFmtId="172" fontId="26" fillId="0" borderId="0" xfId="0" applyNumberFormat="1" applyFont="1" applyAlignment="1">
      <alignment horizontal="center"/>
    </xf>
    <xf numFmtId="170" fontId="26" fillId="0" borderId="0" xfId="0" applyFont="1" applyAlignment="1">
      <alignment horizontal="right"/>
    </xf>
    <xf numFmtId="170" fontId="26" fillId="0" borderId="0" xfId="0" applyFont="1" applyAlignment="1">
      <alignment horizontal="right" vertical="center" wrapText="1"/>
    </xf>
    <xf numFmtId="173" fontId="26" fillId="0" borderId="0" xfId="0" applyNumberFormat="1" applyFont="1" applyAlignment="1">
      <alignment horizontal="center" vertical="center"/>
    </xf>
    <xf numFmtId="1" fontId="26" fillId="0" borderId="0" xfId="0" applyNumberFormat="1" applyFont="1" applyAlignment="1">
      <alignment horizontal="center"/>
    </xf>
    <xf numFmtId="39" fontId="26" fillId="0" borderId="0" xfId="0" applyNumberFormat="1" applyFont="1" applyAlignment="1">
      <alignment horizontal="center"/>
    </xf>
    <xf numFmtId="39" fontId="26" fillId="0" borderId="0" xfId="0" applyNumberFormat="1" applyFont="1" applyAlignment="1">
      <alignment horizontal="center" vertical="center"/>
    </xf>
    <xf numFmtId="170" fontId="10" fillId="0" borderId="0" xfId="0" applyFont="1"/>
    <xf numFmtId="9" fontId="0" fillId="0" borderId="0" xfId="12" applyFont="1" applyFill="1"/>
    <xf numFmtId="170" fontId="10" fillId="0" borderId="0" xfId="17"/>
    <xf numFmtId="8" fontId="10" fillId="0" borderId="0" xfId="17" applyNumberFormat="1" applyAlignment="1">
      <alignment horizontal="right"/>
    </xf>
    <xf numFmtId="170" fontId="16" fillId="0" borderId="0" xfId="0" applyFont="1"/>
    <xf numFmtId="170" fontId="27" fillId="0" borderId="0" xfId="0" applyFont="1" applyAlignment="1">
      <alignment horizontal="left"/>
    </xf>
    <xf numFmtId="170" fontId="28" fillId="0" borderId="0" xfId="0" applyFont="1" applyAlignment="1">
      <alignment horizontal="left" vertical="top"/>
    </xf>
    <xf numFmtId="164" fontId="26" fillId="0" borderId="0" xfId="1" applyNumberFormat="1" applyFont="1" applyFill="1" applyBorder="1" applyAlignment="1">
      <alignment horizontal="left" vertical="top"/>
    </xf>
    <xf numFmtId="169" fontId="26" fillId="0" borderId="0" xfId="2" applyNumberFormat="1" applyFont="1" applyFill="1" applyBorder="1" applyAlignment="1">
      <alignment horizontal="left" vertical="top"/>
    </xf>
    <xf numFmtId="176" fontId="26" fillId="0" borderId="0" xfId="1" applyNumberFormat="1" applyFont="1" applyFill="1" applyBorder="1" applyAlignment="1">
      <alignment horizontal="left" vertical="top"/>
    </xf>
    <xf numFmtId="173" fontId="26" fillId="0" borderId="0" xfId="0" applyNumberFormat="1" applyFont="1" applyAlignment="1">
      <alignment horizontal="left" vertical="top"/>
    </xf>
    <xf numFmtId="175" fontId="26" fillId="0" borderId="0" xfId="0" applyNumberFormat="1" applyFont="1"/>
    <xf numFmtId="169" fontId="26" fillId="0" borderId="0" xfId="2" applyNumberFormat="1" applyFont="1" applyFill="1" applyBorder="1"/>
    <xf numFmtId="164" fontId="26" fillId="0" borderId="0" xfId="1" applyNumberFormat="1" applyFont="1" applyFill="1" applyBorder="1"/>
    <xf numFmtId="170" fontId="26" fillId="0" borderId="0" xfId="0" applyFont="1" applyAlignment="1">
      <alignment horizontal="left" vertical="top"/>
    </xf>
    <xf numFmtId="10" fontId="26" fillId="0" borderId="0" xfId="12" applyNumberFormat="1" applyFont="1" applyFill="1" applyBorder="1" applyAlignment="1">
      <alignment horizontal="left" vertical="top"/>
    </xf>
    <xf numFmtId="170" fontId="10" fillId="0" borderId="0" xfId="0" applyFont="1" applyAlignment="1">
      <alignment horizontal="centerContinuous"/>
    </xf>
    <xf numFmtId="170" fontId="17" fillId="0" borderId="0" xfId="0" applyFont="1" applyAlignment="1">
      <alignment horizontal="centerContinuous"/>
    </xf>
    <xf numFmtId="0" fontId="17" fillId="0" borderId="0" xfId="20" applyFont="1" applyAlignment="1">
      <alignment horizontal="centerContinuous"/>
    </xf>
    <xf numFmtId="170" fontId="25" fillId="0" borderId="0" xfId="0" applyFont="1" applyAlignment="1">
      <alignment horizontal="centerContinuous"/>
    </xf>
    <xf numFmtId="170" fontId="0" fillId="0" borderId="0" xfId="8" quotePrefix="1" applyFont="1"/>
    <xf numFmtId="170" fontId="8" fillId="0" borderId="0" xfId="0" applyFont="1" applyAlignment="1">
      <alignment horizontal="center"/>
    </xf>
    <xf numFmtId="170" fontId="9" fillId="0" borderId="0" xfId="0" applyFont="1" applyAlignment="1">
      <alignment horizontal="right"/>
    </xf>
    <xf numFmtId="177" fontId="10" fillId="0" borderId="0" xfId="0" applyNumberFormat="1" applyFont="1"/>
    <xf numFmtId="170" fontId="10" fillId="0" borderId="0" xfId="0" applyFont="1" applyAlignment="1">
      <alignment horizontal="left"/>
    </xf>
    <xf numFmtId="0" fontId="25" fillId="0" borderId="0" xfId="20" applyFont="1" applyAlignment="1">
      <alignment horizontal="center"/>
    </xf>
    <xf numFmtId="170" fontId="25" fillId="0" borderId="0" xfId="0" applyFont="1" applyAlignment="1">
      <alignment horizontal="center"/>
    </xf>
    <xf numFmtId="49" fontId="9" fillId="0" borderId="0" xfId="0" applyNumberFormat="1" applyFont="1" applyAlignment="1">
      <alignment horizontal="left"/>
    </xf>
    <xf numFmtId="170" fontId="25" fillId="0" borderId="9" xfId="0" applyFont="1" applyBorder="1" applyAlignment="1">
      <alignment horizontal="centerContinuous"/>
    </xf>
    <xf numFmtId="170" fontId="9" fillId="0" borderId="0" xfId="0" applyFont="1"/>
    <xf numFmtId="0" fontId="25" fillId="0" borderId="11" xfId="20" applyFont="1" applyBorder="1" applyAlignment="1">
      <alignment horizontal="center"/>
    </xf>
    <xf numFmtId="170" fontId="30" fillId="0" borderId="11" xfId="0" applyFont="1" applyBorder="1" applyAlignment="1">
      <alignment horizontal="center"/>
    </xf>
    <xf numFmtId="170" fontId="30" fillId="0" borderId="9" xfId="0" applyFont="1" applyBorder="1" applyAlignment="1">
      <alignment horizontal="center"/>
    </xf>
    <xf numFmtId="171" fontId="10" fillId="0" borderId="0" xfId="2" applyNumberFormat="1" applyFont="1" applyFill="1" applyBorder="1" applyAlignment="1">
      <alignment horizontal="center"/>
    </xf>
    <xf numFmtId="0" fontId="10" fillId="0" borderId="0" xfId="0" applyNumberFormat="1" applyFont="1" applyAlignment="1">
      <alignment horizontal="center"/>
    </xf>
    <xf numFmtId="39" fontId="10" fillId="0" borderId="0" xfId="1" applyNumberFormat="1" applyFont="1" applyFill="1" applyAlignment="1">
      <alignment horizontal="center"/>
    </xf>
    <xf numFmtId="17" fontId="8" fillId="0" borderId="10" xfId="0" applyNumberFormat="1" applyFont="1" applyBorder="1" applyAlignment="1">
      <alignment horizontal="center"/>
    </xf>
    <xf numFmtId="4" fontId="8" fillId="0" borderId="10" xfId="2" applyNumberFormat="1" applyFont="1" applyFill="1" applyBorder="1" applyAlignment="1">
      <alignment horizontal="center"/>
    </xf>
    <xf numFmtId="4" fontId="8" fillId="0" borderId="5" xfId="2" applyNumberFormat="1" applyFont="1" applyFill="1" applyBorder="1" applyAlignment="1">
      <alignment horizontal="center"/>
    </xf>
    <xf numFmtId="43" fontId="10" fillId="0" borderId="0" xfId="1" applyFont="1" applyFill="1" applyAlignment="1">
      <alignment horizontal="center"/>
    </xf>
    <xf numFmtId="17" fontId="10" fillId="0" borderId="10" xfId="0" applyNumberFormat="1" applyFont="1" applyBorder="1" applyAlignment="1">
      <alignment horizontal="center"/>
    </xf>
    <xf numFmtId="0" fontId="10" fillId="0" borderId="6" xfId="0" applyNumberFormat="1" applyFont="1" applyBorder="1" applyAlignment="1">
      <alignment horizontal="center"/>
    </xf>
    <xf numFmtId="17" fontId="10" fillId="0" borderId="11" xfId="0" applyNumberFormat="1" applyFont="1" applyBorder="1" applyAlignment="1">
      <alignment horizontal="center"/>
    </xf>
    <xf numFmtId="171" fontId="10" fillId="0" borderId="7" xfId="2" applyNumberFormat="1" applyFont="1" applyFill="1" applyBorder="1" applyAlignment="1">
      <alignment horizontal="center"/>
    </xf>
    <xf numFmtId="0" fontId="10" fillId="0" borderId="12" xfId="0" applyNumberFormat="1" applyFont="1" applyBorder="1" applyAlignment="1">
      <alignment horizontal="center"/>
    </xf>
    <xf numFmtId="17" fontId="8" fillId="0" borderId="11" xfId="0" applyNumberFormat="1" applyFont="1" applyBorder="1" applyAlignment="1">
      <alignment horizontal="center"/>
    </xf>
    <xf numFmtId="4" fontId="8" fillId="0" borderId="11" xfId="2" applyNumberFormat="1" applyFont="1" applyFill="1" applyBorder="1" applyAlignment="1">
      <alignment horizontal="center"/>
    </xf>
    <xf numFmtId="4" fontId="8" fillId="0" borderId="8" xfId="2" applyNumberFormat="1" applyFont="1" applyFill="1" applyBorder="1" applyAlignment="1">
      <alignment horizontal="center"/>
    </xf>
    <xf numFmtId="43" fontId="10" fillId="0" borderId="0" xfId="1" applyFont="1" applyFill="1"/>
    <xf numFmtId="39" fontId="10" fillId="0" borderId="9" xfId="1" applyNumberFormat="1" applyFont="1" applyFill="1" applyBorder="1" applyAlignment="1">
      <alignment horizontal="center"/>
    </xf>
    <xf numFmtId="170" fontId="10" fillId="0" borderId="9" xfId="0" applyFont="1" applyBorder="1" applyAlignment="1">
      <alignment horizontal="centerContinuous"/>
    </xf>
    <xf numFmtId="43" fontId="10" fillId="0" borderId="9" xfId="1" applyFont="1" applyFill="1" applyBorder="1" applyAlignment="1">
      <alignment horizontal="center"/>
    </xf>
    <xf numFmtId="170" fontId="10" fillId="0" borderId="0" xfId="0" applyFont="1" applyAlignment="1">
      <alignment horizontal="center"/>
    </xf>
    <xf numFmtId="0" fontId="8" fillId="0" borderId="0" xfId="20" applyAlignment="1">
      <alignment horizontal="center"/>
    </xf>
    <xf numFmtId="170" fontId="10" fillId="5" borderId="0" xfId="0" applyFont="1" applyFill="1"/>
    <xf numFmtId="170" fontId="8" fillId="0" borderId="0" xfId="0" applyFont="1"/>
    <xf numFmtId="0" fontId="10" fillId="0" borderId="0" xfId="20" applyFont="1" applyAlignment="1">
      <alignment horizontal="center"/>
    </xf>
    <xf numFmtId="170" fontId="8" fillId="0" borderId="9" xfId="0" applyFont="1" applyBorder="1" applyAlignment="1">
      <alignment horizontal="center"/>
    </xf>
    <xf numFmtId="4" fontId="8" fillId="0" borderId="0" xfId="2" applyNumberFormat="1" applyFont="1" applyFill="1" applyBorder="1" applyAlignment="1">
      <alignment horizontal="center"/>
    </xf>
    <xf numFmtId="170" fontId="10" fillId="0" borderId="0" xfId="0" applyFont="1" applyAlignment="1">
      <alignment wrapText="1"/>
    </xf>
    <xf numFmtId="175" fontId="10" fillId="0" borderId="0" xfId="0" applyNumberFormat="1" applyFont="1"/>
    <xf numFmtId="0" fontId="10" fillId="0" borderId="0" xfId="0" applyNumberFormat="1" applyFont="1"/>
    <xf numFmtId="170" fontId="10" fillId="0" borderId="10" xfId="0" applyFont="1" applyBorder="1" applyAlignment="1">
      <alignment horizontal="center"/>
    </xf>
    <xf numFmtId="170" fontId="10" fillId="0" borderId="0" xfId="0" quotePrefix="1" applyFont="1" applyAlignment="1">
      <alignment horizontal="center"/>
    </xf>
    <xf numFmtId="170" fontId="10" fillId="0" borderId="10" xfId="0" quotePrefix="1" applyFont="1" applyBorder="1" applyAlignment="1">
      <alignment horizontal="center"/>
    </xf>
    <xf numFmtId="166" fontId="10" fillId="0" borderId="0" xfId="0" applyNumberFormat="1" applyFont="1" applyAlignment="1">
      <alignment horizontal="center"/>
    </xf>
    <xf numFmtId="8" fontId="10" fillId="0" borderId="0" xfId="0" applyNumberFormat="1" applyFont="1" applyAlignment="1">
      <alignment horizontal="center"/>
    </xf>
    <xf numFmtId="166" fontId="10" fillId="0" borderId="10" xfId="0" applyNumberFormat="1" applyFont="1" applyBorder="1" applyAlignment="1">
      <alignment horizontal="center"/>
    </xf>
    <xf numFmtId="10" fontId="10" fillId="0" borderId="0" xfId="0" applyNumberFormat="1" applyFont="1" applyAlignment="1">
      <alignment horizontal="center"/>
    </xf>
    <xf numFmtId="170" fontId="10" fillId="0" borderId="0" xfId="0" applyFont="1" applyAlignment="1">
      <alignment horizontal="right"/>
    </xf>
    <xf numFmtId="39" fontId="1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10" fillId="0" borderId="0" xfId="7"/>
    <xf numFmtId="174" fontId="10" fillId="0" borderId="0" xfId="0" applyNumberFormat="1" applyFont="1"/>
    <xf numFmtId="8" fontId="26" fillId="0" borderId="0" xfId="0" applyNumberFormat="1" applyFont="1"/>
    <xf numFmtId="8" fontId="26" fillId="0" borderId="0" xfId="0" applyNumberFormat="1" applyFont="1" applyAlignment="1">
      <alignment horizontal="center"/>
    </xf>
    <xf numFmtId="170" fontId="9" fillId="0" borderId="0" xfId="0" applyFont="1" applyAlignment="1">
      <alignment horizontal="centerContinuous" wrapText="1"/>
    </xf>
    <xf numFmtId="170" fontId="10" fillId="0" borderId="15" xfId="0" applyFont="1" applyBorder="1"/>
    <xf numFmtId="170" fontId="9" fillId="6" borderId="18" xfId="0" applyFont="1" applyFill="1" applyBorder="1" applyAlignment="1">
      <alignment horizontal="centerContinuous"/>
    </xf>
    <xf numFmtId="170" fontId="10" fillId="6" borderId="19" xfId="0" applyFont="1" applyFill="1" applyBorder="1" applyAlignment="1">
      <alignment horizontal="centerContinuous"/>
    </xf>
    <xf numFmtId="170" fontId="0" fillId="0" borderId="0" xfId="0" applyAlignment="1">
      <alignment horizontal="right"/>
    </xf>
    <xf numFmtId="167" fontId="31" fillId="0" borderId="0" xfId="12" applyNumberFormat="1" applyFont="1" applyFill="1"/>
    <xf numFmtId="1" fontId="31" fillId="0" borderId="0" xfId="9" applyNumberFormat="1" applyFont="1" applyAlignment="1" applyProtection="1">
      <alignment horizontal="center"/>
      <protection locked="0"/>
    </xf>
    <xf numFmtId="170" fontId="11" fillId="0" borderId="0" xfId="8" applyFont="1" applyAlignment="1">
      <alignment horizontal="center"/>
    </xf>
    <xf numFmtId="167" fontId="33" fillId="0" borderId="0" xfId="12" applyNumberFormat="1" applyFont="1" applyFill="1"/>
    <xf numFmtId="170" fontId="0" fillId="0" borderId="0" xfId="8" applyFont="1" applyAlignment="1">
      <alignment horizontal="centerContinuous" wrapText="1"/>
    </xf>
    <xf numFmtId="9" fontId="10" fillId="0" borderId="0" xfId="12" applyFont="1" applyFill="1"/>
    <xf numFmtId="178" fontId="31" fillId="0" borderId="6" xfId="21" applyNumberFormat="1" applyFont="1" applyFill="1" applyBorder="1" applyAlignment="1">
      <alignment horizontal="center"/>
    </xf>
    <xf numFmtId="43" fontId="31" fillId="0" borderId="11" xfId="21" applyFont="1" applyFill="1" applyBorder="1"/>
    <xf numFmtId="178" fontId="31" fillId="0" borderId="12" xfId="21" applyNumberFormat="1" applyFont="1" applyFill="1" applyBorder="1" applyAlignment="1">
      <alignment horizontal="center"/>
    </xf>
    <xf numFmtId="2" fontId="31" fillId="0" borderId="9" xfId="21" applyNumberFormat="1" applyFont="1" applyFill="1" applyBorder="1" applyAlignment="1">
      <alignment horizontal="center"/>
    </xf>
    <xf numFmtId="178" fontId="31" fillId="0" borderId="20" xfId="21" applyNumberFormat="1" applyFont="1" applyFill="1" applyBorder="1" applyAlignment="1">
      <alignment horizontal="center"/>
    </xf>
    <xf numFmtId="170" fontId="32" fillId="0" borderId="0" xfId="17" applyFont="1" applyAlignment="1">
      <alignment horizontal="centerContinuous"/>
    </xf>
    <xf numFmtId="170" fontId="31" fillId="0" borderId="0" xfId="17" applyFont="1" applyAlignment="1">
      <alignment horizontal="centerContinuous"/>
    </xf>
    <xf numFmtId="170" fontId="31" fillId="0" borderId="0" xfId="17" applyFont="1"/>
    <xf numFmtId="170" fontId="32" fillId="0" borderId="14" xfId="17" applyFont="1" applyBorder="1" applyAlignment="1">
      <alignment horizontal="center"/>
    </xf>
    <xf numFmtId="170" fontId="32" fillId="0" borderId="14" xfId="17" applyFont="1" applyBorder="1" applyAlignment="1">
      <alignment horizontal="center" wrapText="1"/>
    </xf>
    <xf numFmtId="170" fontId="32" fillId="0" borderId="8" xfId="17" applyFont="1" applyBorder="1" applyAlignment="1">
      <alignment horizontal="centerContinuous"/>
    </xf>
    <xf numFmtId="170" fontId="32" fillId="0" borderId="8" xfId="17" quotePrefix="1" applyFont="1" applyBorder="1" applyAlignment="1">
      <alignment horizontal="center" wrapText="1"/>
    </xf>
    <xf numFmtId="170" fontId="31" fillId="0" borderId="0" xfId="17" quotePrefix="1" applyFont="1" applyAlignment="1">
      <alignment horizontal="center"/>
    </xf>
    <xf numFmtId="0" fontId="31" fillId="0" borderId="0" xfId="17" applyNumberFormat="1" applyFont="1" applyAlignment="1">
      <alignment horizontal="center"/>
    </xf>
    <xf numFmtId="8" fontId="31" fillId="0" borderId="0" xfId="17" applyNumberFormat="1" applyFont="1" applyAlignment="1">
      <alignment horizontal="center"/>
    </xf>
    <xf numFmtId="170" fontId="35" fillId="0" borderId="0" xfId="16" applyFont="1" applyAlignment="1">
      <alignment vertical="center"/>
    </xf>
    <xf numFmtId="170" fontId="34" fillId="0" borderId="0" xfId="32"/>
    <xf numFmtId="44" fontId="31" fillId="0" borderId="0" xfId="2" applyFont="1" applyFill="1"/>
    <xf numFmtId="0" fontId="31" fillId="0" borderId="0" xfId="17" applyNumberFormat="1" applyFont="1"/>
    <xf numFmtId="8" fontId="31" fillId="0" borderId="0" xfId="17" applyNumberFormat="1" applyFont="1" applyAlignment="1">
      <alignment horizontal="right"/>
    </xf>
    <xf numFmtId="170" fontId="9" fillId="0" borderId="9" xfId="0" quotePrefix="1" applyFont="1" applyBorder="1" applyAlignment="1">
      <alignment horizontal="center"/>
    </xf>
    <xf numFmtId="170" fontId="10" fillId="0" borderId="9" xfId="0" applyFont="1" applyBorder="1"/>
    <xf numFmtId="170" fontId="9" fillId="0" borderId="9" xfId="0" applyFont="1" applyBorder="1" applyAlignment="1">
      <alignment horizontal="centerContinuous"/>
    </xf>
    <xf numFmtId="170" fontId="9" fillId="0" borderId="9" xfId="0" applyFont="1" applyBorder="1" applyAlignment="1">
      <alignment horizontal="center"/>
    </xf>
    <xf numFmtId="0" fontId="8" fillId="0" borderId="0" xfId="33"/>
    <xf numFmtId="17" fontId="36" fillId="0" borderId="0" xfId="33" applyNumberFormat="1" applyFont="1"/>
    <xf numFmtId="0" fontId="8" fillId="8" borderId="0" xfId="33" applyFill="1"/>
    <xf numFmtId="170" fontId="8" fillId="0" borderId="0" xfId="34"/>
    <xf numFmtId="9" fontId="0" fillId="0" borderId="0" xfId="29" applyFont="1"/>
    <xf numFmtId="164" fontId="0" fillId="0" borderId="0" xfId="35" applyNumberFormat="1" applyFont="1"/>
    <xf numFmtId="165" fontId="0" fillId="0" borderId="0" xfId="0" applyNumberFormat="1"/>
    <xf numFmtId="170" fontId="10" fillId="0" borderId="9" xfId="0" applyFont="1" applyBorder="1" applyAlignment="1">
      <alignment horizontal="center" wrapText="1"/>
    </xf>
    <xf numFmtId="170" fontId="10" fillId="0" borderId="9" xfId="0" applyFont="1" applyBorder="1" applyAlignment="1">
      <alignment horizontal="center"/>
    </xf>
    <xf numFmtId="17" fontId="10" fillId="0" borderId="9" xfId="0" applyNumberFormat="1" applyFont="1" applyBorder="1" applyAlignment="1">
      <alignment horizontal="centerContinuous"/>
    </xf>
    <xf numFmtId="17" fontId="10" fillId="0" borderId="9" xfId="0" applyNumberFormat="1" applyFont="1" applyBorder="1" applyAlignment="1">
      <alignment horizontal="center"/>
    </xf>
    <xf numFmtId="170" fontId="0" fillId="0" borderId="0" xfId="0" quotePrefix="1" applyAlignment="1">
      <alignment horizontal="center"/>
    </xf>
    <xf numFmtId="170" fontId="0" fillId="0" borderId="10" xfId="0" quotePrefix="1" applyBorder="1" applyAlignment="1">
      <alignment horizontal="center"/>
    </xf>
    <xf numFmtId="170" fontId="10" fillId="0" borderId="10" xfId="0" applyFont="1" applyBorder="1"/>
    <xf numFmtId="170" fontId="0" fillId="0" borderId="10" xfId="0" applyBorder="1"/>
    <xf numFmtId="0" fontId="10" fillId="0" borderId="10" xfId="0" applyNumberFormat="1" applyFont="1" applyBorder="1" applyAlignment="1">
      <alignment horizontal="center"/>
    </xf>
    <xf numFmtId="8" fontId="0" fillId="0" borderId="0" xfId="0" applyNumberFormat="1" applyAlignment="1">
      <alignment horizontal="center"/>
    </xf>
    <xf numFmtId="0" fontId="10" fillId="0" borderId="11" xfId="0" applyNumberFormat="1" applyFont="1" applyBorder="1" applyAlignment="1">
      <alignment horizontal="center"/>
    </xf>
    <xf numFmtId="166" fontId="10" fillId="0" borderId="7" xfId="0" applyNumberFormat="1" applyFont="1" applyBorder="1" applyAlignment="1">
      <alignment horizontal="center"/>
    </xf>
    <xf numFmtId="8" fontId="10" fillId="0" borderId="7" xfId="0" applyNumberFormat="1" applyFont="1" applyBorder="1" applyAlignment="1">
      <alignment horizontal="center"/>
    </xf>
    <xf numFmtId="166" fontId="10" fillId="0" borderId="11" xfId="0" applyNumberFormat="1" applyFont="1" applyBorder="1" applyAlignment="1">
      <alignment horizontal="center"/>
    </xf>
    <xf numFmtId="170" fontId="10" fillId="0" borderId="18" xfId="0" quotePrefix="1" applyFont="1" applyBorder="1" applyAlignment="1">
      <alignment horizontal="centerContinuous"/>
    </xf>
    <xf numFmtId="170" fontId="10" fillId="0" borderId="18" xfId="0" applyFont="1" applyBorder="1"/>
    <xf numFmtId="170" fontId="10" fillId="0" borderId="19" xfId="0" quotePrefix="1" applyFont="1" applyBorder="1" applyAlignment="1">
      <alignment horizontal="centerContinuous"/>
    </xf>
    <xf numFmtId="170" fontId="10" fillId="0" borderId="19" xfId="0" quotePrefix="1" applyFont="1" applyBorder="1" applyAlignment="1">
      <alignment horizontal="center"/>
    </xf>
    <xf numFmtId="170" fontId="26" fillId="7" borderId="0" xfId="0" applyFont="1" applyFill="1" applyAlignment="1">
      <alignment horizontal="center"/>
    </xf>
    <xf numFmtId="170" fontId="26" fillId="7" borderId="0" xfId="0" applyFont="1" applyFill="1"/>
    <xf numFmtId="10" fontId="26" fillId="7" borderId="0" xfId="12" applyNumberFormat="1" applyFont="1" applyFill="1" applyAlignment="1">
      <alignment horizontal="center"/>
    </xf>
    <xf numFmtId="9" fontId="26" fillId="7" borderId="0" xfId="12" applyFont="1" applyFill="1"/>
    <xf numFmtId="170" fontId="27" fillId="7" borderId="0" xfId="0" applyFont="1" applyFill="1" applyAlignment="1">
      <alignment horizontal="centerContinuous"/>
    </xf>
    <xf numFmtId="170" fontId="26" fillId="7" borderId="7" xfId="0" applyFont="1" applyFill="1" applyBorder="1"/>
    <xf numFmtId="170" fontId="28" fillId="7" borderId="0" xfId="0" applyFont="1" applyFill="1" applyAlignment="1">
      <alignment horizontal="center"/>
    </xf>
    <xf numFmtId="170" fontId="28" fillId="7" borderId="0" xfId="0" applyFont="1" applyFill="1" applyAlignment="1">
      <alignment horizontal="left" vertical="top"/>
    </xf>
    <xf numFmtId="175" fontId="26" fillId="7" borderId="0" xfId="0" applyNumberFormat="1" applyFont="1" applyFill="1"/>
    <xf numFmtId="174" fontId="26" fillId="7" borderId="0" xfId="0" applyNumberFormat="1" applyFont="1" applyFill="1"/>
    <xf numFmtId="169" fontId="26" fillId="7" borderId="0" xfId="2" applyNumberFormat="1" applyFont="1" applyFill="1"/>
    <xf numFmtId="170" fontId="26" fillId="7" borderId="0" xfId="0" applyFont="1" applyFill="1" applyAlignment="1">
      <alignment horizontal="right"/>
    </xf>
    <xf numFmtId="164" fontId="26" fillId="7" borderId="0" xfId="1" applyNumberFormat="1" applyFont="1" applyFill="1" applyAlignment="1">
      <alignment horizontal="right"/>
    </xf>
    <xf numFmtId="173" fontId="26" fillId="7" borderId="0" xfId="0" applyNumberFormat="1" applyFont="1" applyFill="1" applyAlignment="1">
      <alignment horizontal="right"/>
    </xf>
    <xf numFmtId="164" fontId="26" fillId="7" borderId="0" xfId="1" applyNumberFormat="1" applyFont="1" applyFill="1" applyBorder="1" applyAlignment="1">
      <alignment horizontal="right"/>
    </xf>
    <xf numFmtId="176" fontId="26" fillId="7" borderId="0" xfId="1" applyNumberFormat="1" applyFont="1" applyFill="1" applyBorder="1" applyAlignment="1">
      <alignment horizontal="left" vertical="top"/>
    </xf>
    <xf numFmtId="169" fontId="26" fillId="7" borderId="0" xfId="2" applyNumberFormat="1" applyFont="1" applyFill="1" applyBorder="1" applyAlignment="1">
      <alignment horizontal="left" vertical="top"/>
    </xf>
    <xf numFmtId="170" fontId="26" fillId="7" borderId="0" xfId="0" applyFont="1" applyFill="1" applyAlignment="1">
      <alignment horizontal="left" vertical="top"/>
    </xf>
    <xf numFmtId="173" fontId="26" fillId="7" borderId="0" xfId="0" applyNumberFormat="1" applyFont="1" applyFill="1" applyAlignment="1">
      <alignment horizontal="left" vertical="top"/>
    </xf>
    <xf numFmtId="179" fontId="26" fillId="7" borderId="0" xfId="1" applyNumberFormat="1" applyFont="1" applyFill="1" applyAlignment="1">
      <alignment horizontal="left" vertical="top"/>
    </xf>
    <xf numFmtId="10" fontId="26" fillId="7" borderId="0" xfId="12" applyNumberFormat="1" applyFont="1" applyFill="1" applyAlignment="1">
      <alignment horizontal="right"/>
    </xf>
    <xf numFmtId="164" fontId="26" fillId="7" borderId="0" xfId="1" applyNumberFormat="1" applyFont="1" applyFill="1" applyBorder="1" applyAlignment="1">
      <alignment horizontal="right" vertical="center"/>
    </xf>
    <xf numFmtId="176" fontId="26" fillId="7" borderId="0" xfId="1" applyNumberFormat="1" applyFont="1" applyFill="1" applyBorder="1" applyAlignment="1">
      <alignment horizontal="left" vertical="center"/>
    </xf>
    <xf numFmtId="176" fontId="26" fillId="7" borderId="0" xfId="1" applyNumberFormat="1" applyFont="1" applyFill="1" applyBorder="1" applyAlignment="1">
      <alignment horizontal="right" vertical="center"/>
    </xf>
    <xf numFmtId="180" fontId="26" fillId="7" borderId="0" xfId="2" applyNumberFormat="1" applyFont="1" applyFill="1"/>
    <xf numFmtId="176" fontId="26" fillId="7" borderId="0" xfId="0" applyNumberFormat="1" applyFont="1" applyFill="1"/>
    <xf numFmtId="170" fontId="0" fillId="0" borderId="0" xfId="0" applyAlignment="1">
      <alignment horizontal="left"/>
    </xf>
    <xf numFmtId="4" fontId="8" fillId="0" borderId="14" xfId="2" applyNumberFormat="1" applyFont="1" applyFill="1" applyBorder="1" applyAlignment="1">
      <alignment horizontal="center"/>
    </xf>
    <xf numFmtId="4" fontId="8" fillId="0" borderId="15" xfId="2" applyNumberFormat="1" applyFont="1" applyFill="1" applyBorder="1" applyAlignment="1">
      <alignment horizontal="center"/>
    </xf>
    <xf numFmtId="0" fontId="10" fillId="0" borderId="16" xfId="0" applyNumberFormat="1" applyFont="1" applyBorder="1" applyAlignment="1">
      <alignment horizontal="center"/>
    </xf>
    <xf numFmtId="17" fontId="10" fillId="0" borderId="15" xfId="0" applyNumberFormat="1" applyFont="1" applyBorder="1" applyAlignment="1">
      <alignment horizontal="center"/>
    </xf>
    <xf numFmtId="0" fontId="30" fillId="0" borderId="18" xfId="20" applyFont="1" applyBorder="1" applyAlignment="1">
      <alignment horizontal="center"/>
    </xf>
    <xf numFmtId="170" fontId="9" fillId="0" borderId="20" xfId="0" applyFont="1" applyBorder="1" applyAlignment="1">
      <alignment horizontal="center"/>
    </xf>
    <xf numFmtId="170" fontId="9" fillId="0" borderId="19" xfId="0" applyFont="1" applyBorder="1" applyAlignment="1">
      <alignment horizontal="center"/>
    </xf>
    <xf numFmtId="170" fontId="9" fillId="0" borderId="18" xfId="0" applyFont="1" applyBorder="1" applyAlignment="1">
      <alignment horizontal="center"/>
    </xf>
    <xf numFmtId="0" fontId="29" fillId="0" borderId="15" xfId="20" applyFont="1" applyBorder="1" applyAlignment="1">
      <alignment horizontal="center"/>
    </xf>
    <xf numFmtId="170" fontId="17" fillId="0" borderId="16" xfId="0" applyFont="1" applyBorder="1" applyAlignment="1">
      <alignment horizontal="centerContinuous"/>
    </xf>
    <xf numFmtId="170" fontId="17" fillId="0" borderId="17" xfId="0" applyFont="1" applyBorder="1" applyAlignment="1">
      <alignment horizontal="centerContinuous"/>
    </xf>
    <xf numFmtId="170" fontId="10" fillId="0" borderId="9" xfId="0" quotePrefix="1" applyFont="1" applyBorder="1" applyAlignment="1">
      <alignment horizontal="centerContinuous"/>
    </xf>
    <xf numFmtId="8" fontId="0" fillId="0" borderId="6" xfId="0" applyNumberFormat="1" applyBorder="1" applyAlignment="1">
      <alignment horizontal="center"/>
    </xf>
    <xf numFmtId="170" fontId="10" fillId="0" borderId="6" xfId="0" quotePrefix="1" applyFont="1" applyBorder="1" applyAlignment="1">
      <alignment horizontal="center"/>
    </xf>
    <xf numFmtId="8" fontId="10" fillId="0" borderId="6" xfId="0" applyNumberFormat="1" applyFont="1" applyBorder="1" applyAlignment="1">
      <alignment horizontal="center"/>
    </xf>
    <xf numFmtId="8" fontId="10" fillId="0" borderId="12" xfId="0" applyNumberFormat="1" applyFont="1" applyBorder="1" applyAlignment="1">
      <alignment horizontal="center"/>
    </xf>
    <xf numFmtId="9" fontId="0" fillId="0" borderId="0" xfId="41" applyFont="1"/>
    <xf numFmtId="43" fontId="31" fillId="0" borderId="15" xfId="21" applyFont="1" applyFill="1" applyBorder="1"/>
    <xf numFmtId="170" fontId="41" fillId="0" borderId="0" xfId="17" applyFont="1"/>
    <xf numFmtId="170" fontId="9" fillId="0" borderId="0" xfId="17" applyFont="1"/>
    <xf numFmtId="181" fontId="31" fillId="0" borderId="0" xfId="17" applyNumberFormat="1" applyFont="1" applyAlignment="1">
      <alignment horizontal="center"/>
    </xf>
    <xf numFmtId="182" fontId="10" fillId="0" borderId="7" xfId="0" applyNumberFormat="1" applyFont="1" applyBorder="1" applyAlignment="1">
      <alignment horizontal="center"/>
    </xf>
    <xf numFmtId="170" fontId="12" fillId="0" borderId="0" xfId="0" applyFont="1"/>
    <xf numFmtId="170" fontId="15" fillId="9" borderId="9" xfId="0" applyFont="1" applyFill="1" applyBorder="1"/>
    <xf numFmtId="170" fontId="12" fillId="9" borderId="9" xfId="0" applyFont="1" applyFill="1" applyBorder="1"/>
    <xf numFmtId="0" fontId="12" fillId="9" borderId="0" xfId="0" applyNumberFormat="1" applyFont="1" applyFill="1" applyAlignment="1">
      <alignment horizontal="center"/>
    </xf>
    <xf numFmtId="170" fontId="12" fillId="0" borderId="33" xfId="0" applyFont="1" applyBorder="1" applyAlignment="1">
      <alignment horizontal="center"/>
    </xf>
    <xf numFmtId="170" fontId="15" fillId="9" borderId="0" xfId="0" applyFont="1" applyFill="1"/>
    <xf numFmtId="183" fontId="15" fillId="0" borderId="0" xfId="0" applyNumberFormat="1" applyFont="1"/>
    <xf numFmtId="170" fontId="12" fillId="10" borderId="20" xfId="0" applyFont="1" applyFill="1" applyBorder="1" applyAlignment="1">
      <alignment horizontal="left"/>
    </xf>
    <xf numFmtId="183" fontId="12" fillId="10" borderId="19" xfId="0" applyNumberFormat="1" applyFont="1" applyFill="1" applyBorder="1"/>
    <xf numFmtId="183" fontId="12" fillId="10" borderId="20" xfId="0" applyNumberFormat="1" applyFont="1" applyFill="1" applyBorder="1"/>
    <xf numFmtId="170" fontId="12" fillId="0" borderId="0" xfId="0" applyFont="1" applyAlignment="1">
      <alignment horizontal="left" indent="1"/>
    </xf>
    <xf numFmtId="170" fontId="15" fillId="0" borderId="0" xfId="0" applyFont="1" applyAlignment="1">
      <alignment horizontal="left" indent="2"/>
    </xf>
    <xf numFmtId="170" fontId="12" fillId="0" borderId="13" xfId="0" applyFont="1" applyBorder="1" applyAlignment="1">
      <alignment horizontal="left" indent="1"/>
    </xf>
    <xf numFmtId="183" fontId="12" fillId="0" borderId="13" xfId="0" applyNumberFormat="1" applyFont="1" applyBorder="1"/>
    <xf numFmtId="170" fontId="12" fillId="0" borderId="34" xfId="0" applyFont="1" applyBorder="1" applyAlignment="1">
      <alignment horizontal="left"/>
    </xf>
    <xf numFmtId="183" fontId="12" fillId="0" borderId="34" xfId="0" applyNumberFormat="1" applyFont="1" applyBorder="1"/>
    <xf numFmtId="183" fontId="12" fillId="0" borderId="35" xfId="0" applyNumberFormat="1" applyFont="1" applyBorder="1"/>
    <xf numFmtId="170" fontId="12" fillId="11" borderId="20" xfId="0" applyFont="1" applyFill="1" applyBorder="1" applyAlignment="1">
      <alignment horizontal="left"/>
    </xf>
    <xf numFmtId="183" fontId="15" fillId="11" borderId="19" xfId="0" applyNumberFormat="1" applyFont="1" applyFill="1" applyBorder="1"/>
    <xf numFmtId="183" fontId="15" fillId="11" borderId="20" xfId="0" applyNumberFormat="1" applyFont="1" applyFill="1" applyBorder="1"/>
    <xf numFmtId="184" fontId="15" fillId="0" borderId="0" xfId="0" applyNumberFormat="1" applyFont="1"/>
    <xf numFmtId="185" fontId="15" fillId="0" borderId="0" xfId="0" applyNumberFormat="1" applyFont="1"/>
    <xf numFmtId="170" fontId="12" fillId="0" borderId="10" xfId="0" applyFont="1" applyBorder="1" applyAlignment="1">
      <alignment horizontal="center"/>
    </xf>
    <xf numFmtId="170" fontId="12" fillId="11" borderId="34" xfId="0" applyFont="1" applyFill="1" applyBorder="1" applyAlignment="1">
      <alignment horizontal="left"/>
    </xf>
    <xf numFmtId="185" fontId="12" fillId="11" borderId="36" xfId="0" applyNumberFormat="1" applyFont="1" applyFill="1" applyBorder="1"/>
    <xf numFmtId="185" fontId="12" fillId="11" borderId="37" xfId="0" applyNumberFormat="1" applyFont="1" applyFill="1" applyBorder="1"/>
    <xf numFmtId="170" fontId="12" fillId="0" borderId="14" xfId="0" applyFont="1" applyBorder="1" applyAlignment="1">
      <alignment horizontal="center"/>
    </xf>
    <xf numFmtId="183" fontId="15" fillId="9" borderId="0" xfId="0" applyNumberFormat="1" applyFont="1" applyFill="1"/>
    <xf numFmtId="183" fontId="12" fillId="0" borderId="38" xfId="0" applyNumberFormat="1" applyFont="1" applyBorder="1"/>
    <xf numFmtId="170" fontId="12" fillId="11" borderId="9" xfId="0" applyFont="1" applyFill="1" applyBorder="1" applyAlignment="1">
      <alignment horizontal="left" indent="1"/>
    </xf>
    <xf numFmtId="170" fontId="12" fillId="0" borderId="8" xfId="0" applyFont="1" applyBorder="1" applyAlignment="1">
      <alignment horizontal="center"/>
    </xf>
    <xf numFmtId="170" fontId="15" fillId="11" borderId="34" xfId="0" applyFont="1" applyFill="1" applyBorder="1" applyAlignment="1">
      <alignment horizontal="left"/>
    </xf>
    <xf numFmtId="185" fontId="15" fillId="11" borderId="39" xfId="0" applyNumberFormat="1" applyFont="1" applyFill="1" applyBorder="1"/>
    <xf numFmtId="185" fontId="15" fillId="11" borderId="36" xfId="0" applyNumberFormat="1" applyFont="1" applyFill="1" applyBorder="1"/>
    <xf numFmtId="185" fontId="15" fillId="11" borderId="37" xfId="0" applyNumberFormat="1" applyFont="1" applyFill="1" applyBorder="1"/>
    <xf numFmtId="170" fontId="12" fillId="0" borderId="0" xfId="0" applyFont="1" applyAlignment="1">
      <alignment horizontal="left"/>
    </xf>
    <xf numFmtId="183" fontId="12" fillId="0" borderId="8" xfId="0" applyNumberFormat="1" applyFont="1" applyBorder="1"/>
    <xf numFmtId="0" fontId="32" fillId="0" borderId="8" xfId="27" applyNumberFormat="1" applyFont="1" applyBorder="1" applyAlignment="1">
      <alignment horizontal="centerContinuous" wrapText="1"/>
    </xf>
    <xf numFmtId="170" fontId="32" fillId="0" borderId="33" xfId="27" applyFont="1" applyBorder="1" applyAlignment="1">
      <alignment horizontal="centerContinuous" wrapText="1"/>
    </xf>
    <xf numFmtId="170" fontId="32" fillId="0" borderId="8" xfId="27" applyFont="1" applyBorder="1" applyAlignment="1">
      <alignment horizontal="centerContinuous" wrapText="1"/>
    </xf>
    <xf numFmtId="172" fontId="32" fillId="0" borderId="8" xfId="27" applyNumberFormat="1" applyFont="1" applyBorder="1" applyAlignment="1">
      <alignment horizontal="centerContinuous" wrapText="1"/>
    </xf>
    <xf numFmtId="0" fontId="31" fillId="0" borderId="14" xfId="27" applyNumberFormat="1" applyFont="1" applyBorder="1" applyAlignment="1">
      <alignment horizontal="left"/>
    </xf>
    <xf numFmtId="172" fontId="31" fillId="0" borderId="14" xfId="27" applyNumberFormat="1" applyFont="1" applyBorder="1" applyAlignment="1">
      <alignment horizontal="left"/>
    </xf>
    <xf numFmtId="178" fontId="31" fillId="0" borderId="16" xfId="27" applyNumberFormat="1" applyFont="1" applyBorder="1"/>
    <xf numFmtId="0" fontId="31" fillId="0" borderId="33" xfId="27" applyNumberFormat="1" applyFont="1" applyBorder="1" applyAlignment="1">
      <alignment horizontal="center"/>
    </xf>
    <xf numFmtId="43" fontId="31" fillId="0" borderId="33" xfId="21" applyFont="1" applyFill="1" applyBorder="1"/>
    <xf numFmtId="2" fontId="31" fillId="0" borderId="33" xfId="27" applyNumberFormat="1" applyFont="1" applyBorder="1" applyAlignment="1">
      <alignment horizontal="center"/>
    </xf>
    <xf numFmtId="172" fontId="31" fillId="0" borderId="33" xfId="12" applyNumberFormat="1" applyFont="1" applyFill="1" applyBorder="1" applyAlignment="1">
      <alignment horizontal="center"/>
    </xf>
    <xf numFmtId="165" fontId="31" fillId="0" borderId="33" xfId="27" applyNumberFormat="1" applyFont="1" applyBorder="1" applyAlignment="1">
      <alignment horizontal="center"/>
    </xf>
    <xf numFmtId="167" fontId="1" fillId="0" borderId="33" xfId="12" applyNumberFormat="1" applyFont="1" applyFill="1" applyBorder="1" applyAlignment="1">
      <alignment horizontal="center"/>
    </xf>
    <xf numFmtId="0" fontId="31" fillId="0" borderId="8" xfId="27" applyNumberFormat="1" applyFont="1" applyBorder="1" applyAlignment="1">
      <alignment horizontal="center"/>
    </xf>
    <xf numFmtId="2" fontId="31" fillId="0" borderId="8" xfId="27" applyNumberFormat="1" applyFont="1" applyBorder="1" applyAlignment="1">
      <alignment horizontal="center"/>
    </xf>
    <xf numFmtId="172" fontId="31" fillId="0" borderId="8" xfId="42" applyNumberFormat="1" applyFont="1" applyFill="1" applyBorder="1" applyAlignment="1">
      <alignment horizontal="center"/>
    </xf>
    <xf numFmtId="170" fontId="31" fillId="0" borderId="0" xfId="0" applyFont="1"/>
    <xf numFmtId="170" fontId="31" fillId="0" borderId="0" xfId="27" applyFont="1"/>
    <xf numFmtId="172" fontId="31" fillId="0" borderId="0" xfId="0" applyNumberFormat="1" applyFont="1"/>
    <xf numFmtId="172" fontId="31" fillId="0" borderId="20" xfId="0" applyNumberFormat="1" applyFont="1" applyBorder="1" applyAlignment="1">
      <alignment horizontal="center"/>
    </xf>
    <xf numFmtId="170" fontId="42" fillId="0" borderId="0" xfId="0" applyFont="1"/>
    <xf numFmtId="170" fontId="38" fillId="0" borderId="0" xfId="0" applyFont="1"/>
    <xf numFmtId="170" fontId="39" fillId="0" borderId="21" xfId="0" applyFont="1" applyBorder="1"/>
    <xf numFmtId="170" fontId="40" fillId="0" borderId="22" xfId="0" applyFont="1" applyBorder="1" applyAlignment="1">
      <alignment horizontal="center" wrapText="1"/>
    </xf>
    <xf numFmtId="170" fontId="0" fillId="0" borderId="0" xfId="0" applyAlignment="1">
      <alignment horizontal="center" wrapText="1"/>
    </xf>
    <xf numFmtId="170" fontId="40" fillId="0" borderId="25" xfId="0" applyFont="1" applyBorder="1" applyAlignment="1">
      <alignment horizontal="right"/>
    </xf>
    <xf numFmtId="170" fontId="40" fillId="0" borderId="26" xfId="0" applyFont="1" applyBorder="1" applyAlignment="1">
      <alignment horizontal="center" wrapText="1"/>
    </xf>
    <xf numFmtId="170" fontId="40" fillId="0" borderId="25" xfId="0" applyFont="1" applyBorder="1" applyAlignment="1">
      <alignment horizontal="center" wrapText="1"/>
    </xf>
    <xf numFmtId="170" fontId="40" fillId="0" borderId="27" xfId="0" applyFont="1" applyBorder="1" applyAlignment="1">
      <alignment horizontal="center" wrapText="1"/>
    </xf>
    <xf numFmtId="170" fontId="40" fillId="0" borderId="28" xfId="0" applyFont="1" applyBorder="1" applyAlignment="1">
      <alignment horizontal="center"/>
    </xf>
    <xf numFmtId="170" fontId="40" fillId="0" borderId="25" xfId="0" applyFont="1" applyBorder="1" applyAlignment="1">
      <alignment horizontal="center"/>
    </xf>
    <xf numFmtId="170" fontId="40" fillId="0" borderId="27" xfId="0" applyFont="1" applyBorder="1" applyAlignment="1">
      <alignment horizontal="center"/>
    </xf>
    <xf numFmtId="170" fontId="40" fillId="0" borderId="0" xfId="0" applyFont="1" applyAlignment="1">
      <alignment horizontal="center"/>
    </xf>
    <xf numFmtId="170" fontId="40" fillId="0" borderId="23" xfId="0" applyFont="1" applyBorder="1" applyAlignment="1">
      <alignment horizontal="left"/>
    </xf>
    <xf numFmtId="170" fontId="40" fillId="0" borderId="29" xfId="0" applyFont="1" applyBorder="1" applyAlignment="1">
      <alignment horizontal="center"/>
    </xf>
    <xf numFmtId="170" fontId="40" fillId="0" borderId="21" xfId="0" applyFont="1" applyBorder="1"/>
    <xf numFmtId="9" fontId="39" fillId="0" borderId="21" xfId="41" applyFont="1" applyFill="1" applyBorder="1" applyAlignment="1">
      <alignment horizontal="center"/>
    </xf>
    <xf numFmtId="9" fontId="39" fillId="0" borderId="30" xfId="41" applyFont="1" applyFill="1" applyBorder="1" applyAlignment="1">
      <alignment horizontal="center"/>
    </xf>
    <xf numFmtId="9" fontId="0" fillId="0" borderId="0" xfId="41" applyFont="1" applyFill="1"/>
    <xf numFmtId="170" fontId="40" fillId="0" borderId="25" xfId="0" applyFont="1" applyBorder="1"/>
    <xf numFmtId="9" fontId="39" fillId="0" borderId="25" xfId="41" applyFont="1" applyFill="1" applyBorder="1" applyAlignment="1">
      <alignment horizontal="center"/>
    </xf>
    <xf numFmtId="9" fontId="39" fillId="0" borderId="27" xfId="41" applyFont="1" applyFill="1" applyBorder="1" applyAlignment="1">
      <alignment horizontal="center"/>
    </xf>
    <xf numFmtId="170" fontId="40" fillId="0" borderId="31" xfId="0" applyFont="1" applyBorder="1"/>
    <xf numFmtId="9" fontId="39" fillId="0" borderId="31" xfId="41" applyFont="1" applyFill="1" applyBorder="1" applyAlignment="1">
      <alignment horizontal="center"/>
    </xf>
    <xf numFmtId="9" fontId="39" fillId="0" borderId="32" xfId="41" applyFont="1" applyFill="1" applyBorder="1" applyAlignment="1">
      <alignment horizontal="center"/>
    </xf>
    <xf numFmtId="9" fontId="39" fillId="0" borderId="29" xfId="41" applyFont="1" applyFill="1" applyBorder="1" applyAlignment="1">
      <alignment horizontal="center"/>
    </xf>
    <xf numFmtId="9" fontId="39" fillId="12" borderId="25" xfId="29" applyFont="1" applyFill="1" applyBorder="1" applyAlignment="1">
      <alignment horizontal="center"/>
    </xf>
    <xf numFmtId="8" fontId="10" fillId="0" borderId="0" xfId="17" applyNumberFormat="1" applyAlignment="1">
      <alignment horizontal="center"/>
    </xf>
    <xf numFmtId="172" fontId="10" fillId="0" borderId="0" xfId="12" applyNumberFormat="1" applyFont="1" applyFill="1"/>
    <xf numFmtId="4" fontId="8" fillId="7" borderId="0" xfId="2" applyNumberFormat="1" applyFont="1" applyFill="1" applyBorder="1" applyAlignment="1">
      <alignment horizontal="center"/>
    </xf>
    <xf numFmtId="170" fontId="0" fillId="0" borderId="0" xfId="0" applyAlignment="1">
      <alignment horizontal="center"/>
    </xf>
    <xf numFmtId="186" fontId="26" fillId="0" borderId="0" xfId="0" applyNumberFormat="1" applyFont="1" applyAlignment="1">
      <alignment horizontal="center"/>
    </xf>
    <xf numFmtId="187" fontId="26" fillId="0" borderId="0" xfId="0" applyNumberFormat="1" applyFont="1" applyAlignment="1">
      <alignment horizontal="center"/>
    </xf>
    <xf numFmtId="170" fontId="11" fillId="0" borderId="0" xfId="10" applyFont="1" applyAlignment="1">
      <alignment horizontal="center" vertical="top"/>
    </xf>
    <xf numFmtId="170" fontId="40" fillId="0" borderId="29" xfId="0" applyFont="1" applyBorder="1" applyAlignment="1">
      <alignment horizontal="center"/>
    </xf>
    <xf numFmtId="170" fontId="0" fillId="0" borderId="29" xfId="0" applyBorder="1" applyAlignment="1">
      <alignment horizontal="center"/>
    </xf>
    <xf numFmtId="0" fontId="32" fillId="0" borderId="18" xfId="28" applyFont="1" applyBorder="1" applyAlignment="1">
      <alignment horizontal="center"/>
    </xf>
    <xf numFmtId="0" fontId="32" fillId="0" borderId="19" xfId="28" applyFont="1" applyBorder="1" applyAlignment="1">
      <alignment horizontal="center"/>
    </xf>
    <xf numFmtId="43" fontId="31" fillId="0" borderId="18" xfId="21" applyFont="1" applyFill="1" applyBorder="1" applyAlignment="1">
      <alignment horizontal="left"/>
    </xf>
    <xf numFmtId="43" fontId="31" fillId="0" borderId="20" xfId="21" applyFont="1" applyFill="1" applyBorder="1" applyAlignment="1">
      <alignment horizontal="left"/>
    </xf>
    <xf numFmtId="170" fontId="40" fillId="0" borderId="23" xfId="0" applyFont="1" applyBorder="1" applyAlignment="1">
      <alignment horizontal="center" vertical="center" wrapText="1"/>
    </xf>
    <xf numFmtId="170" fontId="40" fillId="0" borderId="24" xfId="0" applyFont="1" applyBorder="1" applyAlignment="1">
      <alignment horizontal="center" vertical="center" wrapText="1"/>
    </xf>
    <xf numFmtId="170" fontId="0" fillId="0" borderId="0" xfId="8" applyFont="1" applyAlignment="1">
      <alignment horizontal="left" wrapText="1"/>
    </xf>
    <xf numFmtId="170" fontId="11" fillId="0" borderId="0" xfId="8" applyFont="1" applyAlignment="1">
      <alignment horizontal="center"/>
    </xf>
  </cellXfs>
  <cellStyles count="43">
    <cellStyle name="_x0013_" xfId="19" xr:uid="{00000000-0005-0000-0000-000000000000}"/>
    <cellStyle name="Comma" xfId="1" builtinId="3"/>
    <cellStyle name="Comma 10" xfId="35" xr:uid="{00000000-0005-0000-0000-000002000000}"/>
    <cellStyle name="Comma 2" xfId="40" xr:uid="{00000000-0005-0000-0000-000003000000}"/>
    <cellStyle name="Comma 2 2" xfId="21" xr:uid="{00000000-0005-0000-0000-000004000000}"/>
    <cellStyle name="Currency" xfId="2" builtinId="4"/>
    <cellStyle name="Currency 2" xfId="23" xr:uid="{00000000-0005-0000-0000-000006000000}"/>
    <cellStyle name="Currency No Comma" xfId="3" xr:uid="{00000000-0005-0000-0000-000007000000}"/>
    <cellStyle name="Hyperlink 2" xfId="32" xr:uid="{00000000-0005-0000-0000-000008000000}"/>
    <cellStyle name="Hyperlink 3" xfId="37" xr:uid="{00000000-0005-0000-0000-000009000000}"/>
    <cellStyle name="Input" xfId="4" builtinId="20" customBuiltin="1"/>
    <cellStyle name="MCP" xfId="5" xr:uid="{00000000-0005-0000-0000-00000B000000}"/>
    <cellStyle name="noninput" xfId="6" xr:uid="{00000000-0005-0000-0000-00000C000000}"/>
    <cellStyle name="Normal" xfId="0" builtinId="0" customBuiltin="1"/>
    <cellStyle name="Normal 176" xfId="18" xr:uid="{00000000-0005-0000-0000-00000E000000}"/>
    <cellStyle name="Normal 176 2" xfId="22" xr:uid="{00000000-0005-0000-0000-00000F000000}"/>
    <cellStyle name="Normal 2" xfId="16" xr:uid="{00000000-0005-0000-0000-000010000000}"/>
    <cellStyle name="Normal 2 2" xfId="25" xr:uid="{00000000-0005-0000-0000-000011000000}"/>
    <cellStyle name="Normal 3" xfId="26" xr:uid="{00000000-0005-0000-0000-000012000000}"/>
    <cellStyle name="Normal 3 2" xfId="36" xr:uid="{00000000-0005-0000-0000-000013000000}"/>
    <cellStyle name="Normal 4" xfId="39" xr:uid="{00000000-0005-0000-0000-000014000000}"/>
    <cellStyle name="Normal 5" xfId="24" xr:uid="{00000000-0005-0000-0000-000015000000}"/>
    <cellStyle name="Normal 5 2" xfId="34" xr:uid="{00000000-0005-0000-0000-000016000000}"/>
    <cellStyle name="Normal_CG27 Official Base Case 03-31-05" xfId="20" xr:uid="{00000000-0005-0000-0000-000017000000}"/>
    <cellStyle name="Normal_on off peak hours_1" xfId="33" xr:uid="{00000000-0005-0000-0000-000018000000}"/>
    <cellStyle name="Normal_Or AC 2003 - AC Study - Fuel Indexed Avoided Costs" xfId="7" xr:uid="{00000000-0005-0000-0000-000019000000}"/>
    <cellStyle name="Normal_OR AC Sch 37 - AC  Study (Gold) _2009 06 19" xfId="8" xr:uid="{00000000-0005-0000-0000-00001A000000}"/>
    <cellStyle name="Normal_Thermal Attributes" xfId="28" xr:uid="{00000000-0005-0000-0000-00001B000000}"/>
    <cellStyle name="Normal_T-INF-10-15-04-TEMPLATE" xfId="9" xr:uid="{00000000-0005-0000-0000-00001C000000}"/>
    <cellStyle name="Normal_UT AC Sch 37 - L&amp;R  Study (Gold) _2009 06 19" xfId="10" xr:uid="{00000000-0005-0000-0000-00001D000000}"/>
    <cellStyle name="Normal_WY AC 2009 - AC Study (Wind Study)_2009 08 11" xfId="17" xr:uid="{00000000-0005-0000-0000-00001E000000}"/>
    <cellStyle name="Normal_xAC_Demand (Avoided Cost)" xfId="27" xr:uid="{00000000-0005-0000-0000-00001F000000}"/>
    <cellStyle name="Password" xfId="11" xr:uid="{00000000-0005-0000-0000-000020000000}"/>
    <cellStyle name="Percent" xfId="12" builtinId="5"/>
    <cellStyle name="Percent 2" xfId="29" xr:uid="{00000000-0005-0000-0000-000022000000}"/>
    <cellStyle name="Percent 3" xfId="30" xr:uid="{00000000-0005-0000-0000-000023000000}"/>
    <cellStyle name="Percent 3 2" xfId="38" xr:uid="{00000000-0005-0000-0000-000024000000}"/>
    <cellStyle name="Percent 3 2 2 2" xfId="31" xr:uid="{00000000-0005-0000-0000-000025000000}"/>
    <cellStyle name="Percent 3 2 2 2 2" xfId="42" xr:uid="{EEAE8F7D-CDF5-4847-AA27-9B34016CCF4D}"/>
    <cellStyle name="Percent 3 3" xfId="41" xr:uid="{00000000-0005-0000-0000-000026000000}"/>
    <cellStyle name="Unprot" xfId="13" xr:uid="{00000000-0005-0000-0000-000027000000}"/>
    <cellStyle name="Unprot$" xfId="14" xr:uid="{00000000-0005-0000-0000-000028000000}"/>
    <cellStyle name="Unprotect" xfId="15" xr:uid="{00000000-0005-0000-0000-000029000000}"/>
  </cellStyles>
  <dxfs count="4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externalLink" Target="externalLinks/externalLink2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externalLink" Target="externalLinks/externalLink2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externalLink" Target="externalLinks/externalLink2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7%20Apr%20-%20Sch%2037%20Update\Scenario\UT%20Sch%2037%20-%201---%20Avoided%20Cost%20Study%20_2017%2005%2002_Therm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regon\OR%20AC%202016%20Jan%20-%20Sch%2037\Sent%20out%20Settlement_2016%2005%2027\ORACSch%2037-AC%20%20Study(2015IRPUpdate_2018DeficitRenew_2028DeficitStd-1603OFPC)2016%2005%2027RenewORWind29CF100%25PTCnominalgrossedup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7%20Apr%20-%20Sch%2037%20Update\Scenario\UT%20Sch%2037%20-%201a%20-%20GRID%20AC%20Study%20CONF%20_2017%2005%2002_Thermal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7%20Apr%20-%20Sch%2037%20Update\Sent%20Out\UT%20Sch%2037%20-%201a%20-%20GRID%20AC%20Study%20CONF%20_2017%2005%2002_Thermal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eneric\Attributes%20&amp;%20Data%20Series\_All%20Data%20Series%20Files\GNw_Indexed%20STF%20(Confidential)%20(STF%20Ext%20280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7%20Apr%20-%20Sch%2037%20Update\Scenario\UT%20Sch%2037%20-%206---%20QF%20Pricing%20Detail%20_2017%2005%2022_woQ_Thermal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voided%20Cost%20-%202016\63%20-%20Riverton%20Solar%20-%20WY%20-%202016%20Aug\Scenario\63%20-%20Riverton%20Solar%20-%202---%20QF%20Pricing%20Detail%20_2016%2008%2017%20(w%20Gateway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8\268%20-%20UT%20Compliance%20Filing%20-%20UT%20-%202018%20Apr\2017%20IRP%20Update\Scenarios\18-035-T07%20RMP%20Wkpr%20-%20QF%20Pricing%20Detail-Thermal%2005-15-18%20wScalarYKMidCTrns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45%20-%20UT%20Compliance%20Filing%202016.Q4%20-%202017%20Feb\Data\45%20-%20UT%202016.Q4%20-%20Demand%20CONF%20_2017%2002%2027%20(1335.23%20MW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voided%20Cost%20-%202017\45%20-%20UT%20Compliance%20Filing%202016.Q4%20-%202017%20Feb\Data\45%20-%20UT%202016.Q4%20-%20Demand%20CONF%20_2017%2002%2027%20(1335.23%20MW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7%20Apr%20-%20Sch%2037%20Update\Scenario\UT%20Sch%2037%202014%20-%20AC%20Study%20_2014%2005%2002%20OFPC%201403_LowCO2_Updated%20for%20Reconsider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7%20Apr%20-%20Sch%2037%20Update\Sent%20Out\UT%20Sch%2037%20-%201---%20Avoided%20Cost%20Study%20_2017%2005%2002_Thermal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22\91%20-%20UT2022Sch37-UT-%202022%20Apr%20(21IRPU)\Sch%2037%20Filing\22-035-T06%20RMP%20Appendix%201%20-%20AC%20Study%20Summary%2004-30-22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23\11%20-%20UT2023Q1%20Sch38_37%20Filing%20-%20UT%20-%202023%20May\UT%20Sch37%20Filing\23-035-T06%20RMP%20Wkpr%20-%20QF%20Pricing%20Detail-Thermal%2004-30-23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23\11%20-%20UT2023Q1%20Sch38_37%20Filing%20-%20UT%20-%202023%20May\UT%20Sch37%20Filing\23-035-T06%20RMP%20Wkpr%20-%20QF%20Pricing%20Detail-Solar%20T%2004-30-23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23\11%20-%20UT2023Q1%20Sch38_37%20Filing%20-%20UT%20-%202023%20May\UT%20Sch37%20Filing\23-035-T06%20RMP%20Wkpr%20-%20QF%20Pricing%20Detail-Solar%20F%2004-30-23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23\11%20-%20UT2023Q1%20Sch38_37%20Filing%20-%20UT%20-%202023%20May\UT%20Sch37%20Filing\23-035-T06%20RMP%20Wkpr%20-%20QF%20Pricing%20Detail-Wind%2004-30-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01%20to%2035%20Studies%20-%20Jan-Feb\29-35%20-%20Goshen%20Valley%20I-VII%20Solar%20-%20UT%20-%202017%20Feb\Scenario\35%20-%20Goshen%20Valley%20Solar%20VII%20-%207---%20Avoided%20Cost%20Study%20_2017%2003%200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voided%20Cost%20-%202016\56-57%20-%20Glen%20Canyon%20Solar%20-%20UT%20-%202016%20Aug\Scenario\37%20-%20Black%20Mtn%20II%20-%201---%20Price%20Comparison%20_2016%2007%20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REGULATN\PA&amp;D\DSMRecov\2001\RECOV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7%20Apr%20-%20Sch%2037%20Update\Scenario\UT%20Sch%2037%202017%20-%20Appendix%201%20-%20AC%20Study%20Summary%20_2017%2005%2022%20wo%20Q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7%20Apr%20-%20Sch%2037%20Update\Data\Source%20Files\2017%20QF%20Pricing%20Request%20Study%20List%20_2017%2004%202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3%20May%20-%20Sch%2037%20Update\Scenario\Preliminary%20and%20Draft%20Versions\UT%20Sch%2037%202013%20-%202a%20-%20L&amp;R%20%20Study%20_2013%2005%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DOC"/>
      <sheetName val="Table 1"/>
      <sheetName val="Table 2"/>
      <sheetName val="Table 4"/>
      <sheetName val="Table 5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</sheetNames>
    <sheetDataSet>
      <sheetData sheetId="0" refreshError="1"/>
      <sheetData sheetId="1">
        <row r="42">
          <cell r="I42">
            <v>6.5699999999999995E-2</v>
          </cell>
        </row>
      </sheetData>
      <sheetData sheetId="2" refreshError="1"/>
      <sheetData sheetId="3" refreshError="1"/>
      <sheetData sheetId="4">
        <row r="6">
          <cell r="M6">
            <v>10</v>
          </cell>
        </row>
        <row r="7">
          <cell r="M7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s 3 to 6_Renewable"/>
      <sheetName val="Table 7 to 8"/>
      <sheetName val="Table 9"/>
      <sheetName val="Table 10"/>
      <sheetName val="Table 11"/>
      <sheetName val="Table 12"/>
      <sheetName val="Table 13"/>
      <sheetName val="XX Support Pages - Do Not Print"/>
      <sheetName val="Tariff Page 1"/>
      <sheetName val="OFPC Source"/>
    </sheetNames>
    <sheetDataSet>
      <sheetData sheetId="0" refreshError="1"/>
      <sheetData sheetId="1"/>
      <sheetData sheetId="2">
        <row r="45">
          <cell r="E45">
            <v>3.06</v>
          </cell>
        </row>
        <row r="57">
          <cell r="E57">
            <v>0.254</v>
          </cell>
        </row>
      </sheetData>
      <sheetData sheetId="3">
        <row r="53">
          <cell r="G53">
            <v>0.32200000000000001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3">
          <cell r="AE43">
            <v>6.6600000000000006E-2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42370</v>
          </cell>
          <cell r="K8">
            <v>21.983621291358247</v>
          </cell>
          <cell r="L8">
            <v>19.984276199823373</v>
          </cell>
          <cell r="M8">
            <v>21.12390290199825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42401</v>
          </cell>
          <cell r="K9">
            <v>17.913635057147197</v>
          </cell>
          <cell r="L9">
            <v>16.13795382458575</v>
          </cell>
          <cell r="M9">
            <v>17.150092127145772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42430</v>
          </cell>
          <cell r="K10">
            <v>13.906503576482843</v>
          </cell>
          <cell r="L10">
            <v>9.6373288864912094</v>
          </cell>
          <cell r="M10">
            <v>12.07075845978644</v>
          </cell>
          <cell r="P10">
            <v>2017</v>
          </cell>
          <cell r="Q10">
            <v>23.947500000000002</v>
          </cell>
          <cell r="R10">
            <v>19.177500000000002</v>
          </cell>
          <cell r="S10">
            <v>21.847641692793079</v>
          </cell>
          <cell r="T10">
            <v>1.0961137287371208</v>
          </cell>
          <cell r="U10">
            <v>0.8777835278361471</v>
          </cell>
        </row>
        <row r="11">
          <cell r="J11">
            <v>42461</v>
          </cell>
          <cell r="K11">
            <v>13.742406123522002</v>
          </cell>
          <cell r="L11">
            <v>8.7709593859455577</v>
          </cell>
          <cell r="M11">
            <v>11.604684026364129</v>
          </cell>
          <cell r="P11">
            <v>2018</v>
          </cell>
          <cell r="Q11">
            <v>26.275000000000002</v>
          </cell>
          <cell r="R11">
            <v>20.528333333333332</v>
          </cell>
          <cell r="S11">
            <v>23.748232019451319</v>
          </cell>
          <cell r="T11">
            <v>1.1063981511751737</v>
          </cell>
          <cell r="U11">
            <v>0.86441522537422222</v>
          </cell>
        </row>
        <row r="12">
          <cell r="J12">
            <v>42491</v>
          </cell>
          <cell r="K12">
            <v>12.999133305431073</v>
          </cell>
          <cell r="L12">
            <v>5.3189258396273855</v>
          </cell>
          <cell r="M12">
            <v>9.6966440951354862</v>
          </cell>
          <cell r="P12">
            <v>2019</v>
          </cell>
          <cell r="Q12">
            <v>27.537500000000005</v>
          </cell>
          <cell r="R12">
            <v>21.512499999999999</v>
          </cell>
          <cell r="S12">
            <v>24.905232209910523</v>
          </cell>
          <cell r="T12">
            <v>1.105691357057174</v>
          </cell>
          <cell r="U12">
            <v>0.86377431933517745</v>
          </cell>
        </row>
        <row r="13">
          <cell r="J13">
            <v>42522</v>
          </cell>
          <cell r="K13">
            <v>14.452684459540254</v>
          </cell>
          <cell r="L13">
            <v>7.7277226711721898</v>
          </cell>
          <cell r="M13">
            <v>11.560950890541985</v>
          </cell>
          <cell r="P13">
            <v>2020</v>
          </cell>
          <cell r="Q13">
            <v>28.837500000000002</v>
          </cell>
          <cell r="R13">
            <v>23.169999999999998</v>
          </cell>
          <cell r="S13">
            <v>26.356703147494059</v>
          </cell>
          <cell r="T13">
            <v>1.0941239440541262</v>
          </cell>
          <cell r="U13">
            <v>0.87909325647972603</v>
          </cell>
        </row>
        <row r="14">
          <cell r="J14">
            <v>42552</v>
          </cell>
          <cell r="K14">
            <v>21.07082254282243</v>
          </cell>
          <cell r="L14">
            <v>13.093401789894903</v>
          </cell>
          <cell r="M14">
            <v>17.640531619063594</v>
          </cell>
          <cell r="P14">
            <v>2021</v>
          </cell>
          <cell r="Q14">
            <v>30.25</v>
          </cell>
          <cell r="R14">
            <v>24.757500000000004</v>
          </cell>
          <cell r="S14">
            <v>27.841350847663552</v>
          </cell>
          <cell r="T14">
            <v>1.0865133723401421</v>
          </cell>
          <cell r="U14">
            <v>0.88923486994086187</v>
          </cell>
        </row>
        <row r="15">
          <cell r="J15">
            <v>42583</v>
          </cell>
          <cell r="K15">
            <v>24.127774821092128</v>
          </cell>
          <cell r="L15">
            <v>18.498596563819937</v>
          </cell>
          <cell r="M15">
            <v>21.707228170465086</v>
          </cell>
          <cell r="P15">
            <v>2022</v>
          </cell>
          <cell r="Q15">
            <v>33.373780833333335</v>
          </cell>
          <cell r="R15">
            <v>26.994724166666668</v>
          </cell>
          <cell r="S15">
            <v>30.576130941519466</v>
          </cell>
          <cell r="T15">
            <v>1.0914978385317853</v>
          </cell>
          <cell r="U15">
            <v>0.88286919683518261</v>
          </cell>
        </row>
        <row r="16">
          <cell r="J16">
            <v>42614</v>
          </cell>
          <cell r="K16">
            <v>22.76162437313263</v>
          </cell>
          <cell r="L16">
            <v>18.95</v>
          </cell>
          <cell r="M16">
            <v>21.122625892685598</v>
          </cell>
          <cell r="P16">
            <v>2023</v>
          </cell>
          <cell r="Q16">
            <v>37.615015000000007</v>
          </cell>
          <cell r="R16">
            <v>30.191510833333336</v>
          </cell>
          <cell r="S16">
            <v>34.341261512259017</v>
          </cell>
          <cell r="T16">
            <v>1.0953300299283513</v>
          </cell>
          <cell r="U16">
            <v>0.8791613791635372</v>
          </cell>
        </row>
        <row r="17">
          <cell r="J17">
            <v>42644</v>
          </cell>
          <cell r="K17">
            <v>21.7</v>
          </cell>
          <cell r="L17">
            <v>19.878899992173199</v>
          </cell>
          <cell r="M17">
            <v>20.916926996634473</v>
          </cell>
          <cell r="P17">
            <v>2024</v>
          </cell>
          <cell r="Q17">
            <v>41.471919166666659</v>
          </cell>
          <cell r="R17">
            <v>33.477644999999995</v>
          </cell>
          <cell r="S17">
            <v>37.960120933796439</v>
          </cell>
          <cell r="T17">
            <v>1.092512830477935</v>
          </cell>
          <cell r="U17">
            <v>0.88191618404972916</v>
          </cell>
        </row>
        <row r="18">
          <cell r="J18">
            <v>42675</v>
          </cell>
          <cell r="K18">
            <v>24.356777295042487</v>
          </cell>
          <cell r="L18">
            <v>22.063697118173007</v>
          </cell>
          <cell r="M18">
            <v>23.37075281898861</v>
          </cell>
          <cell r="P18">
            <v>2025</v>
          </cell>
          <cell r="Q18">
            <v>43.59779666666666</v>
          </cell>
          <cell r="R18">
            <v>35.397160833333338</v>
          </cell>
          <cell r="S18">
            <v>39.990214803924012</v>
          </cell>
          <cell r="T18">
            <v>1.0902116150271004</v>
          </cell>
          <cell r="U18">
            <v>0.88514555390335181</v>
          </cell>
        </row>
        <row r="19">
          <cell r="J19">
            <v>42705</v>
          </cell>
          <cell r="K19">
            <v>27.516404693602158</v>
          </cell>
          <cell r="L19">
            <v>23.031083086216086</v>
          </cell>
          <cell r="M19">
            <v>25.587716402426146</v>
          </cell>
          <cell r="P19">
            <v>2026</v>
          </cell>
          <cell r="Q19">
            <v>45.439878333333333</v>
          </cell>
          <cell r="R19">
            <v>36.976436666666665</v>
          </cell>
          <cell r="S19">
            <v>41.722589955446999</v>
          </cell>
          <cell r="T19">
            <v>1.0890953409617139</v>
          </cell>
          <cell r="U19">
            <v>0.88624499836063719</v>
          </cell>
        </row>
        <row r="20">
          <cell r="J20">
            <v>42736</v>
          </cell>
          <cell r="K20">
            <v>26.512499999999999</v>
          </cell>
          <cell r="L20">
            <v>23.369615931925345</v>
          </cell>
          <cell r="M20">
            <v>25.161059850727895</v>
          </cell>
          <cell r="P20">
            <v>2027</v>
          </cell>
          <cell r="Q20">
            <v>47.694152500000001</v>
          </cell>
          <cell r="R20">
            <v>38.99106166666666</v>
          </cell>
          <cell r="S20">
            <v>43.868946538759737</v>
          </cell>
          <cell r="T20">
            <v>1.0871962119687684</v>
          </cell>
          <cell r="U20">
            <v>0.88880779556027645</v>
          </cell>
        </row>
        <row r="21">
          <cell r="J21">
            <v>42767</v>
          </cell>
          <cell r="K21">
            <v>25.816940455213651</v>
          </cell>
          <cell r="L21">
            <v>22.793794054212004</v>
          </cell>
          <cell r="M21">
            <v>24.516987502782939</v>
          </cell>
          <cell r="P21">
            <v>2028</v>
          </cell>
          <cell r="Q21">
            <v>48.91536</v>
          </cell>
          <cell r="R21">
            <v>39.861495833333343</v>
          </cell>
          <cell r="S21">
            <v>44.929089872644511</v>
          </cell>
          <cell r="T21">
            <v>1.0887235895197283</v>
          </cell>
          <cell r="U21">
            <v>0.88720906535886412</v>
          </cell>
        </row>
        <row r="22">
          <cell r="J22">
            <v>42795</v>
          </cell>
          <cell r="K22">
            <v>23.114644416803152</v>
          </cell>
          <cell r="L22">
            <v>20.228401408340073</v>
          </cell>
          <cell r="M22">
            <v>21.873559923164027</v>
          </cell>
          <cell r="P22">
            <v>2029</v>
          </cell>
          <cell r="Q22">
            <v>50.265955833333329</v>
          </cell>
          <cell r="R22">
            <v>41.034064166666674</v>
          </cell>
          <cell r="S22">
            <v>46.213470067714304</v>
          </cell>
          <cell r="T22">
            <v>1.0876905750570367</v>
          </cell>
          <cell r="U22">
            <v>0.88792432393718745</v>
          </cell>
        </row>
        <row r="23">
          <cell r="J23">
            <v>42826</v>
          </cell>
          <cell r="K23">
            <v>19.631449563390138</v>
          </cell>
          <cell r="L23">
            <v>15.169286215442858</v>
          </cell>
          <cell r="M23">
            <v>17.712719323772806</v>
          </cell>
          <cell r="P23">
            <v>2030</v>
          </cell>
          <cell r="Q23">
            <v>52.490934166666669</v>
          </cell>
          <cell r="R23">
            <v>42.648744166666667</v>
          </cell>
          <cell r="S23">
            <v>48.163522948517681</v>
          </cell>
          <cell r="T23">
            <v>1.0898483116107305</v>
          </cell>
          <cell r="U23">
            <v>0.88549884966376324</v>
          </cell>
        </row>
        <row r="24">
          <cell r="J24">
            <v>42856</v>
          </cell>
          <cell r="K24">
            <v>17.946306514167055</v>
          </cell>
          <cell r="L24">
            <v>11.133726018371117</v>
          </cell>
          <cell r="M24">
            <v>15.016896900974801</v>
          </cell>
          <cell r="P24">
            <v>2031</v>
          </cell>
          <cell r="Q24">
            <v>54.414976666666661</v>
          </cell>
          <cell r="R24">
            <v>44.332940000000001</v>
          </cell>
          <cell r="S24">
            <v>50.018286593306748</v>
          </cell>
          <cell r="T24">
            <v>1.0879016530315986</v>
          </cell>
          <cell r="U24">
            <v>0.88633463917839328</v>
          </cell>
        </row>
        <row r="25">
          <cell r="J25">
            <v>42887</v>
          </cell>
          <cell r="K25">
            <v>17.263649943215452</v>
          </cell>
          <cell r="L25">
            <v>10.646622023123673</v>
          </cell>
          <cell r="M25">
            <v>14.418327937575986</v>
          </cell>
          <cell r="P25">
            <v>2032</v>
          </cell>
          <cell r="Q25">
            <v>55.419961666666666</v>
          </cell>
          <cell r="R25">
            <v>45.326558333333331</v>
          </cell>
          <cell r="S25">
            <v>50.981797749060483</v>
          </cell>
          <cell r="T25">
            <v>1.0870538920469506</v>
          </cell>
          <cell r="U25">
            <v>0.88907336215244848</v>
          </cell>
        </row>
        <row r="26">
          <cell r="J26">
            <v>42917</v>
          </cell>
          <cell r="K26">
            <v>24.08557421264841</v>
          </cell>
          <cell r="L26">
            <v>17.227119331207238</v>
          </cell>
          <cell r="M26">
            <v>21.136438613628705</v>
          </cell>
          <cell r="P26">
            <v>2033</v>
          </cell>
          <cell r="Q26">
            <v>56.975466666666669</v>
          </cell>
          <cell r="R26">
            <v>46.760736666666666</v>
          </cell>
          <cell r="S26">
            <v>52.489045366750027</v>
          </cell>
          <cell r="T26">
            <v>1.0854734786767266</v>
          </cell>
          <cell r="U26">
            <v>0.89086658635037697</v>
          </cell>
        </row>
        <row r="27">
          <cell r="J27">
            <v>42948</v>
          </cell>
          <cell r="K27">
            <v>28.751045306520751</v>
          </cell>
          <cell r="L27">
            <v>21.298004984739237</v>
          </cell>
          <cell r="M27">
            <v>25.546237968154699</v>
          </cell>
          <cell r="P27">
            <v>2034</v>
          </cell>
          <cell r="Q27">
            <v>58.652556666666662</v>
          </cell>
          <cell r="R27">
            <v>48.254604166666667</v>
          </cell>
          <cell r="S27">
            <v>54.069080614346809</v>
          </cell>
          <cell r="T27">
            <v>1.0847707414337588</v>
          </cell>
          <cell r="U27">
            <v>0.89246208033104013</v>
          </cell>
        </row>
        <row r="28">
          <cell r="J28">
            <v>42979</v>
          </cell>
          <cell r="K28">
            <v>26.535213803492198</v>
          </cell>
          <cell r="L28">
            <v>23.996174265007472</v>
          </cell>
          <cell r="M28">
            <v>25.443426801943765</v>
          </cell>
          <cell r="P28">
            <v>2035</v>
          </cell>
          <cell r="Q28">
            <v>58.891550833333326</v>
          </cell>
          <cell r="R28">
            <v>48.923639166666668</v>
          </cell>
          <cell r="S28">
            <v>54.513001418765413</v>
          </cell>
          <cell r="T28">
            <v>1.0803211949555331</v>
          </cell>
          <cell r="U28">
            <v>0.8974673544543692</v>
          </cell>
        </row>
        <row r="29">
          <cell r="J29">
            <v>43009</v>
          </cell>
          <cell r="K29">
            <v>25.710164481023089</v>
          </cell>
          <cell r="L29">
            <v>21.269705964897064</v>
          </cell>
          <cell r="M29">
            <v>23.800767319088898</v>
          </cell>
          <cell r="P29">
            <v>2036</v>
          </cell>
          <cell r="Q29">
            <v>61.015539166666677</v>
          </cell>
          <cell r="R29">
            <v>50.492087500000004</v>
          </cell>
          <cell r="S29">
            <v>56.388583043072323</v>
          </cell>
          <cell r="T29">
            <v>1.0820548393645584</v>
          </cell>
          <cell r="U29">
            <v>0.8954310389646023</v>
          </cell>
        </row>
        <row r="30">
          <cell r="J30">
            <v>43040</v>
          </cell>
          <cell r="K30">
            <v>26.640026280423847</v>
          </cell>
          <cell r="L30">
            <v>24.106327004752977</v>
          </cell>
          <cell r="M30">
            <v>25.550535591885371</v>
          </cell>
          <cell r="P30">
            <v>2037</v>
          </cell>
          <cell r="Q30">
            <v>62.571659166666656</v>
          </cell>
          <cell r="R30">
            <v>52.025760833333344</v>
          </cell>
          <cell r="S30">
            <v>57.93256762464457</v>
          </cell>
          <cell r="T30">
            <v>1.0800774371348356</v>
          </cell>
          <cell r="U30">
            <v>0.89803996208863934</v>
          </cell>
        </row>
        <row r="31">
          <cell r="J31">
            <v>43070</v>
          </cell>
          <cell r="K31">
            <v>28.283778401137312</v>
          </cell>
          <cell r="L31">
            <v>25.245000000000001</v>
          </cell>
          <cell r="M31">
            <v>26.977103688648263</v>
          </cell>
          <cell r="P31">
            <v>2038</v>
          </cell>
          <cell r="Q31">
            <v>65.967674166666654</v>
          </cell>
          <cell r="R31">
            <v>55.11894916666666</v>
          </cell>
          <cell r="S31">
            <v>61.196705134968845</v>
          </cell>
          <cell r="T31">
            <v>1.0779612075711507</v>
          </cell>
          <cell r="U31">
            <v>0.90068491506368287</v>
          </cell>
        </row>
        <row r="32">
          <cell r="J32">
            <v>43101</v>
          </cell>
          <cell r="K32">
            <v>28.370196476515503</v>
          </cell>
          <cell r="L32">
            <v>26.017614207686009</v>
          </cell>
          <cell r="M32">
            <v>27.358586100918821</v>
          </cell>
          <cell r="P32">
            <v>0</v>
          </cell>
        </row>
        <row r="33">
          <cell r="J33">
            <v>43132</v>
          </cell>
          <cell r="K33">
            <v>28.022273440098356</v>
          </cell>
          <cell r="L33">
            <v>25.036683800606152</v>
          </cell>
          <cell r="M33">
            <v>26.738469895116708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J34">
            <v>43160</v>
          </cell>
          <cell r="K34">
            <v>25.715404781146269</v>
          </cell>
          <cell r="L34">
            <v>23.538198174823435</v>
          </cell>
          <cell r="M34">
            <v>24.779205940427449</v>
          </cell>
        </row>
        <row r="35">
          <cell r="J35">
            <v>43191</v>
          </cell>
          <cell r="K35">
            <v>22.234836160229261</v>
          </cell>
          <cell r="L35">
            <v>15.889428656539973</v>
          </cell>
          <cell r="M35">
            <v>19.506310933642865</v>
          </cell>
        </row>
        <row r="36">
          <cell r="J36">
            <v>43221</v>
          </cell>
          <cell r="K36">
            <v>18.757405910996749</v>
          </cell>
          <cell r="L36">
            <v>12.891880349649275</v>
          </cell>
          <cell r="M36">
            <v>16.235229919617336</v>
          </cell>
        </row>
        <row r="37">
          <cell r="J37">
            <v>43252</v>
          </cell>
          <cell r="K37">
            <v>17.113191708415595</v>
          </cell>
          <cell r="L37">
            <v>13.026956036014669</v>
          </cell>
          <cell r="M37">
            <v>15.356110369283195</v>
          </cell>
        </row>
        <row r="38">
          <cell r="J38">
            <v>43282</v>
          </cell>
          <cell r="K38">
            <v>26.555384203874869</v>
          </cell>
          <cell r="L38">
            <v>16.006244800447529</v>
          </cell>
          <cell r="M38">
            <v>22.019254260401112</v>
          </cell>
        </row>
        <row r="39">
          <cell r="J39">
            <v>43313</v>
          </cell>
          <cell r="K39">
            <v>31.181257593450532</v>
          </cell>
          <cell r="L39">
            <v>20.361527908798021</v>
          </cell>
          <cell r="M39">
            <v>26.52877382904995</v>
          </cell>
        </row>
        <row r="40">
          <cell r="J40">
            <v>43344</v>
          </cell>
          <cell r="K40">
            <v>29.524429356805761</v>
          </cell>
          <cell r="L40">
            <v>26.042822353893634</v>
          </cell>
          <cell r="M40">
            <v>28.027338345553545</v>
          </cell>
        </row>
        <row r="41">
          <cell r="J41">
            <v>43374</v>
          </cell>
          <cell r="K41">
            <v>29.311356777414211</v>
          </cell>
          <cell r="L41">
            <v>24.19455475370399</v>
          </cell>
          <cell r="M41">
            <v>27.111131907218812</v>
          </cell>
        </row>
        <row r="42">
          <cell r="J42">
            <v>43405</v>
          </cell>
          <cell r="K42">
            <v>29.11017261128864</v>
          </cell>
          <cell r="L42">
            <v>26.03063632546224</v>
          </cell>
          <cell r="M42">
            <v>27.785972008383286</v>
          </cell>
        </row>
        <row r="43">
          <cell r="J43">
            <v>43435</v>
          </cell>
          <cell r="K43">
            <v>30.844069461613614</v>
          </cell>
          <cell r="L43">
            <v>26.984928595556305</v>
          </cell>
          <cell r="M43">
            <v>29.184638889208969</v>
          </cell>
        </row>
        <row r="44">
          <cell r="J44">
            <v>43466</v>
          </cell>
          <cell r="K44">
            <v>29.573550363013595</v>
          </cell>
          <cell r="L44">
            <v>27.328658242896235</v>
          </cell>
          <cell r="M44">
            <v>28.608246751363129</v>
          </cell>
        </row>
        <row r="45">
          <cell r="J45">
            <v>43497</v>
          </cell>
          <cell r="K45">
            <v>29.124709450361088</v>
          </cell>
          <cell r="L45">
            <v>26.353207533003431</v>
          </cell>
          <cell r="M45">
            <v>27.932963625897294</v>
          </cell>
        </row>
        <row r="46">
          <cell r="J46">
            <v>43525</v>
          </cell>
          <cell r="K46">
            <v>26.952352077629257</v>
          </cell>
          <cell r="L46">
            <v>25.07774996098253</v>
          </cell>
          <cell r="M46">
            <v>26.146273167471165</v>
          </cell>
        </row>
        <row r="47">
          <cell r="J47">
            <v>43556</v>
          </cell>
          <cell r="K47">
            <v>24.114310911810307</v>
          </cell>
          <cell r="L47">
            <v>16.555649054195648</v>
          </cell>
          <cell r="M47">
            <v>20.864086313036005</v>
          </cell>
        </row>
        <row r="48">
          <cell r="J48">
            <v>43586</v>
          </cell>
          <cell r="K48">
            <v>21.783388750262979</v>
          </cell>
          <cell r="L48">
            <v>13.839071737995361</v>
          </cell>
          <cell r="M48">
            <v>18.367332434987901</v>
          </cell>
          <cell r="U48">
            <v>0.84603740708183717</v>
          </cell>
          <cell r="V48">
            <v>0.15396259291816258</v>
          </cell>
        </row>
        <row r="49">
          <cell r="J49">
            <v>43617</v>
          </cell>
          <cell r="K49">
            <v>18.766142586840417</v>
          </cell>
          <cell r="L49">
            <v>14.091970256777238</v>
          </cell>
          <cell r="M49">
            <v>16.756248484913247</v>
          </cell>
        </row>
        <row r="50">
          <cell r="J50">
            <v>43647</v>
          </cell>
          <cell r="K50">
            <v>28.156847961338194</v>
          </cell>
          <cell r="L50">
            <v>16.583391230690143</v>
          </cell>
          <cell r="M50">
            <v>23.18026156715953</v>
          </cell>
        </row>
        <row r="51">
          <cell r="J51">
            <v>43678</v>
          </cell>
          <cell r="K51">
            <v>32.662312588523626</v>
          </cell>
          <cell r="L51">
            <v>20.612492997608811</v>
          </cell>
          <cell r="M51">
            <v>27.480890164430253</v>
          </cell>
        </row>
        <row r="52">
          <cell r="J52">
            <v>43709</v>
          </cell>
          <cell r="K52">
            <v>30.657173021178274</v>
          </cell>
          <cell r="L52">
            <v>27.040380334422128</v>
          </cell>
          <cell r="M52">
            <v>29.101952165873129</v>
          </cell>
        </row>
        <row r="53">
          <cell r="J53">
            <v>43739</v>
          </cell>
          <cell r="K53">
            <v>29.929716151768428</v>
          </cell>
          <cell r="L53">
            <v>26.706347644052912</v>
          </cell>
          <cell r="M53">
            <v>28.54366769345075</v>
          </cell>
        </row>
        <row r="54">
          <cell r="J54">
            <v>43770</v>
          </cell>
          <cell r="K54">
            <v>29.842889335961026</v>
          </cell>
          <cell r="L54">
            <v>27.184032679572248</v>
          </cell>
          <cell r="M54">
            <v>28.69958097371385</v>
          </cell>
        </row>
        <row r="55">
          <cell r="J55">
            <v>43800</v>
          </cell>
          <cell r="K55">
            <v>31.541877927216731</v>
          </cell>
          <cell r="L55">
            <v>28.120797083713406</v>
          </cell>
          <cell r="M55">
            <v>30.070813164510298</v>
          </cell>
        </row>
        <row r="56">
          <cell r="J56">
            <v>43831</v>
          </cell>
          <cell r="K56">
            <v>30.862077259882998</v>
          </cell>
          <cell r="L56">
            <v>28.619831310573488</v>
          </cell>
          <cell r="M56">
            <v>29.897911501679907</v>
          </cell>
        </row>
        <row r="57">
          <cell r="J57">
            <v>43862</v>
          </cell>
          <cell r="K57">
            <v>30.660883097476148</v>
          </cell>
          <cell r="L57">
            <v>27.88547165233469</v>
          </cell>
          <cell r="M57">
            <v>29.467456176065319</v>
          </cell>
        </row>
        <row r="58">
          <cell r="J58">
            <v>43891</v>
          </cell>
          <cell r="K58">
            <v>28.231794593420354</v>
          </cell>
          <cell r="L58">
            <v>26.445856740740258</v>
          </cell>
          <cell r="M58">
            <v>27.463841316767912</v>
          </cell>
        </row>
        <row r="59">
          <cell r="J59">
            <v>43922</v>
          </cell>
          <cell r="K59">
            <v>25.362244231471813</v>
          </cell>
          <cell r="L59">
            <v>17.479805500749745</v>
          </cell>
          <cell r="M59">
            <v>21.972795577261323</v>
          </cell>
        </row>
        <row r="60">
          <cell r="J60">
            <v>43952</v>
          </cell>
          <cell r="K60">
            <v>22.878020041644106</v>
          </cell>
          <cell r="L60">
            <v>14.40060066043824</v>
          </cell>
          <cell r="M60">
            <v>19.232729707725582</v>
          </cell>
        </row>
        <row r="61">
          <cell r="J61">
            <v>43983</v>
          </cell>
          <cell r="K61">
            <v>20.579630834437804</v>
          </cell>
          <cell r="L61">
            <v>13.942993784243583</v>
          </cell>
          <cell r="M61">
            <v>17.725876902854289</v>
          </cell>
        </row>
        <row r="62">
          <cell r="J62">
            <v>44013</v>
          </cell>
          <cell r="K62">
            <v>29.473686050306409</v>
          </cell>
          <cell r="L62">
            <v>18.955055568155</v>
          </cell>
          <cell r="M62">
            <v>24.950674942981301</v>
          </cell>
        </row>
        <row r="63">
          <cell r="J63">
            <v>44044</v>
          </cell>
          <cell r="K63">
            <v>33.862677050700441</v>
          </cell>
          <cell r="L63">
            <v>22.885690956802229</v>
          </cell>
          <cell r="M63">
            <v>29.142573030324208</v>
          </cell>
        </row>
        <row r="64">
          <cell r="J64">
            <v>44075</v>
          </cell>
          <cell r="K64">
            <v>31.951742191218759</v>
          </cell>
          <cell r="L64">
            <v>27.580914182923671</v>
          </cell>
          <cell r="M64">
            <v>30.072286147651869</v>
          </cell>
        </row>
        <row r="65">
          <cell r="J65">
            <v>44105</v>
          </cell>
          <cell r="K65">
            <v>31.49120433929599</v>
          </cell>
          <cell r="L65">
            <v>26.630407148323638</v>
          </cell>
          <cell r="M65">
            <v>29.401061547177875</v>
          </cell>
        </row>
        <row r="66">
          <cell r="J66">
            <v>44136</v>
          </cell>
          <cell r="K66">
            <v>30.99255516157195</v>
          </cell>
          <cell r="L66">
            <v>28.115100713157727</v>
          </cell>
          <cell r="M66">
            <v>29.755249748753833</v>
          </cell>
        </row>
        <row r="67">
          <cell r="J67">
            <v>44166</v>
          </cell>
          <cell r="K67">
            <v>32.593685458769087</v>
          </cell>
          <cell r="L67">
            <v>29.017685796496</v>
          </cell>
          <cell r="M67">
            <v>31.056005603991657</v>
          </cell>
        </row>
        <row r="68">
          <cell r="J68">
            <v>44197</v>
          </cell>
          <cell r="K68">
            <v>32.351076680335083</v>
          </cell>
          <cell r="L68">
            <v>28.476445343519156</v>
          </cell>
          <cell r="M68">
            <v>30.684985205504233</v>
          </cell>
        </row>
        <row r="69">
          <cell r="J69">
            <v>44228</v>
          </cell>
          <cell r="K69">
            <v>31.83513543884369</v>
          </cell>
          <cell r="L69">
            <v>28.017383144244874</v>
          </cell>
          <cell r="M69">
            <v>30.193501952166201</v>
          </cell>
        </row>
        <row r="70">
          <cell r="J70">
            <v>44256</v>
          </cell>
          <cell r="K70">
            <v>30.15279431195739</v>
          </cell>
          <cell r="L70">
            <v>26.53200766385077</v>
          </cell>
          <cell r="M70">
            <v>28.595856053271543</v>
          </cell>
        </row>
        <row r="71">
          <cell r="J71">
            <v>44287</v>
          </cell>
          <cell r="K71">
            <v>26.595733477106776</v>
          </cell>
          <cell r="L71">
            <v>19.390738933537303</v>
          </cell>
          <cell r="M71">
            <v>23.497585823371899</v>
          </cell>
        </row>
        <row r="72">
          <cell r="J72">
            <v>44317</v>
          </cell>
          <cell r="K72">
            <v>23.770897936265449</v>
          </cell>
          <cell r="L72">
            <v>17.125502767535693</v>
          </cell>
          <cell r="M72">
            <v>20.91337801371165</v>
          </cell>
        </row>
        <row r="73">
          <cell r="J73">
            <v>44348</v>
          </cell>
          <cell r="K73">
            <v>20.781486516277194</v>
          </cell>
          <cell r="L73">
            <v>17.575517919390837</v>
          </cell>
          <cell r="M73">
            <v>19.402920019616058</v>
          </cell>
        </row>
        <row r="74">
          <cell r="J74">
            <v>44378</v>
          </cell>
          <cell r="K74">
            <v>30.738544514445369</v>
          </cell>
          <cell r="L74">
            <v>22.865914163656768</v>
          </cell>
          <cell r="M74">
            <v>27.35331346360627</v>
          </cell>
        </row>
        <row r="75">
          <cell r="J75">
            <v>44409</v>
          </cell>
          <cell r="K75">
            <v>35.424344576353676</v>
          </cell>
          <cell r="L75">
            <v>26.615342001387955</v>
          </cell>
          <cell r="M75">
            <v>31.636473469118414</v>
          </cell>
        </row>
        <row r="76">
          <cell r="J76">
            <v>44440</v>
          </cell>
          <cell r="K76">
            <v>33.645474906945836</v>
          </cell>
          <cell r="L76">
            <v>29.521803930079585</v>
          </cell>
          <cell r="M76">
            <v>31.872296386893346</v>
          </cell>
        </row>
        <row r="77">
          <cell r="J77">
            <v>44470</v>
          </cell>
          <cell r="K77">
            <v>33.321625783616454</v>
          </cell>
          <cell r="L77">
            <v>27.247782072888498</v>
          </cell>
          <cell r="M77">
            <v>30.709872988003433</v>
          </cell>
        </row>
        <row r="78">
          <cell r="J78">
            <v>44501</v>
          </cell>
          <cell r="K78">
            <v>33.392698288915028</v>
          </cell>
          <cell r="L78">
            <v>29.128986053079807</v>
          </cell>
          <cell r="M78">
            <v>31.559302027505879</v>
          </cell>
        </row>
        <row r="79">
          <cell r="J79">
            <v>44531</v>
          </cell>
          <cell r="K79">
            <v>35.686344522575013</v>
          </cell>
          <cell r="L79">
            <v>30.190631797570397</v>
          </cell>
          <cell r="M79">
            <v>33.323188050823028</v>
          </cell>
        </row>
        <row r="80">
          <cell r="J80">
            <v>44562</v>
          </cell>
          <cell r="K80">
            <v>33.909414948180185</v>
          </cell>
          <cell r="L80">
            <v>29.814560277347006</v>
          </cell>
          <cell r="M80">
            <v>32.14862743972192</v>
          </cell>
        </row>
        <row r="81">
          <cell r="J81">
            <v>44593</v>
          </cell>
          <cell r="K81">
            <v>33.780972220025554</v>
          </cell>
          <cell r="L81">
            <v>29.149613478223177</v>
          </cell>
          <cell r="M81">
            <v>31.789487961050529</v>
          </cell>
        </row>
        <row r="82">
          <cell r="J82">
            <v>44621</v>
          </cell>
          <cell r="K82">
            <v>31.820464900302021</v>
          </cell>
          <cell r="L82">
            <v>27.542219687864051</v>
          </cell>
          <cell r="M82">
            <v>29.980819458953693</v>
          </cell>
        </row>
        <row r="83">
          <cell r="J83">
            <v>44652</v>
          </cell>
          <cell r="K83">
            <v>28.242361468585571</v>
          </cell>
          <cell r="L83">
            <v>20.938376879800604</v>
          </cell>
          <cell r="M83">
            <v>25.101648095408031</v>
          </cell>
        </row>
        <row r="84">
          <cell r="J84">
            <v>44682</v>
          </cell>
          <cell r="K84">
            <v>26.106327461722664</v>
          </cell>
          <cell r="L84">
            <v>20.673550360706571</v>
          </cell>
          <cell r="M84">
            <v>23.770233308285743</v>
          </cell>
        </row>
        <row r="85">
          <cell r="J85">
            <v>44713</v>
          </cell>
          <cell r="K85">
            <v>27.457289492372841</v>
          </cell>
          <cell r="L85">
            <v>22.734538022752201</v>
          </cell>
          <cell r="M85">
            <v>25.426506360435965</v>
          </cell>
        </row>
        <row r="86">
          <cell r="J86">
            <v>44743</v>
          </cell>
          <cell r="K86">
            <v>34.502239045955974</v>
          </cell>
          <cell r="L86">
            <v>26.549710999200162</v>
          </cell>
          <cell r="M86">
            <v>31.082651985850973</v>
          </cell>
        </row>
        <row r="87">
          <cell r="J87">
            <v>44774</v>
          </cell>
          <cell r="K87">
            <v>38.815773860423526</v>
          </cell>
          <cell r="L87">
            <v>28.690870643587161</v>
          </cell>
          <cell r="M87">
            <v>34.462065477183884</v>
          </cell>
        </row>
        <row r="88">
          <cell r="J88">
            <v>44805</v>
          </cell>
          <cell r="K88">
            <v>38.048738714156848</v>
          </cell>
          <cell r="L88">
            <v>32.363865348096631</v>
          </cell>
          <cell r="M88">
            <v>35.604243166750955</v>
          </cell>
        </row>
        <row r="89">
          <cell r="J89">
            <v>44835</v>
          </cell>
          <cell r="K89">
            <v>35.969447567676362</v>
          </cell>
          <cell r="L89">
            <v>29.366313099132292</v>
          </cell>
          <cell r="M89">
            <v>33.130099746202411</v>
          </cell>
        </row>
        <row r="90">
          <cell r="J90">
            <v>44866</v>
          </cell>
          <cell r="K90">
            <v>37.719132240648271</v>
          </cell>
          <cell r="L90">
            <v>32.472656173301871</v>
          </cell>
          <cell r="M90">
            <v>35.463147531689316</v>
          </cell>
        </row>
        <row r="91">
          <cell r="J91">
            <v>44896</v>
          </cell>
          <cell r="K91">
            <v>39.309926329276294</v>
          </cell>
          <cell r="L91">
            <v>33.778192847987938</v>
          </cell>
          <cell r="M91">
            <v>36.931280932322302</v>
          </cell>
        </row>
        <row r="92">
          <cell r="J92">
            <v>44927</v>
          </cell>
          <cell r="K92">
            <v>38.839300000000001</v>
          </cell>
          <cell r="L92">
            <v>32.454149999999998</v>
          </cell>
          <cell r="M92">
            <v>36.093685499999999</v>
          </cell>
        </row>
        <row r="93">
          <cell r="J93">
            <v>44958</v>
          </cell>
          <cell r="K93">
            <v>39.823665012575262</v>
          </cell>
          <cell r="L93">
            <v>33.329624279289717</v>
          </cell>
          <cell r="M93">
            <v>37.031227497262478</v>
          </cell>
        </row>
        <row r="94">
          <cell r="J94">
            <v>44986</v>
          </cell>
          <cell r="K94">
            <v>35.65099948002927</v>
          </cell>
          <cell r="L94">
            <v>30.494258706310443</v>
          </cell>
          <cell r="M94">
            <v>33.433600947330177</v>
          </cell>
        </row>
        <row r="95">
          <cell r="J95">
            <v>45017</v>
          </cell>
          <cell r="K95">
            <v>32.812560873833647</v>
          </cell>
          <cell r="L95">
            <v>26.038169813757104</v>
          </cell>
          <cell r="M95">
            <v>29.899572718000734</v>
          </cell>
        </row>
        <row r="96">
          <cell r="J96">
            <v>45047</v>
          </cell>
          <cell r="K96">
            <v>29.376951248569767</v>
          </cell>
          <cell r="L96">
            <v>23.954196605579735</v>
          </cell>
          <cell r="M96">
            <v>27.04516675208405</v>
          </cell>
        </row>
        <row r="97">
          <cell r="J97">
            <v>45078</v>
          </cell>
          <cell r="K97">
            <v>34.498015359686946</v>
          </cell>
          <cell r="L97">
            <v>26.632963242854373</v>
          </cell>
          <cell r="M97">
            <v>31.116042949448939</v>
          </cell>
        </row>
        <row r="98">
          <cell r="J98">
            <v>45108</v>
          </cell>
          <cell r="K98">
            <v>38.051570833982097</v>
          </cell>
          <cell r="L98">
            <v>30.181879024783019</v>
          </cell>
          <cell r="M98">
            <v>34.66760335602649</v>
          </cell>
        </row>
        <row r="99">
          <cell r="J99">
            <v>45139</v>
          </cell>
          <cell r="K99">
            <v>41.945018870196122</v>
          </cell>
          <cell r="L99">
            <v>30.739474001794068</v>
          </cell>
          <cell r="M99">
            <v>37.126634576783239</v>
          </cell>
        </row>
        <row r="100">
          <cell r="J100">
            <v>45170</v>
          </cell>
          <cell r="K100">
            <v>42.537447508213177</v>
          </cell>
          <cell r="L100">
            <v>35.096304792867933</v>
          </cell>
          <cell r="M100">
            <v>39.337756140614715</v>
          </cell>
        </row>
        <row r="101">
          <cell r="J101">
            <v>45200</v>
          </cell>
          <cell r="K101">
            <v>38.790383420471649</v>
          </cell>
          <cell r="L101">
            <v>31.316633772310595</v>
          </cell>
          <cell r="M101">
            <v>35.576671071762391</v>
          </cell>
        </row>
        <row r="102">
          <cell r="J102">
            <v>45231</v>
          </cell>
          <cell r="K102">
            <v>41.559746118093521</v>
          </cell>
          <cell r="L102">
            <v>33.841319568510983</v>
          </cell>
          <cell r="M102">
            <v>38.240822701773027</v>
          </cell>
        </row>
        <row r="103">
          <cell r="J103">
            <v>45261</v>
          </cell>
          <cell r="K103">
            <v>43.37411324592766</v>
          </cell>
          <cell r="L103">
            <v>36.185987240182797</v>
          </cell>
          <cell r="M103">
            <v>40.283219063457366</v>
          </cell>
        </row>
        <row r="104">
          <cell r="J104">
            <v>45292</v>
          </cell>
          <cell r="K104">
            <v>44.016098507489197</v>
          </cell>
          <cell r="L104">
            <v>35.668309999999998</v>
          </cell>
          <cell r="M104">
            <v>40.42654944926884</v>
          </cell>
        </row>
        <row r="105">
          <cell r="J105">
            <v>45323</v>
          </cell>
          <cell r="K105">
            <v>46.501495022137838</v>
          </cell>
          <cell r="L105">
            <v>38.071638019323288</v>
          </cell>
          <cell r="M105">
            <v>42.876656510927582</v>
          </cell>
        </row>
        <row r="106">
          <cell r="J106">
            <v>45352</v>
          </cell>
          <cell r="K106">
            <v>39.584318608747061</v>
          </cell>
          <cell r="L106">
            <v>33.591373272340803</v>
          </cell>
          <cell r="M106">
            <v>37.00735211409237</v>
          </cell>
        </row>
        <row r="107">
          <cell r="J107">
            <v>45383</v>
          </cell>
          <cell r="K107">
            <v>37.304765604996319</v>
          </cell>
          <cell r="L107">
            <v>32.564153119809269</v>
          </cell>
          <cell r="M107">
            <v>35.266302236365888</v>
          </cell>
        </row>
        <row r="108">
          <cell r="J108">
            <v>45413</v>
          </cell>
          <cell r="K108">
            <v>31.143902803683616</v>
          </cell>
          <cell r="L108">
            <v>25.293339372187766</v>
          </cell>
          <cell r="M108">
            <v>28.628160528140398</v>
          </cell>
        </row>
        <row r="109">
          <cell r="J109">
            <v>45444</v>
          </cell>
          <cell r="K109">
            <v>35.436619293625611</v>
          </cell>
          <cell r="L109">
            <v>29.098100543118395</v>
          </cell>
          <cell r="M109">
            <v>32.711056230907502</v>
          </cell>
        </row>
        <row r="110">
          <cell r="J110">
            <v>45474</v>
          </cell>
          <cell r="K110">
            <v>41.579554678460511</v>
          </cell>
          <cell r="L110">
            <v>33.071542111134036</v>
          </cell>
          <cell r="M110">
            <v>37.921109274510123</v>
          </cell>
        </row>
        <row r="111">
          <cell r="J111">
            <v>45505</v>
          </cell>
          <cell r="K111">
            <v>46.078261526502878</v>
          </cell>
          <cell r="L111">
            <v>34.152371230279762</v>
          </cell>
          <cell r="M111">
            <v>40.950128699126935</v>
          </cell>
        </row>
        <row r="112">
          <cell r="J112">
            <v>45536</v>
          </cell>
          <cell r="K112">
            <v>47.409299647711279</v>
          </cell>
          <cell r="L112">
            <v>38.656189546906617</v>
          </cell>
          <cell r="M112">
            <v>43.645462304365267</v>
          </cell>
        </row>
        <row r="113">
          <cell r="J113">
            <v>45566</v>
          </cell>
          <cell r="K113">
            <v>43.476124543901463</v>
          </cell>
          <cell r="L113">
            <v>34.638234892380815</v>
          </cell>
          <cell r="M113">
            <v>39.675831993747579</v>
          </cell>
        </row>
        <row r="114">
          <cell r="J114">
            <v>45597</v>
          </cell>
          <cell r="K114">
            <v>46.736819671897166</v>
          </cell>
          <cell r="L114">
            <v>37.3446058505751</v>
          </cell>
          <cell r="M114">
            <v>42.698167728728677</v>
          </cell>
        </row>
        <row r="115">
          <cell r="J115">
            <v>45627</v>
          </cell>
          <cell r="K115">
            <v>46.283949604808633</v>
          </cell>
          <cell r="L115">
            <v>39.129534410403664</v>
          </cell>
          <cell r="M115">
            <v>43.207551071214496</v>
          </cell>
        </row>
        <row r="116">
          <cell r="J116">
            <v>45658</v>
          </cell>
          <cell r="K116">
            <v>46.470406459272333</v>
          </cell>
          <cell r="L116">
            <v>37.81476</v>
          </cell>
          <cell r="M116">
            <v>42.748478481785227</v>
          </cell>
        </row>
        <row r="117">
          <cell r="J117">
            <v>45689</v>
          </cell>
          <cell r="K117">
            <v>49.373502882320381</v>
          </cell>
          <cell r="L117">
            <v>41.246487853973434</v>
          </cell>
          <cell r="M117">
            <v>45.878886420131195</v>
          </cell>
        </row>
        <row r="118">
          <cell r="J118">
            <v>45717</v>
          </cell>
          <cell r="K118">
            <v>42.847235812019534</v>
          </cell>
          <cell r="L118">
            <v>36.617293273186256</v>
          </cell>
          <cell r="M118">
            <v>40.168360520321222</v>
          </cell>
        </row>
        <row r="119">
          <cell r="J119">
            <v>45748</v>
          </cell>
          <cell r="K119">
            <v>41.096437811710516</v>
          </cell>
          <cell r="L119">
            <v>35.346104339975881</v>
          </cell>
          <cell r="M119">
            <v>38.62379441886462</v>
          </cell>
        </row>
        <row r="120">
          <cell r="J120">
            <v>45778</v>
          </cell>
          <cell r="K120">
            <v>32.922851152180058</v>
          </cell>
          <cell r="L120">
            <v>27.015939072298409</v>
          </cell>
          <cell r="M120">
            <v>30.382878957830947</v>
          </cell>
        </row>
        <row r="121">
          <cell r="J121">
            <v>45809</v>
          </cell>
          <cell r="K121">
            <v>38.91532657364192</v>
          </cell>
          <cell r="L121">
            <v>30.673674589968197</v>
          </cell>
          <cell r="M121">
            <v>35.371416220662219</v>
          </cell>
        </row>
        <row r="122">
          <cell r="J122">
            <v>45839</v>
          </cell>
          <cell r="K122">
            <v>44.556760416661788</v>
          </cell>
          <cell r="L122">
            <v>35.512068953029463</v>
          </cell>
          <cell r="M122">
            <v>40.667543087299883</v>
          </cell>
        </row>
        <row r="123">
          <cell r="J123">
            <v>45870</v>
          </cell>
          <cell r="K123">
            <v>50.049413914749003</v>
          </cell>
          <cell r="L123">
            <v>37.368902804978219</v>
          </cell>
          <cell r="M123">
            <v>44.596794137547562</v>
          </cell>
        </row>
        <row r="124">
          <cell r="J124">
            <v>45901</v>
          </cell>
          <cell r="K124">
            <v>50.294362727058555</v>
          </cell>
          <cell r="L124">
            <v>40.787882448212315</v>
          </cell>
          <cell r="M124">
            <v>46.206576207154669</v>
          </cell>
        </row>
        <row r="125">
          <cell r="J125">
            <v>45931</v>
          </cell>
          <cell r="K125">
            <v>43.703257626572451</v>
          </cell>
          <cell r="L125">
            <v>35.098786708475437</v>
          </cell>
          <cell r="M125">
            <v>40.003335131790735</v>
          </cell>
        </row>
        <row r="126">
          <cell r="J126">
            <v>45962</v>
          </cell>
          <cell r="K126">
            <v>45.232729417160556</v>
          </cell>
          <cell r="L126">
            <v>36.907991397286978</v>
          </cell>
          <cell r="M126">
            <v>41.65309206861491</v>
          </cell>
        </row>
        <row r="127">
          <cell r="J127">
            <v>45992</v>
          </cell>
          <cell r="K127">
            <v>48.28031360059088</v>
          </cell>
          <cell r="L127">
            <v>40.408217981328811</v>
          </cell>
          <cell r="M127">
            <v>44.895312484308185</v>
          </cell>
        </row>
        <row r="128">
          <cell r="J128">
            <v>46023</v>
          </cell>
          <cell r="K128">
            <v>48.140925955898432</v>
          </cell>
          <cell r="L128">
            <v>39.285417608127531</v>
          </cell>
          <cell r="M128">
            <v>44.33305736635694</v>
          </cell>
        </row>
        <row r="129">
          <cell r="J129">
            <v>46054</v>
          </cell>
          <cell r="K129">
            <v>51.115393440019979</v>
          </cell>
          <cell r="L129">
            <v>41.566166363066515</v>
          </cell>
          <cell r="M129">
            <v>47.009225796929982</v>
          </cell>
        </row>
        <row r="130">
          <cell r="J130">
            <v>46082</v>
          </cell>
          <cell r="K130">
            <v>44.333059728472932</v>
          </cell>
          <cell r="L130">
            <v>38.15136394367471</v>
          </cell>
          <cell r="M130">
            <v>41.674930541009694</v>
          </cell>
        </row>
        <row r="131">
          <cell r="J131">
            <v>46113</v>
          </cell>
          <cell r="K131">
            <v>42.391578015438967</v>
          </cell>
          <cell r="L131">
            <v>36.972776057184753</v>
          </cell>
          <cell r="M131">
            <v>40.06149317338965</v>
          </cell>
        </row>
        <row r="132">
          <cell r="J132">
            <v>46143</v>
          </cell>
          <cell r="K132">
            <v>35.507920316284846</v>
          </cell>
          <cell r="L132">
            <v>29.842943559024679</v>
          </cell>
          <cell r="M132">
            <v>33.071980310662973</v>
          </cell>
        </row>
        <row r="133">
          <cell r="J133">
            <v>46174</v>
          </cell>
          <cell r="K133">
            <v>40.860492891010701</v>
          </cell>
          <cell r="L133">
            <v>32.118703674677917</v>
          </cell>
          <cell r="M133">
            <v>37.101523527987602</v>
          </cell>
        </row>
        <row r="134">
          <cell r="J134">
            <v>46204</v>
          </cell>
          <cell r="K134">
            <v>46.268081770946822</v>
          </cell>
          <cell r="L134">
            <v>36.896207981596753</v>
          </cell>
          <cell r="M134">
            <v>42.238176041526287</v>
          </cell>
        </row>
        <row r="135">
          <cell r="J135">
            <v>46235</v>
          </cell>
          <cell r="K135">
            <v>51.695684909203564</v>
          </cell>
          <cell r="L135">
            <v>39.052011427100204</v>
          </cell>
          <cell r="M135">
            <v>46.258905311899113</v>
          </cell>
        </row>
        <row r="136">
          <cell r="J136">
            <v>46266</v>
          </cell>
          <cell r="K136">
            <v>51.840473113174284</v>
          </cell>
          <cell r="L136">
            <v>42.715606623055166</v>
          </cell>
          <cell r="M136">
            <v>47.916780522423061</v>
          </cell>
        </row>
        <row r="137">
          <cell r="J137">
            <v>46296</v>
          </cell>
          <cell r="K137">
            <v>45.587909110365423</v>
          </cell>
          <cell r="L137">
            <v>36.656967656633107</v>
          </cell>
          <cell r="M137">
            <v>41.747604285260522</v>
          </cell>
        </row>
        <row r="138">
          <cell r="J138">
            <v>46327</v>
          </cell>
          <cell r="K138">
            <v>47.689317787717272</v>
          </cell>
          <cell r="L138">
            <v>38.853319780064588</v>
          </cell>
          <cell r="M138">
            <v>43.889838644426618</v>
          </cell>
        </row>
        <row r="139">
          <cell r="J139">
            <v>46357</v>
          </cell>
          <cell r="K139">
            <v>50.065482618816944</v>
          </cell>
          <cell r="L139">
            <v>41.600981852749541</v>
          </cell>
          <cell r="M139">
            <v>46.425747289407958</v>
          </cell>
        </row>
        <row r="140">
          <cell r="J140">
            <v>46388</v>
          </cell>
          <cell r="K140">
            <v>49.874085422778258</v>
          </cell>
          <cell r="L140">
            <v>41.353005127856669</v>
          </cell>
          <cell r="M140">
            <v>46.210020895961975</v>
          </cell>
        </row>
        <row r="141">
          <cell r="J141">
            <v>46419</v>
          </cell>
          <cell r="K141">
            <v>53.089020619880287</v>
          </cell>
          <cell r="L141">
            <v>43.727088253490841</v>
          </cell>
          <cell r="M141">
            <v>49.063389702332827</v>
          </cell>
        </row>
        <row r="142">
          <cell r="J142">
            <v>46447</v>
          </cell>
          <cell r="K142">
            <v>46.631665933518669</v>
          </cell>
          <cell r="L142">
            <v>39.568490242990038</v>
          </cell>
          <cell r="M142">
            <v>43.594500386591349</v>
          </cell>
        </row>
        <row r="143">
          <cell r="J143">
            <v>46478</v>
          </cell>
          <cell r="K143">
            <v>43.713280529370905</v>
          </cell>
          <cell r="L143">
            <v>38.11929513016149</v>
          </cell>
          <cell r="M143">
            <v>41.307866807710852</v>
          </cell>
        </row>
        <row r="144">
          <cell r="J144">
            <v>46508</v>
          </cell>
          <cell r="K144">
            <v>36.565368457921714</v>
          </cell>
          <cell r="L144">
            <v>30.57543637682074</v>
          </cell>
          <cell r="M144">
            <v>33.98969766304829</v>
          </cell>
        </row>
        <row r="145">
          <cell r="J145">
            <v>46539</v>
          </cell>
          <cell r="K145">
            <v>42.931237933910822</v>
          </cell>
          <cell r="L145">
            <v>33.722230975262349</v>
          </cell>
          <cell r="M145">
            <v>38.971364941691974</v>
          </cell>
        </row>
        <row r="146">
          <cell r="J146">
            <v>46569</v>
          </cell>
          <cell r="K146">
            <v>47.889451020809844</v>
          </cell>
          <cell r="L146">
            <v>38.796525477445734</v>
          </cell>
          <cell r="M146">
            <v>43.979493037163273</v>
          </cell>
        </row>
        <row r="147">
          <cell r="J147">
            <v>46600</v>
          </cell>
          <cell r="K147">
            <v>53.630394887511386</v>
          </cell>
          <cell r="L147">
            <v>40.682333045960377</v>
          </cell>
          <cell r="M147">
            <v>48.062728295644447</v>
          </cell>
        </row>
        <row r="148">
          <cell r="J148">
            <v>46631</v>
          </cell>
          <cell r="K148">
            <v>54.065577308330383</v>
          </cell>
          <cell r="L148">
            <v>45.127638042730993</v>
          </cell>
          <cell r="M148">
            <v>50.222263424122644</v>
          </cell>
        </row>
        <row r="149">
          <cell r="J149">
            <v>46661</v>
          </cell>
          <cell r="K149">
            <v>48.755895597067337</v>
          </cell>
          <cell r="L149">
            <v>39.819709083547444</v>
          </cell>
          <cell r="M149">
            <v>44.913335396253785</v>
          </cell>
        </row>
        <row r="150">
          <cell r="J150">
            <v>46692</v>
          </cell>
          <cell r="K150">
            <v>52.619911761518473</v>
          </cell>
          <cell r="L150">
            <v>42.974513484012199</v>
          </cell>
          <cell r="M150">
            <v>48.47239050219077</v>
          </cell>
        </row>
        <row r="151">
          <cell r="J151">
            <v>46722</v>
          </cell>
          <cell r="K151">
            <v>53.916010730119723</v>
          </cell>
          <cell r="L151">
            <v>45.578770744920448</v>
          </cell>
          <cell r="M151">
            <v>50.330997536484034</v>
          </cell>
        </row>
        <row r="152">
          <cell r="J152">
            <v>46753</v>
          </cell>
          <cell r="K152">
            <v>50.284267742864081</v>
          </cell>
          <cell r="L152">
            <v>41.417104181617368</v>
          </cell>
          <cell r="M152">
            <v>46.471387411527992</v>
          </cell>
        </row>
        <row r="153">
          <cell r="J153">
            <v>46784</v>
          </cell>
          <cell r="K153">
            <v>53.363420478053257</v>
          </cell>
          <cell r="L153">
            <v>44.222249371471975</v>
          </cell>
          <cell r="M153">
            <v>49.432716902223305</v>
          </cell>
        </row>
        <row r="154">
          <cell r="J154">
            <v>46813</v>
          </cell>
          <cell r="K154">
            <v>46.527773572189048</v>
          </cell>
          <cell r="L154">
            <v>39.318552054045753</v>
          </cell>
          <cell r="M154">
            <v>43.427808319387431</v>
          </cell>
        </row>
        <row r="155">
          <cell r="J155">
            <v>46844</v>
          </cell>
          <cell r="K155">
            <v>44.259854175550956</v>
          </cell>
          <cell r="L155">
            <v>38.668780086129573</v>
          </cell>
          <cell r="M155">
            <v>41.855692317099759</v>
          </cell>
        </row>
        <row r="156">
          <cell r="J156">
            <v>46874</v>
          </cell>
          <cell r="K156">
            <v>40.207148490819961</v>
          </cell>
          <cell r="L156">
            <v>31.819156477389004</v>
          </cell>
          <cell r="M156">
            <v>36.60031192504465</v>
          </cell>
        </row>
        <row r="157">
          <cell r="J157">
            <v>46905</v>
          </cell>
          <cell r="K157">
            <v>45.175658992003243</v>
          </cell>
          <cell r="L157">
            <v>35.304099955168915</v>
          </cell>
          <cell r="M157">
            <v>40.93088860616448</v>
          </cell>
        </row>
        <row r="158">
          <cell r="J158">
            <v>46935</v>
          </cell>
          <cell r="K158">
            <v>50.309605213158264</v>
          </cell>
          <cell r="L158">
            <v>41.877714441414284</v>
          </cell>
          <cell r="M158">
            <v>46.683892181308352</v>
          </cell>
        </row>
        <row r="159">
          <cell r="J159">
            <v>46966</v>
          </cell>
          <cell r="K159">
            <v>55.435636100928228</v>
          </cell>
          <cell r="L159">
            <v>41.956026878810356</v>
          </cell>
          <cell r="M159">
            <v>49.639404135417536</v>
          </cell>
        </row>
        <row r="160">
          <cell r="J160">
            <v>46997</v>
          </cell>
          <cell r="K160">
            <v>55.320409441768284</v>
          </cell>
          <cell r="L160">
            <v>46.310237792347365</v>
          </cell>
          <cell r="M160">
            <v>51.446035632517287</v>
          </cell>
        </row>
        <row r="161">
          <cell r="J161">
            <v>47027</v>
          </cell>
          <cell r="K161">
            <v>50.590372295285867</v>
          </cell>
          <cell r="L161">
            <v>41.228333953740076</v>
          </cell>
          <cell r="M161">
            <v>46.564695808421178</v>
          </cell>
        </row>
        <row r="162">
          <cell r="J162">
            <v>47058</v>
          </cell>
          <cell r="K162">
            <v>53.266304302024459</v>
          </cell>
          <cell r="L162">
            <v>43.4918905663069</v>
          </cell>
          <cell r="M162">
            <v>49.063306395665904</v>
          </cell>
        </row>
        <row r="163">
          <cell r="J163">
            <v>47088</v>
          </cell>
          <cell r="K163">
            <v>55.281535352552623</v>
          </cell>
          <cell r="L163">
            <v>46.696377648933897</v>
          </cell>
          <cell r="M163">
            <v>51.589917539996563</v>
          </cell>
        </row>
        <row r="164">
          <cell r="J164">
            <v>47119</v>
          </cell>
          <cell r="K164">
            <v>53.525858666578728</v>
          </cell>
          <cell r="L164">
            <v>43.403618755764278</v>
          </cell>
          <cell r="M164">
            <v>49.173295504928511</v>
          </cell>
        </row>
        <row r="165">
          <cell r="J165">
            <v>47150</v>
          </cell>
          <cell r="K165">
            <v>56.652654279658407</v>
          </cell>
          <cell r="L165">
            <v>47.13279230906457</v>
          </cell>
          <cell r="M165">
            <v>52.559113632303053</v>
          </cell>
        </row>
        <row r="166">
          <cell r="J166">
            <v>47178</v>
          </cell>
          <cell r="K166">
            <v>49.885501301521828</v>
          </cell>
          <cell r="L166">
            <v>42.432130820712217</v>
          </cell>
          <cell r="M166">
            <v>46.680551994773694</v>
          </cell>
        </row>
        <row r="167">
          <cell r="J167">
            <v>47209</v>
          </cell>
          <cell r="K167">
            <v>47.510819484527552</v>
          </cell>
          <cell r="L167">
            <v>41.072261999913401</v>
          </cell>
          <cell r="M167">
            <v>44.74223976614347</v>
          </cell>
        </row>
        <row r="168">
          <cell r="J168">
            <v>47239</v>
          </cell>
          <cell r="K168">
            <v>41.86086276917996</v>
          </cell>
          <cell r="L168">
            <v>33.763747843695356</v>
          </cell>
          <cell r="M168">
            <v>38.379103351221573</v>
          </cell>
        </row>
        <row r="169">
          <cell r="J169">
            <v>47270</v>
          </cell>
          <cell r="K169">
            <v>44.700553784709221</v>
          </cell>
          <cell r="L169">
            <v>36.187679597100761</v>
          </cell>
          <cell r="M169">
            <v>41.040017884037582</v>
          </cell>
        </row>
        <row r="170">
          <cell r="J170">
            <v>47300</v>
          </cell>
          <cell r="K170">
            <v>51.086735726101146</v>
          </cell>
          <cell r="L170">
            <v>42.645361611346956</v>
          </cell>
          <cell r="M170">
            <v>47.456944856756841</v>
          </cell>
        </row>
        <row r="171">
          <cell r="J171">
            <v>47331</v>
          </cell>
          <cell r="K171">
            <v>57.142495725970207</v>
          </cell>
          <cell r="L171">
            <v>43.099500005413965</v>
          </cell>
          <cell r="M171">
            <v>51.104007566131017</v>
          </cell>
        </row>
        <row r="172">
          <cell r="J172">
            <v>47362</v>
          </cell>
          <cell r="K172">
            <v>56.702697345413277</v>
          </cell>
          <cell r="L172">
            <v>47.121340359393777</v>
          </cell>
          <cell r="M172">
            <v>52.582713841424891</v>
          </cell>
        </row>
        <row r="173">
          <cell r="J173">
            <v>47392</v>
          </cell>
          <cell r="K173">
            <v>50.024641952318653</v>
          </cell>
          <cell r="L173">
            <v>40.555654059438353</v>
          </cell>
          <cell r="M173">
            <v>45.952977158380122</v>
          </cell>
        </row>
        <row r="174">
          <cell r="J174">
            <v>47423</v>
          </cell>
          <cell r="K174">
            <v>52.222414838423532</v>
          </cell>
          <cell r="L174">
            <v>42.409861657974652</v>
          </cell>
          <cell r="M174">
            <v>48.003016970830515</v>
          </cell>
        </row>
        <row r="175">
          <cell r="J175">
            <v>47453</v>
          </cell>
          <cell r="K175">
            <v>55.351038976297723</v>
          </cell>
          <cell r="L175">
            <v>47.237292996404477</v>
          </cell>
          <cell r="M175">
            <v>51.862128204943623</v>
          </cell>
        </row>
        <row r="176">
          <cell r="J176">
            <v>47484</v>
          </cell>
          <cell r="K176">
            <v>53.557960103022779</v>
          </cell>
          <cell r="L176">
            <v>43.735589771025332</v>
          </cell>
          <cell r="M176">
            <v>49.334340860263879</v>
          </cell>
        </row>
        <row r="177">
          <cell r="J177">
            <v>47515</v>
          </cell>
          <cell r="K177">
            <v>57.728520248068037</v>
          </cell>
          <cell r="L177">
            <v>47.514929029146387</v>
          </cell>
          <cell r="M177">
            <v>53.336676023931723</v>
          </cell>
        </row>
        <row r="178">
          <cell r="J178">
            <v>47543</v>
          </cell>
          <cell r="K178">
            <v>50.040581182837158</v>
          </cell>
          <cell r="L178">
            <v>43.257269985424713</v>
          </cell>
          <cell r="M178">
            <v>47.123757367949807</v>
          </cell>
        </row>
        <row r="179">
          <cell r="J179">
            <v>47574</v>
          </cell>
          <cell r="K179">
            <v>47.70105063175945</v>
          </cell>
          <cell r="L179">
            <v>41.942600002336711</v>
          </cell>
          <cell r="M179">
            <v>45.224916861107673</v>
          </cell>
        </row>
        <row r="180">
          <cell r="J180">
            <v>47604</v>
          </cell>
          <cell r="K180">
            <v>40.489496208041892</v>
          </cell>
          <cell r="L180">
            <v>33.845202346628597</v>
          </cell>
          <cell r="M180">
            <v>37.63244984763417</v>
          </cell>
        </row>
        <row r="181">
          <cell r="J181">
            <v>47635</v>
          </cell>
          <cell r="K181">
            <v>46.267166321188171</v>
          </cell>
          <cell r="L181">
            <v>37.71959682626278</v>
          </cell>
          <cell r="M181">
            <v>42.591711438370254</v>
          </cell>
        </row>
        <row r="182">
          <cell r="J182">
            <v>47665</v>
          </cell>
          <cell r="K182">
            <v>53.62671467209907</v>
          </cell>
          <cell r="L182">
            <v>42.436754348747748</v>
          </cell>
          <cell r="M182">
            <v>48.815031733057999</v>
          </cell>
        </row>
        <row r="183">
          <cell r="J183">
            <v>47696</v>
          </cell>
          <cell r="K183">
            <v>59.59512497688025</v>
          </cell>
          <cell r="L183">
            <v>44.806565925566467</v>
          </cell>
          <cell r="M183">
            <v>53.236044584815318</v>
          </cell>
        </row>
        <row r="184">
          <cell r="J184">
            <v>47727</v>
          </cell>
          <cell r="K184">
            <v>59.917975810791589</v>
          </cell>
          <cell r="L184">
            <v>49.148134747004228</v>
          </cell>
          <cell r="M184">
            <v>55.286944153363024</v>
          </cell>
        </row>
        <row r="185">
          <cell r="J185">
            <v>47757</v>
          </cell>
          <cell r="K185">
            <v>53.619155138350109</v>
          </cell>
          <cell r="L185">
            <v>44.00882983514731</v>
          </cell>
          <cell r="M185">
            <v>49.486715257972904</v>
          </cell>
        </row>
        <row r="186">
          <cell r="J186">
            <v>47788</v>
          </cell>
          <cell r="K186">
            <v>56.193561599587362</v>
          </cell>
          <cell r="L186">
            <v>45.40604516370076</v>
          </cell>
          <cell r="M186">
            <v>51.554929532156116</v>
          </cell>
        </row>
        <row r="187">
          <cell r="J187">
            <v>47818</v>
          </cell>
          <cell r="K187">
            <v>58.840111662881505</v>
          </cell>
          <cell r="L187">
            <v>49.41738393253533</v>
          </cell>
          <cell r="M187">
            <v>54.78833873883265</v>
          </cell>
        </row>
        <row r="188">
          <cell r="J188">
            <v>47849</v>
          </cell>
          <cell r="K188">
            <v>56.632269529352612</v>
          </cell>
          <cell r="L188">
            <v>45.914938935297364</v>
          </cell>
          <cell r="M188">
            <v>52.023817373908855</v>
          </cell>
        </row>
        <row r="189">
          <cell r="J189">
            <v>47880</v>
          </cell>
          <cell r="K189">
            <v>59.445930966881058</v>
          </cell>
          <cell r="L189">
            <v>50.058619530279678</v>
          </cell>
          <cell r="M189">
            <v>55.409387049142467</v>
          </cell>
        </row>
        <row r="190">
          <cell r="J190">
            <v>47908</v>
          </cell>
          <cell r="K190">
            <v>51.559197958611264</v>
          </cell>
          <cell r="L190">
            <v>44.928705112373379</v>
          </cell>
          <cell r="M190">
            <v>48.708086034728971</v>
          </cell>
        </row>
        <row r="191">
          <cell r="J191">
            <v>47939</v>
          </cell>
          <cell r="K191">
            <v>49.338096105095495</v>
          </cell>
          <cell r="L191">
            <v>43.529251510882432</v>
          </cell>
          <cell r="M191">
            <v>46.840292929583882</v>
          </cell>
        </row>
        <row r="192">
          <cell r="J192">
            <v>47969</v>
          </cell>
          <cell r="K192">
            <v>42.028169015410391</v>
          </cell>
          <cell r="L192">
            <v>34.720388262456289</v>
          </cell>
          <cell r="M192">
            <v>38.885823291640122</v>
          </cell>
        </row>
        <row r="193">
          <cell r="J193">
            <v>48000</v>
          </cell>
          <cell r="K193">
            <v>48.578151811927825</v>
          </cell>
          <cell r="L193">
            <v>39.47863810161288</v>
          </cell>
          <cell r="M193">
            <v>44.665360916492396</v>
          </cell>
        </row>
        <row r="194">
          <cell r="J194">
            <v>48030</v>
          </cell>
          <cell r="K194">
            <v>55.766909213528933</v>
          </cell>
          <cell r="L194">
            <v>45.12854318524505</v>
          </cell>
          <cell r="M194">
            <v>51.192411821366861</v>
          </cell>
        </row>
        <row r="195">
          <cell r="J195">
            <v>48061</v>
          </cell>
          <cell r="K195">
            <v>61.51445326107568</v>
          </cell>
          <cell r="L195">
            <v>47.014636938064513</v>
          </cell>
          <cell r="M195">
            <v>55.279532242180878</v>
          </cell>
        </row>
        <row r="196">
          <cell r="J196">
            <v>48092</v>
          </cell>
          <cell r="K196">
            <v>61.206249598991441</v>
          </cell>
          <cell r="L196">
            <v>49.844723426331704</v>
          </cell>
          <cell r="M196">
            <v>56.320793344747749</v>
          </cell>
        </row>
        <row r="197">
          <cell r="J197">
            <v>48122</v>
          </cell>
          <cell r="K197">
            <v>54.397291725905589</v>
          </cell>
          <cell r="L197">
            <v>45.385373744312069</v>
          </cell>
          <cell r="M197">
            <v>50.522166993820377</v>
          </cell>
        </row>
        <row r="198">
          <cell r="J198">
            <v>48153</v>
          </cell>
          <cell r="K198">
            <v>56.22134191177571</v>
          </cell>
          <cell r="L198">
            <v>46.532415840790321</v>
          </cell>
          <cell r="M198">
            <v>52.055103701251994</v>
          </cell>
        </row>
        <row r="199">
          <cell r="J199">
            <v>48183</v>
          </cell>
          <cell r="K199">
            <v>60.678854484303443</v>
          </cell>
          <cell r="L199">
            <v>50.474985475286957</v>
          </cell>
          <cell r="M199">
            <v>56.291190810426343</v>
          </cell>
        </row>
        <row r="200">
          <cell r="J200">
            <v>48214</v>
          </cell>
          <cell r="K200">
            <v>58.766204228865853</v>
          </cell>
          <cell r="L200">
            <v>48.035510548961113</v>
          </cell>
          <cell r="M200">
            <v>54.152005946506819</v>
          </cell>
        </row>
        <row r="201">
          <cell r="J201">
            <v>48245</v>
          </cell>
          <cell r="K201">
            <v>60.895732768683771</v>
          </cell>
          <cell r="L201">
            <v>51.921575322661788</v>
          </cell>
          <cell r="M201">
            <v>57.036845066894315</v>
          </cell>
        </row>
        <row r="202">
          <cell r="J202">
            <v>48274</v>
          </cell>
          <cell r="K202">
            <v>52.877523922678009</v>
          </cell>
          <cell r="L202">
            <v>46.49555628631451</v>
          </cell>
          <cell r="M202">
            <v>50.133277839041703</v>
          </cell>
        </row>
        <row r="203">
          <cell r="J203">
            <v>48305</v>
          </cell>
          <cell r="K203">
            <v>50.968017912132026</v>
          </cell>
          <cell r="L203">
            <v>45.394357754746451</v>
          </cell>
          <cell r="M203">
            <v>48.571344044456225</v>
          </cell>
        </row>
        <row r="204">
          <cell r="J204">
            <v>48335</v>
          </cell>
          <cell r="K204">
            <v>43.533310979840984</v>
          </cell>
          <cell r="L204">
            <v>37.381979938542159</v>
          </cell>
          <cell r="M204">
            <v>40.888238632082484</v>
          </cell>
        </row>
        <row r="205">
          <cell r="J205">
            <v>48366</v>
          </cell>
          <cell r="K205">
            <v>49.268085092162003</v>
          </cell>
          <cell r="L205">
            <v>40.355032912469419</v>
          </cell>
          <cell r="M205">
            <v>45.435472654894191</v>
          </cell>
        </row>
        <row r="206">
          <cell r="J206">
            <v>48396</v>
          </cell>
          <cell r="K206">
            <v>55.626537493639944</v>
          </cell>
          <cell r="L206">
            <v>44.796918876839371</v>
          </cell>
          <cell r="M206">
            <v>50.969801488415698</v>
          </cell>
        </row>
        <row r="207">
          <cell r="J207">
            <v>48427</v>
          </cell>
          <cell r="K207">
            <v>62.713284305493623</v>
          </cell>
          <cell r="L207">
            <v>47.468817942555845</v>
          </cell>
          <cell r="M207">
            <v>56.158163769430374</v>
          </cell>
        </row>
        <row r="208">
          <cell r="J208">
            <v>48458</v>
          </cell>
          <cell r="K208">
            <v>61.299003341064044</v>
          </cell>
          <cell r="L208">
            <v>50.274170476314559</v>
          </cell>
          <cell r="M208">
            <v>56.558325209221763</v>
          </cell>
        </row>
        <row r="209">
          <cell r="J209">
            <v>48488</v>
          </cell>
          <cell r="K209">
            <v>54.682758316669663</v>
          </cell>
          <cell r="L209">
            <v>46.042315164955781</v>
          </cell>
          <cell r="M209">
            <v>50.967367761432691</v>
          </cell>
        </row>
        <row r="210">
          <cell r="J210">
            <v>48519</v>
          </cell>
          <cell r="K210">
            <v>58.043741205306247</v>
          </cell>
          <cell r="L210">
            <v>47.766040660018461</v>
          </cell>
          <cell r="M210">
            <v>53.624329970832498</v>
          </cell>
        </row>
        <row r="211">
          <cell r="J211">
            <v>48549</v>
          </cell>
          <cell r="K211">
            <v>61.426433592032424</v>
          </cell>
          <cell r="L211">
            <v>52.094343435872545</v>
          </cell>
          <cell r="M211">
            <v>57.413634824883673</v>
          </cell>
        </row>
        <row r="212">
          <cell r="J212">
            <v>48580</v>
          </cell>
          <cell r="K212">
            <v>59.736834010134366</v>
          </cell>
          <cell r="L212">
            <v>49.599579136122642</v>
          </cell>
          <cell r="M212">
            <v>55.37781441430932</v>
          </cell>
        </row>
        <row r="213">
          <cell r="J213">
            <v>48611</v>
          </cell>
          <cell r="K213">
            <v>62.833529532078884</v>
          </cell>
          <cell r="L213">
            <v>52.760198102011685</v>
          </cell>
          <cell r="M213">
            <v>58.501997017149982</v>
          </cell>
        </row>
        <row r="214">
          <cell r="J214">
            <v>48639</v>
          </cell>
          <cell r="K214">
            <v>53.619110001621038</v>
          </cell>
          <cell r="L214">
            <v>47.40131570668386</v>
          </cell>
          <cell r="M214">
            <v>50.945458454798043</v>
          </cell>
        </row>
        <row r="215">
          <cell r="J215">
            <v>48670</v>
          </cell>
          <cell r="K215">
            <v>51.733186304036444</v>
          </cell>
          <cell r="L215">
            <v>46.2366074029689</v>
          </cell>
          <cell r="M215">
            <v>49.369657376577393</v>
          </cell>
        </row>
        <row r="216">
          <cell r="J216">
            <v>48700</v>
          </cell>
          <cell r="K216">
            <v>43.918045696574616</v>
          </cell>
          <cell r="L216">
            <v>37.703038460273859</v>
          </cell>
          <cell r="M216">
            <v>41.245592584965287</v>
          </cell>
        </row>
        <row r="217">
          <cell r="J217">
            <v>48731</v>
          </cell>
          <cell r="K217">
            <v>50.435244852084153</v>
          </cell>
          <cell r="L217">
            <v>41.219604619713166</v>
          </cell>
          <cell r="M217">
            <v>46.472519552164627</v>
          </cell>
        </row>
        <row r="218">
          <cell r="J218">
            <v>48761</v>
          </cell>
          <cell r="K218">
            <v>57.362704250761929</v>
          </cell>
          <cell r="L218">
            <v>45.875693124542472</v>
          </cell>
          <cell r="M218">
            <v>52.42328946648756</v>
          </cell>
        </row>
        <row r="219">
          <cell r="J219">
            <v>48792</v>
          </cell>
          <cell r="K219">
            <v>64.034959643313641</v>
          </cell>
          <cell r="L219">
            <v>48.549475390823609</v>
          </cell>
          <cell r="M219">
            <v>57.376201414742923</v>
          </cell>
        </row>
        <row r="220">
          <cell r="J220">
            <v>48823</v>
          </cell>
          <cell r="K220">
            <v>62.315847715300514</v>
          </cell>
          <cell r="L220">
            <v>51.65015014933855</v>
          </cell>
          <cell r="M220">
            <v>57.729597761936866</v>
          </cell>
        </row>
        <row r="221">
          <cell r="J221">
            <v>48853</v>
          </cell>
          <cell r="K221">
            <v>56.820014446370578</v>
          </cell>
          <cell r="L221">
            <v>48.021675947587539</v>
          </cell>
          <cell r="M221">
            <v>53.036728891893873</v>
          </cell>
        </row>
        <row r="222">
          <cell r="J222">
            <v>48884</v>
          </cell>
          <cell r="K222">
            <v>61.298780910145069</v>
          </cell>
          <cell r="L222">
            <v>49.721542799780963</v>
          </cell>
          <cell r="M222">
            <v>56.320568522688504</v>
          </cell>
        </row>
        <row r="223">
          <cell r="J223">
            <v>48914</v>
          </cell>
          <cell r="K223">
            <v>63.391271282241512</v>
          </cell>
          <cell r="L223">
            <v>54.45208256935264</v>
          </cell>
          <cell r="M223">
            <v>59.547420135699291</v>
          </cell>
        </row>
        <row r="224">
          <cell r="J224">
            <v>48945</v>
          </cell>
          <cell r="K224">
            <v>62.605622978283328</v>
          </cell>
          <cell r="L224">
            <v>56.69746</v>
          </cell>
          <cell r="M224">
            <v>60.065112897621489</v>
          </cell>
        </row>
        <row r="225">
          <cell r="J225">
            <v>48976</v>
          </cell>
          <cell r="K225">
            <v>65.577901958277536</v>
          </cell>
          <cell r="L225">
            <v>54.830052154369071</v>
          </cell>
          <cell r="M225">
            <v>60.956326542596891</v>
          </cell>
        </row>
        <row r="226">
          <cell r="J226">
            <v>49004</v>
          </cell>
          <cell r="K226">
            <v>55.438512562371663</v>
          </cell>
          <cell r="L226">
            <v>49.203246255742968</v>
          </cell>
          <cell r="M226">
            <v>52.757348050521315</v>
          </cell>
        </row>
        <row r="227">
          <cell r="J227">
            <v>49035</v>
          </cell>
          <cell r="K227">
            <v>53.078281803554418</v>
          </cell>
          <cell r="L227">
            <v>47.366859645919071</v>
          </cell>
          <cell r="M227">
            <v>50.622370275771218</v>
          </cell>
        </row>
        <row r="228">
          <cell r="J228">
            <v>49065</v>
          </cell>
          <cell r="K228">
            <v>45.887095754857135</v>
          </cell>
          <cell r="L228">
            <v>39.058957134754991</v>
          </cell>
          <cell r="M228">
            <v>42.950996148213207</v>
          </cell>
        </row>
        <row r="229">
          <cell r="J229">
            <v>49096</v>
          </cell>
          <cell r="K229">
            <v>52.797276090452634</v>
          </cell>
          <cell r="L229">
            <v>43.323963733655596</v>
          </cell>
          <cell r="M229">
            <v>48.723751777029904</v>
          </cell>
        </row>
        <row r="230">
          <cell r="J230">
            <v>49126</v>
          </cell>
          <cell r="K230">
            <v>58.552716698465673</v>
          </cell>
          <cell r="L230">
            <v>47.317360500859117</v>
          </cell>
          <cell r="M230">
            <v>53.721513533494857</v>
          </cell>
        </row>
        <row r="231">
          <cell r="J231">
            <v>49157</v>
          </cell>
          <cell r="K231">
            <v>65.753107825175505</v>
          </cell>
          <cell r="L231">
            <v>49.980436572614352</v>
          </cell>
          <cell r="M231">
            <v>58.970859186574202</v>
          </cell>
        </row>
        <row r="232">
          <cell r="J232">
            <v>49188</v>
          </cell>
          <cell r="K232">
            <v>63.98905889528497</v>
          </cell>
          <cell r="L232">
            <v>52.545177334173147</v>
          </cell>
          <cell r="M232">
            <v>59.068189824006879</v>
          </cell>
        </row>
        <row r="233">
          <cell r="J233">
            <v>49218</v>
          </cell>
          <cell r="K233">
            <v>57.687279534964958</v>
          </cell>
          <cell r="L233">
            <v>48.920922266364045</v>
          </cell>
          <cell r="M233">
            <v>53.917745909466561</v>
          </cell>
        </row>
        <row r="234">
          <cell r="J234">
            <v>49249</v>
          </cell>
          <cell r="K234">
            <v>61.036932327875</v>
          </cell>
          <cell r="L234">
            <v>50.352167216516946</v>
          </cell>
          <cell r="M234">
            <v>56.442483329991035</v>
          </cell>
        </row>
        <row r="235">
          <cell r="J235">
            <v>49279</v>
          </cell>
          <cell r="K235">
            <v>64.386787072032121</v>
          </cell>
          <cell r="L235">
            <v>54.602984396253198</v>
          </cell>
          <cell r="M235">
            <v>60.179751921447178</v>
          </cell>
        </row>
        <row r="236">
          <cell r="J236">
            <v>49310</v>
          </cell>
          <cell r="K236">
            <v>61.636735163529906</v>
          </cell>
          <cell r="L236">
            <v>51.29504</v>
          </cell>
          <cell r="M236">
            <v>57.18980624321204</v>
          </cell>
        </row>
        <row r="237">
          <cell r="J237">
            <v>49341</v>
          </cell>
          <cell r="K237">
            <v>65.555015644778621</v>
          </cell>
          <cell r="L237">
            <v>55.765751964332807</v>
          </cell>
          <cell r="M237">
            <v>61.345632262186918</v>
          </cell>
        </row>
        <row r="238">
          <cell r="J238">
            <v>49369</v>
          </cell>
          <cell r="K238">
            <v>56.070656605306432</v>
          </cell>
          <cell r="L238">
            <v>49.759729914248027</v>
          </cell>
          <cell r="M238">
            <v>53.356958128151312</v>
          </cell>
        </row>
        <row r="239">
          <cell r="J239">
            <v>49400</v>
          </cell>
          <cell r="K239">
            <v>54.232953353339468</v>
          </cell>
          <cell r="L239">
            <v>48.05858357723131</v>
          </cell>
          <cell r="M239">
            <v>51.577974349612958</v>
          </cell>
        </row>
        <row r="240">
          <cell r="J240">
            <v>49430</v>
          </cell>
          <cell r="K240">
            <v>47.532946165131698</v>
          </cell>
          <cell r="L240">
            <v>41.34593671761759</v>
          </cell>
          <cell r="M240">
            <v>44.872532102700632</v>
          </cell>
        </row>
        <row r="241">
          <cell r="J241">
            <v>49461</v>
          </cell>
          <cell r="K241">
            <v>52.415407484039818</v>
          </cell>
          <cell r="L241">
            <v>43.370610498563586</v>
          </cell>
          <cell r="M241">
            <v>48.526144780285037</v>
          </cell>
        </row>
        <row r="242">
          <cell r="J242">
            <v>49491</v>
          </cell>
          <cell r="K242">
            <v>59.619164285647159</v>
          </cell>
          <cell r="L242">
            <v>48.942749976991841</v>
          </cell>
          <cell r="M242">
            <v>55.028306132925366</v>
          </cell>
        </row>
        <row r="243">
          <cell r="J243">
            <v>49522</v>
          </cell>
          <cell r="K243">
            <v>66.82626452951142</v>
          </cell>
          <cell r="L243">
            <v>51.42627752557712</v>
          </cell>
          <cell r="M243">
            <v>60.204270117819661</v>
          </cell>
        </row>
        <row r="244">
          <cell r="J244">
            <v>49553</v>
          </cell>
          <cell r="K244">
            <v>65.007038608785621</v>
          </cell>
          <cell r="L244">
            <v>54.211204250258632</v>
          </cell>
          <cell r="M244">
            <v>60.364829834619009</v>
          </cell>
        </row>
        <row r="245">
          <cell r="J245">
            <v>49583</v>
          </cell>
          <cell r="K245">
            <v>57.440620176873018</v>
          </cell>
          <cell r="L245">
            <v>48.743040000000001</v>
          </cell>
          <cell r="M245">
            <v>53.700660700817622</v>
          </cell>
        </row>
        <row r="246">
          <cell r="J246">
            <v>49614</v>
          </cell>
          <cell r="K246">
            <v>59.044964883238727</v>
          </cell>
          <cell r="L246">
            <v>49.885510076471014</v>
          </cell>
          <cell r="M246">
            <v>55.106399316328606</v>
          </cell>
        </row>
        <row r="247">
          <cell r="J247">
            <v>49644</v>
          </cell>
          <cell r="K247">
            <v>65.281999847030477</v>
          </cell>
          <cell r="L247">
            <v>55.147105458351206</v>
          </cell>
          <cell r="M247">
            <v>60.92399525989839</v>
          </cell>
        </row>
        <row r="248">
          <cell r="J248">
            <v>49675</v>
          </cell>
          <cell r="K248">
            <v>63.903992079769218</v>
          </cell>
          <cell r="L248">
            <v>53.603452845248448</v>
          </cell>
          <cell r="M248">
            <v>59.474760208925289</v>
          </cell>
        </row>
        <row r="249">
          <cell r="J249">
            <v>49706</v>
          </cell>
          <cell r="K249">
            <v>67.120365925574475</v>
          </cell>
          <cell r="L249">
            <v>54.776707017559289</v>
          </cell>
          <cell r="M249">
            <v>61.812592595127938</v>
          </cell>
        </row>
        <row r="250">
          <cell r="J250">
            <v>49735</v>
          </cell>
          <cell r="K250">
            <v>57.626091248134983</v>
          </cell>
          <cell r="L250">
            <v>51.956317976854365</v>
          </cell>
          <cell r="M250">
            <v>55.188088741484314</v>
          </cell>
        </row>
        <row r="251">
          <cell r="J251">
            <v>49766</v>
          </cell>
          <cell r="K251">
            <v>55.735731129102462</v>
          </cell>
          <cell r="L251">
            <v>48.872466046738992</v>
          </cell>
          <cell r="M251">
            <v>52.784527143686162</v>
          </cell>
        </row>
        <row r="252">
          <cell r="J252">
            <v>49796</v>
          </cell>
          <cell r="K252">
            <v>48.91201077382361</v>
          </cell>
          <cell r="L252">
            <v>42.369559511300949</v>
          </cell>
          <cell r="M252">
            <v>46.09875673093886</v>
          </cell>
        </row>
        <row r="253">
          <cell r="J253">
            <v>49827</v>
          </cell>
          <cell r="K253">
            <v>54.075017851420441</v>
          </cell>
          <cell r="L253">
            <v>45.896204527745866</v>
          </cell>
          <cell r="M253">
            <v>50.558128122240376</v>
          </cell>
        </row>
        <row r="254">
          <cell r="J254">
            <v>49857</v>
          </cell>
          <cell r="K254">
            <v>62.403336086355104</v>
          </cell>
          <cell r="L254">
            <v>49.735745917103188</v>
          </cell>
          <cell r="M254">
            <v>56.956272313576775</v>
          </cell>
        </row>
        <row r="255">
          <cell r="J255">
            <v>49888</v>
          </cell>
          <cell r="K255">
            <v>68.873570278611993</v>
          </cell>
          <cell r="L255">
            <v>53.473076104054087</v>
          </cell>
          <cell r="M255">
            <v>62.251357783552095</v>
          </cell>
        </row>
        <row r="256">
          <cell r="J256">
            <v>49919</v>
          </cell>
          <cell r="K256">
            <v>67.961060732816051</v>
          </cell>
          <cell r="L256">
            <v>55.612318248011178</v>
          </cell>
          <cell r="M256">
            <v>62.651101464349949</v>
          </cell>
        </row>
        <row r="257">
          <cell r="J257">
            <v>49949</v>
          </cell>
          <cell r="K257">
            <v>60.644875290182355</v>
          </cell>
          <cell r="L257">
            <v>50.542336744088786</v>
          </cell>
          <cell r="M257">
            <v>56.300783715362115</v>
          </cell>
        </row>
        <row r="258">
          <cell r="J258">
            <v>49980</v>
          </cell>
          <cell r="K258">
            <v>63.262875545045361</v>
          </cell>
          <cell r="L258">
            <v>52.884826835882585</v>
          </cell>
          <cell r="M258">
            <v>58.800314600105366</v>
          </cell>
        </row>
        <row r="259">
          <cell r="J259">
            <v>50010</v>
          </cell>
          <cell r="K259">
            <v>67.475973111555049</v>
          </cell>
          <cell r="L259">
            <v>56.065212754997575</v>
          </cell>
          <cell r="M259">
            <v>62.569346158235334</v>
          </cell>
        </row>
        <row r="260">
          <cell r="J260">
            <v>50041</v>
          </cell>
          <cell r="K260">
            <v>66.505485541096192</v>
          </cell>
          <cell r="L260">
            <v>56.235302144417162</v>
          </cell>
          <cell r="M260">
            <v>62.089306680524203</v>
          </cell>
        </row>
        <row r="261">
          <cell r="J261">
            <v>50072</v>
          </cell>
          <cell r="K261">
            <v>68.507779497560406</v>
          </cell>
          <cell r="L261">
            <v>59.08146986655516</v>
          </cell>
          <cell r="M261">
            <v>64.454466356228153</v>
          </cell>
        </row>
        <row r="262">
          <cell r="J262">
            <v>50100</v>
          </cell>
          <cell r="K262">
            <v>58.780391537223302</v>
          </cell>
          <cell r="L262">
            <v>53.823880528522061</v>
          </cell>
          <cell r="M262">
            <v>56.649091803481767</v>
          </cell>
        </row>
        <row r="263">
          <cell r="J263">
            <v>50131</v>
          </cell>
          <cell r="K263">
            <v>56.848377011151698</v>
          </cell>
          <cell r="L263">
            <v>51.077772762377897</v>
          </cell>
          <cell r="M263">
            <v>54.367017184178962</v>
          </cell>
        </row>
        <row r="264">
          <cell r="J264">
            <v>50161</v>
          </cell>
          <cell r="K264">
            <v>51.444842518089295</v>
          </cell>
          <cell r="L264">
            <v>44.512852670284651</v>
          </cell>
          <cell r="M264">
            <v>48.464086883533298</v>
          </cell>
        </row>
        <row r="265">
          <cell r="J265">
            <v>50192</v>
          </cell>
          <cell r="K265">
            <v>56.588897660624077</v>
          </cell>
          <cell r="L265">
            <v>47.501124968918248</v>
          </cell>
          <cell r="M265">
            <v>52.681155403190566</v>
          </cell>
        </row>
        <row r="266">
          <cell r="J266">
            <v>50222</v>
          </cell>
          <cell r="K266">
            <v>65.410865552352178</v>
          </cell>
          <cell r="L266">
            <v>52.144715366911178</v>
          </cell>
          <cell r="M266">
            <v>59.706420972612548</v>
          </cell>
        </row>
        <row r="267">
          <cell r="J267">
            <v>50253</v>
          </cell>
          <cell r="K267">
            <v>70.671429469859021</v>
          </cell>
          <cell r="L267">
            <v>54.956669876209801</v>
          </cell>
          <cell r="M267">
            <v>63.914082844589849</v>
          </cell>
        </row>
        <row r="268">
          <cell r="J268">
            <v>50284</v>
          </cell>
          <cell r="K268">
            <v>68.466620849135225</v>
          </cell>
          <cell r="L268">
            <v>56.647577082999241</v>
          </cell>
          <cell r="M268">
            <v>63.384432029696747</v>
          </cell>
        </row>
        <row r="269">
          <cell r="J269">
            <v>50314</v>
          </cell>
          <cell r="K269">
            <v>60.79419962737699</v>
          </cell>
          <cell r="L269">
            <v>51.4503561040733</v>
          </cell>
          <cell r="M269">
            <v>56.776346912356402</v>
          </cell>
        </row>
        <row r="270">
          <cell r="J270">
            <v>50345</v>
          </cell>
          <cell r="K270">
            <v>65.148416989295001</v>
          </cell>
          <cell r="L270">
            <v>54.12919614070212</v>
          </cell>
          <cell r="M270">
            <v>60.410152024400062</v>
          </cell>
        </row>
        <row r="271">
          <cell r="J271">
            <v>50375</v>
          </cell>
          <cell r="K271">
            <v>70.243518282058915</v>
          </cell>
          <cell r="L271">
            <v>59.603867317016437</v>
          </cell>
          <cell r="M271">
            <v>65.66846836709064</v>
          </cell>
        </row>
        <row r="272">
          <cell r="J272">
            <v>50406</v>
          </cell>
          <cell r="K272">
            <v>69.612738213193211</v>
          </cell>
          <cell r="L272">
            <v>60.012957862200487</v>
          </cell>
          <cell r="M272">
            <v>65.484832662266342</v>
          </cell>
        </row>
        <row r="273">
          <cell r="J273">
            <v>50437</v>
          </cell>
          <cell r="K273">
            <v>73.258658152167854</v>
          </cell>
          <cell r="L273">
            <v>62.114678625943178</v>
          </cell>
          <cell r="M273">
            <v>68.466746955891239</v>
          </cell>
        </row>
        <row r="274">
          <cell r="J274">
            <v>50465</v>
          </cell>
          <cell r="K274">
            <v>61.544663524941328</v>
          </cell>
          <cell r="L274">
            <v>55.682163865806245</v>
          </cell>
          <cell r="M274">
            <v>59.023788671513238</v>
          </cell>
        </row>
        <row r="275">
          <cell r="J275">
            <v>50496</v>
          </cell>
          <cell r="K275">
            <v>59.91902606256906</v>
          </cell>
          <cell r="L275">
            <v>54.240010173427002</v>
          </cell>
          <cell r="M275">
            <v>57.477049230237967</v>
          </cell>
        </row>
        <row r="276">
          <cell r="J276">
            <v>50526</v>
          </cell>
          <cell r="K276">
            <v>54.30079057790104</v>
          </cell>
          <cell r="L276">
            <v>48.075841381244658</v>
          </cell>
          <cell r="M276">
            <v>51.624062423338799</v>
          </cell>
        </row>
        <row r="277">
          <cell r="J277">
            <v>50557</v>
          </cell>
          <cell r="K277">
            <v>59.548702651687137</v>
          </cell>
          <cell r="L277">
            <v>50.094934827902186</v>
          </cell>
          <cell r="M277">
            <v>55.4835824874596</v>
          </cell>
        </row>
        <row r="278">
          <cell r="J278">
            <v>50587</v>
          </cell>
          <cell r="K278">
            <v>68.313597979855075</v>
          </cell>
          <cell r="L278">
            <v>54.492962278467232</v>
          </cell>
          <cell r="M278">
            <v>62.370724628258294</v>
          </cell>
        </row>
        <row r="279">
          <cell r="J279">
            <v>50618</v>
          </cell>
          <cell r="K279">
            <v>74.397007067451142</v>
          </cell>
          <cell r="L279">
            <v>57.468040198697842</v>
          </cell>
          <cell r="M279">
            <v>67.117551313887219</v>
          </cell>
        </row>
        <row r="280">
          <cell r="J280">
            <v>50649</v>
          </cell>
          <cell r="K280">
            <v>71.144245182997309</v>
          </cell>
          <cell r="L280">
            <v>59.370635700678051</v>
          </cell>
          <cell r="M280">
            <v>66.081593105600021</v>
          </cell>
        </row>
        <row r="281">
          <cell r="J281">
            <v>50679</v>
          </cell>
          <cell r="K281">
            <v>63.730823727896386</v>
          </cell>
          <cell r="L281">
            <v>54.418934085278558</v>
          </cell>
          <cell r="M281">
            <v>59.726711181570721</v>
          </cell>
        </row>
        <row r="282">
          <cell r="J282">
            <v>50710</v>
          </cell>
          <cell r="K282">
            <v>69.782369081020164</v>
          </cell>
          <cell r="L282">
            <v>56.851564460541539</v>
          </cell>
          <cell r="M282">
            <v>64.222123094214354</v>
          </cell>
        </row>
        <row r="283">
          <cell r="J283">
            <v>50740</v>
          </cell>
          <cell r="K283">
            <v>73.95508119156024</v>
          </cell>
          <cell r="L283">
            <v>62.843497508639764</v>
          </cell>
          <cell r="M283">
            <v>69.177100207904431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DOC"/>
      <sheetName val="ImportData"/>
      <sheetName val="Summary"/>
      <sheetName val="Avoided Costs"/>
      <sheetName val="AC Dollars"/>
      <sheetName val="Recon"/>
      <sheetName val="Side-by-Side"/>
      <sheetName val="Delta"/>
      <sheetName val="NPC"/>
      <sheetName val="BASE"/>
      <sheetName val="Check MWh"/>
      <sheetName val="Check Dollars"/>
      <sheetName val="Trapped Adj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serves (MWh)"/>
      <sheetName val="MacroBuilder"/>
      <sheetName val="NPC Version Log"/>
      <sheetName val="UT Sch 37 - 1a - GRID AC Study "/>
    </sheetNames>
    <sheetDataSet>
      <sheetData sheetId="0">
        <row r="1">
          <cell r="N1" t="str">
            <v>UT Sch 37 - 1a - GRID AC Study CONF _2017 05 02_Thermal</v>
          </cell>
        </row>
      </sheetData>
      <sheetData sheetId="1">
        <row r="1">
          <cell r="K1" t="str">
            <v>UT Sch 37 - 1a - GRID AC Study CONF _2017 05 02_Thermal</v>
          </cell>
        </row>
        <row r="37">
          <cell r="B37" t="str">
            <v>Y</v>
          </cell>
        </row>
        <row r="45">
          <cell r="G45" t="str">
            <v>No</v>
          </cell>
        </row>
      </sheetData>
      <sheetData sheetId="2"/>
      <sheetData sheetId="3">
        <row r="7">
          <cell r="C7">
            <v>19.964920695072983</v>
          </cell>
        </row>
      </sheetData>
      <sheetData sheetId="4"/>
      <sheetData sheetId="5"/>
      <sheetData sheetId="6"/>
      <sheetData sheetId="7">
        <row r="1">
          <cell r="A1" t="str">
            <v>PacifiCorp</v>
          </cell>
        </row>
      </sheetData>
      <sheetData sheetId="8">
        <row r="3">
          <cell r="F3">
            <v>43101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35">
          <cell r="A35">
            <v>40483</v>
          </cell>
          <cell r="B35">
            <v>0.65726018788406704</v>
          </cell>
          <cell r="C35">
            <v>0.99392085910925754</v>
          </cell>
          <cell r="D35">
            <v>0</v>
          </cell>
          <cell r="E35">
            <v>3003617.2747401074</v>
          </cell>
        </row>
        <row r="36">
          <cell r="A36">
            <v>40848</v>
          </cell>
          <cell r="B36">
            <v>0.68683689633884992</v>
          </cell>
          <cell r="C36">
            <v>0</v>
          </cell>
          <cell r="D36">
            <v>0</v>
          </cell>
          <cell r="E36">
            <v>3035809.2869971618</v>
          </cell>
        </row>
        <row r="37">
          <cell r="A37">
            <v>41214</v>
          </cell>
          <cell r="B37">
            <v>0.7177445566740982</v>
          </cell>
          <cell r="C37">
            <v>0</v>
          </cell>
          <cell r="D37">
            <v>0</v>
          </cell>
          <cell r="E37">
            <v>3069449.9398057843</v>
          </cell>
        </row>
        <row r="38">
          <cell r="A38">
            <v>41579</v>
          </cell>
          <cell r="B38">
            <v>0.75004306172443236</v>
          </cell>
          <cell r="C38">
            <v>0</v>
          </cell>
          <cell r="D38">
            <v>0</v>
          </cell>
          <cell r="E38">
            <v>3104604.4219907941</v>
          </cell>
        </row>
        <row r="39">
          <cell r="A39">
            <v>41944</v>
          </cell>
          <cell r="B39">
            <v>0.78379499950203191</v>
          </cell>
          <cell r="C39">
            <v>0</v>
          </cell>
          <cell r="D39">
            <v>0</v>
          </cell>
          <cell r="E39">
            <v>3141340.85587413</v>
          </cell>
        </row>
        <row r="40">
          <cell r="A40">
            <v>42309</v>
          </cell>
          <cell r="B40">
            <v>0.81906577447962303</v>
          </cell>
          <cell r="C40">
            <v>0</v>
          </cell>
          <cell r="D40">
            <v>0</v>
          </cell>
          <cell r="E40">
            <v>3179730.4292822154</v>
          </cell>
        </row>
        <row r="41">
          <cell r="A41">
            <v>42675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Data"/>
      <sheetName val="Summary"/>
      <sheetName val="Avoided Costs"/>
      <sheetName val="AC Dollars"/>
      <sheetName val="Delta"/>
      <sheetName val="NPC"/>
      <sheetName val="BASE"/>
      <sheetName val="Trapped Adj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serves (MWh)"/>
      <sheetName val="MacroBuilder"/>
      <sheetName val="NPC Version Log"/>
      <sheetName val="VDOC"/>
      <sheetName val="Recon"/>
      <sheetName val="Side-by-Side"/>
      <sheetName val="Check MWh"/>
      <sheetName val="Check Dollars"/>
      <sheetName val="UT Sch 37 - 1a - GRID AC Study "/>
    </sheetNames>
    <sheetDataSet>
      <sheetData sheetId="0">
        <row r="37">
          <cell r="B37" t="str">
            <v>Y</v>
          </cell>
        </row>
        <row r="45">
          <cell r="G45" t="str">
            <v>No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5">
          <cell r="A35">
            <v>40483</v>
          </cell>
          <cell r="B35">
            <v>0.65726018788406704</v>
          </cell>
          <cell r="C35">
            <v>0.99392085910925754</v>
          </cell>
          <cell r="D35">
            <v>0</v>
          </cell>
          <cell r="E35">
            <v>3003617.2747401074</v>
          </cell>
        </row>
        <row r="36">
          <cell r="A36">
            <v>40848</v>
          </cell>
          <cell r="B36">
            <v>0.68683689633884992</v>
          </cell>
          <cell r="C36">
            <v>0</v>
          </cell>
          <cell r="D36">
            <v>0</v>
          </cell>
          <cell r="E36">
            <v>3035809.2869971618</v>
          </cell>
        </row>
        <row r="37">
          <cell r="A37">
            <v>41214</v>
          </cell>
          <cell r="B37">
            <v>0.7177445566740982</v>
          </cell>
          <cell r="C37">
            <v>0</v>
          </cell>
          <cell r="D37">
            <v>0</v>
          </cell>
          <cell r="E37">
            <v>3069449.9398057843</v>
          </cell>
        </row>
        <row r="38">
          <cell r="A38">
            <v>41579</v>
          </cell>
          <cell r="B38">
            <v>0.75004306172443236</v>
          </cell>
          <cell r="C38">
            <v>0</v>
          </cell>
          <cell r="D38">
            <v>0</v>
          </cell>
          <cell r="E38">
            <v>3104604.4219907941</v>
          </cell>
        </row>
        <row r="39">
          <cell r="A39">
            <v>41944</v>
          </cell>
          <cell r="B39">
            <v>0.78379499950203191</v>
          </cell>
          <cell r="C39">
            <v>0</v>
          </cell>
          <cell r="D39">
            <v>0</v>
          </cell>
          <cell r="E39">
            <v>3141340.85587413</v>
          </cell>
        </row>
        <row r="40">
          <cell r="A40">
            <v>42309</v>
          </cell>
          <cell r="B40">
            <v>0.81906577447962303</v>
          </cell>
          <cell r="C40">
            <v>0</v>
          </cell>
          <cell r="D40">
            <v>0</v>
          </cell>
          <cell r="E40">
            <v>3179730.4292822154</v>
          </cell>
        </row>
        <row r="41">
          <cell r="A41">
            <v>42675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DOC"/>
      <sheetName val="Other Cost Input"/>
      <sheetName val="IndexedSTF_Source"/>
      <sheetName val="Market_Price"/>
      <sheetName val="PacifiCorpSTF"/>
      <sheetName val="PacifiCorp STF_Raw 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DOC"/>
      <sheetName val="Summary (Energy PMT)"/>
      <sheetName val="Monthly Energy Prices"/>
      <sheetName val="SourceEnergy"/>
      <sheetName val="MWH-Split"/>
      <sheetName val="Monthly Levelized"/>
      <sheetName val="Security"/>
      <sheetName val="SecurityCalc"/>
    </sheetNames>
    <sheetDataSet>
      <sheetData sheetId="0" refreshError="1"/>
      <sheetData sheetId="1" refreshError="1"/>
      <sheetData sheetId="2" refreshError="1"/>
      <sheetData sheetId="3">
        <row r="4">
          <cell r="N4">
            <v>5.3874620588785227E-3</v>
          </cell>
        </row>
      </sheetData>
      <sheetData sheetId="4" refreshError="1"/>
      <sheetData sheetId="5">
        <row r="9">
          <cell r="K9" t="str">
            <v>No</v>
          </cell>
          <cell r="L9">
            <v>2015</v>
          </cell>
        </row>
      </sheetData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DOC"/>
      <sheetName val="Summary (Energy PMT)"/>
      <sheetName val="SourceEnergy"/>
      <sheetName val="MWH-Split"/>
      <sheetName val="Monthly Levelized"/>
      <sheetName val="Monthly Energy Prices"/>
      <sheetName val="Security"/>
      <sheetName val="SecurityCalc"/>
      <sheetName val="63 - Riverton Solar - 2--- QF P"/>
    </sheetNames>
    <sheetDataSet>
      <sheetData sheetId="0">
        <row r="1">
          <cell r="N1" t="str">
            <v>63 - Riverton Solar - 2--- QF Pricing Detail _2016 08 17 (w Gateway)</v>
          </cell>
        </row>
      </sheetData>
      <sheetData sheetId="1">
        <row r="2">
          <cell r="B2" t="str">
            <v>74.9 MW and 30.6% CF</v>
          </cell>
        </row>
      </sheetData>
      <sheetData sheetId="2">
        <row r="4">
          <cell r="M4">
            <v>6.6600000000000006E-2</v>
          </cell>
          <cell r="N4">
            <v>5.3874620588785227E-3</v>
          </cell>
        </row>
      </sheetData>
      <sheetData sheetId="3">
        <row r="4">
          <cell r="B4">
            <v>0.30612892989739754</v>
          </cell>
        </row>
      </sheetData>
      <sheetData sheetId="4">
        <row r="9">
          <cell r="K9" t="str">
            <v>Yes</v>
          </cell>
          <cell r="L9">
            <v>2015</v>
          </cell>
        </row>
      </sheetData>
      <sheetData sheetId="5">
        <row r="2">
          <cell r="D2" t="str">
            <v>74.9 MW and 30.6% CF</v>
          </cell>
        </row>
      </sheetData>
      <sheetData sheetId="6"/>
      <sheetData sheetId="7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(Energy PMT)"/>
      <sheetName val="SourceEnergy"/>
      <sheetName val="MWH-Split"/>
      <sheetName val="Monthly Levelized"/>
      <sheetName val="Monthly Energy Prices"/>
      <sheetName val="Security"/>
      <sheetName val="SecurityCalc"/>
    </sheetNames>
    <sheetDataSet>
      <sheetData sheetId="0"/>
      <sheetData sheetId="1">
        <row r="4">
          <cell r="N4">
            <v>5.5836284214501042E-3</v>
          </cell>
        </row>
      </sheetData>
      <sheetData sheetId="2"/>
      <sheetData sheetId="3">
        <row r="9">
          <cell r="K9" t="str">
            <v>Yes</v>
          </cell>
          <cell r="L9">
            <v>2038</v>
          </cell>
        </row>
      </sheetData>
      <sheetData sheetId="4"/>
      <sheetData sheetId="5"/>
      <sheetData sheetId="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Description"/>
      <sheetName val="VDOC"/>
      <sheetName val="0-GRID IRP Displaced"/>
      <sheetName val="WyoWind1"/>
      <sheetName val="WyoWind2"/>
      <sheetName val="WyoWind3"/>
      <sheetName val="WyoWind4"/>
      <sheetName val="WyoWind5"/>
      <sheetName val="0-GRID Potential"/>
      <sheetName val="0-GRID Load"/>
      <sheetName val="1-GRID Demand"/>
      <sheetName val="2-GRID (Cal ISO)"/>
      <sheetName val="3-GRID-Lewis Losses"/>
      <sheetName val="4-GRID Load Contingency"/>
      <sheetName val="5-GRID p162259"/>
      <sheetName val="6-Degradation"/>
      <sheetName val="7-RAMP Loss"/>
      <sheetName val="B-GRID (ActualLoadOnly)"/>
      <sheetName val="C-GRID (ID Only)"/>
      <sheetName val="Source - Ramp Losses"/>
      <sheetName val="Source - Station Use"/>
    </sheetNames>
    <sheetDataSet>
      <sheetData sheetId="0" refreshError="1"/>
      <sheetData sheetId="1" refreshError="1"/>
      <sheetData sheetId="2">
        <row r="3">
          <cell r="W3">
            <v>0.14499999999999999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46">
          <cell r="O46">
            <v>5673.378255432378</v>
          </cell>
          <cell r="P46">
            <v>224.73491729221749</v>
          </cell>
        </row>
        <row r="47">
          <cell r="O47">
            <v>2587.9564935369626</v>
          </cell>
          <cell r="P47">
            <v>946.54831756954536</v>
          </cell>
        </row>
        <row r="48">
          <cell r="O48">
            <v>4214.1564828629798</v>
          </cell>
          <cell r="P48">
            <v>141.41978259103564</v>
          </cell>
        </row>
        <row r="49">
          <cell r="O49">
            <v>5434.9796223408312</v>
          </cell>
          <cell r="P49">
            <v>294.02197290578601</v>
          </cell>
        </row>
        <row r="50">
          <cell r="O50">
            <v>8444.8661848296906</v>
          </cell>
          <cell r="P50">
            <v>940.52190637958643</v>
          </cell>
        </row>
        <row r="51">
          <cell r="O51">
            <v>6451.7370567470771</v>
          </cell>
          <cell r="P51">
            <v>390.10968436333974</v>
          </cell>
        </row>
        <row r="52">
          <cell r="O52">
            <v>5497.5280885022812</v>
          </cell>
          <cell r="P52">
            <v>582.55308169602745</v>
          </cell>
        </row>
        <row r="53">
          <cell r="O53">
            <v>5939.3770909410341</v>
          </cell>
          <cell r="P53">
            <v>0</v>
          </cell>
        </row>
        <row r="54">
          <cell r="O54">
            <v>5522.6919584415537</v>
          </cell>
          <cell r="P54">
            <v>408.18891793321649</v>
          </cell>
        </row>
        <row r="55">
          <cell r="O55">
            <v>4845.8251229443977</v>
          </cell>
          <cell r="P55">
            <v>575.92402938707266</v>
          </cell>
        </row>
        <row r="56">
          <cell r="O56">
            <v>5868.6125563231853</v>
          </cell>
          <cell r="P56">
            <v>433.09808418504662</v>
          </cell>
        </row>
        <row r="57">
          <cell r="O57">
            <v>5541.3399656135107</v>
          </cell>
          <cell r="P57">
            <v>82.963594048434246</v>
          </cell>
        </row>
      </sheetData>
      <sheetData sheetId="20">
        <row r="78">
          <cell r="H78">
            <v>5438</v>
          </cell>
        </row>
        <row r="79">
          <cell r="H79">
            <v>5692</v>
          </cell>
        </row>
        <row r="80">
          <cell r="H80">
            <v>6330</v>
          </cell>
        </row>
        <row r="81">
          <cell r="H81">
            <v>5570</v>
          </cell>
        </row>
        <row r="82">
          <cell r="H82">
            <v>6657</v>
          </cell>
        </row>
        <row r="83">
          <cell r="H83">
            <v>5458</v>
          </cell>
        </row>
        <row r="84">
          <cell r="H84">
            <v>5552</v>
          </cell>
        </row>
        <row r="85">
          <cell r="H85">
            <v>6198</v>
          </cell>
        </row>
        <row r="86">
          <cell r="H86">
            <v>5790</v>
          </cell>
        </row>
        <row r="87">
          <cell r="H87">
            <v>6411</v>
          </cell>
        </row>
        <row r="88">
          <cell r="H88">
            <v>5918</v>
          </cell>
        </row>
        <row r="89">
          <cell r="H89">
            <v>4392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Description"/>
      <sheetName val="VDOC"/>
      <sheetName val="0-GRID IRP Displaced"/>
      <sheetName val="WyoWind1"/>
      <sheetName val="WyoWind2"/>
      <sheetName val="WyoWind3"/>
      <sheetName val="WyoWind4"/>
      <sheetName val="WyoWind5"/>
      <sheetName val="0-GRID Potential"/>
      <sheetName val="0-GRID Load"/>
      <sheetName val="1-GRID Demand"/>
      <sheetName val="2-GRID (Cal ISO)"/>
      <sheetName val="3-GRID-Lewis Losses"/>
      <sheetName val="4-GRID Load Contingency"/>
      <sheetName val="5-GRID p162259"/>
      <sheetName val="6-Degradation"/>
      <sheetName val="7-RAMP Loss"/>
      <sheetName val="B-GRID (ActualLoadOnly)"/>
      <sheetName val="C-GRID (ID Only)"/>
      <sheetName val="Source - Ramp Losses"/>
      <sheetName val="Source - Station Use"/>
    </sheetNames>
    <sheetDataSet>
      <sheetData sheetId="0" refreshError="1"/>
      <sheetData sheetId="1" refreshError="1"/>
      <sheetData sheetId="2">
        <row r="3">
          <cell r="W3">
            <v>0.14499999999999999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46">
          <cell r="O46">
            <v>5673.378255432378</v>
          </cell>
          <cell r="P46">
            <v>224.73491729221749</v>
          </cell>
        </row>
        <row r="47">
          <cell r="O47">
            <v>2587.9564935369626</v>
          </cell>
          <cell r="P47">
            <v>946.54831756954536</v>
          </cell>
        </row>
        <row r="48">
          <cell r="O48">
            <v>4214.1564828629798</v>
          </cell>
          <cell r="P48">
            <v>141.41978259103564</v>
          </cell>
        </row>
        <row r="49">
          <cell r="O49">
            <v>5434.9796223408312</v>
          </cell>
          <cell r="P49">
            <v>294.02197290578601</v>
          </cell>
        </row>
        <row r="50">
          <cell r="O50">
            <v>8444.8661848296906</v>
          </cell>
          <cell r="P50">
            <v>940.52190637958643</v>
          </cell>
        </row>
        <row r="51">
          <cell r="O51">
            <v>6451.7370567470771</v>
          </cell>
          <cell r="P51">
            <v>390.10968436333974</v>
          </cell>
        </row>
        <row r="52">
          <cell r="O52">
            <v>5497.5280885022812</v>
          </cell>
          <cell r="P52">
            <v>582.55308169602745</v>
          </cell>
        </row>
        <row r="53">
          <cell r="O53">
            <v>5939.3770909410341</v>
          </cell>
          <cell r="P53">
            <v>0</v>
          </cell>
        </row>
        <row r="54">
          <cell r="O54">
            <v>5522.6919584415537</v>
          </cell>
          <cell r="P54">
            <v>408.18891793321649</v>
          </cell>
        </row>
        <row r="55">
          <cell r="O55">
            <v>4845.8251229443977</v>
          </cell>
          <cell r="P55">
            <v>575.92402938707266</v>
          </cell>
        </row>
        <row r="56">
          <cell r="O56">
            <v>5868.6125563231853</v>
          </cell>
          <cell r="P56">
            <v>433.09808418504662</v>
          </cell>
        </row>
        <row r="57">
          <cell r="O57">
            <v>5541.3399656135107</v>
          </cell>
          <cell r="P57">
            <v>82.963594048434246</v>
          </cell>
        </row>
      </sheetData>
      <sheetData sheetId="20">
        <row r="78">
          <cell r="H78">
            <v>5438</v>
          </cell>
        </row>
        <row r="79">
          <cell r="H79">
            <v>5692</v>
          </cell>
        </row>
        <row r="80">
          <cell r="H80">
            <v>6330</v>
          </cell>
        </row>
        <row r="81">
          <cell r="H81">
            <v>5570</v>
          </cell>
        </row>
        <row r="82">
          <cell r="H82">
            <v>6657</v>
          </cell>
        </row>
        <row r="83">
          <cell r="H83">
            <v>5458</v>
          </cell>
        </row>
        <row r="84">
          <cell r="H84">
            <v>5552</v>
          </cell>
        </row>
        <row r="85">
          <cell r="H85">
            <v>6198</v>
          </cell>
        </row>
        <row r="86">
          <cell r="H86">
            <v>5790</v>
          </cell>
        </row>
        <row r="87">
          <cell r="H87">
            <v>6411</v>
          </cell>
        </row>
        <row r="88">
          <cell r="H88">
            <v>5918</v>
          </cell>
        </row>
        <row r="89">
          <cell r="H89">
            <v>4392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1"/>
      <sheetName val="Table 2A BaseLoad"/>
      <sheetName val="Table 2B Wind"/>
      <sheetName val="Table 2C SolarFixed"/>
      <sheetName val="Table 2D SolarTracking"/>
      <sheetName val="Tables 3 to 6"/>
      <sheetName val="Table 7"/>
      <sheetName val="Table 8"/>
      <sheetName val="Table 9"/>
      <sheetName val="Table 10"/>
      <sheetName val="Table 11"/>
      <sheetName val="Table 12"/>
      <sheetName val="--- Do Not Print ---&gt;"/>
      <sheetName val="Tariff Page"/>
      <sheetName val="Tariff Page Wind"/>
      <sheetName val="Tariff Page Solar Fixed"/>
      <sheetName val="Tariff Page Solar Tracking"/>
      <sheetName val="OFPC Source"/>
      <sheetName val="Compare-Internal 1"/>
      <sheetName val="High Level Brief 1"/>
      <sheetName val="Compare-Internal 2"/>
      <sheetName val="High Level Brief 2"/>
      <sheetName val="Reconsideration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4">
          <cell r="C24">
            <v>2</v>
          </cell>
        </row>
      </sheetData>
      <sheetData sheetId="11">
        <row r="45">
          <cell r="B45">
            <v>2.1800000000000002</v>
          </cell>
        </row>
        <row r="46">
          <cell r="B46">
            <v>2.83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4">
          <cell r="D4">
            <v>0.85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1"/>
      <sheetName val="Table 2"/>
      <sheetName val="Table 4"/>
      <sheetName val="Table 5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  <sheetName val="VDOC"/>
    </sheetNames>
    <sheetDataSet>
      <sheetData sheetId="0">
        <row r="8">
          <cell r="I8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42">
          <cell r="I42">
            <v>6.5699999999999995E-2</v>
          </cell>
        </row>
      </sheetData>
      <sheetData sheetId="1"/>
      <sheetData sheetId="2"/>
      <sheetData sheetId="3">
        <row r="6">
          <cell r="M6">
            <v>10</v>
          </cell>
        </row>
        <row r="7">
          <cell r="M7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1 Preferred Portfolio"/>
      <sheetName val="Table 2 QF Signed Queue"/>
      <sheetName val="Table 3 Comparison"/>
      <sheetName val="Table 4 Gas Price"/>
      <sheetName val=" Table 5 Electric Price"/>
      <sheetName val="Table6 Integration"/>
      <sheetName val="--- Do Not Print ---&gt;"/>
      <sheetName val="Tariff Page"/>
      <sheetName val="Tariff Page Solar Fixed"/>
      <sheetName val="Tariff Page Solar Tracking"/>
      <sheetName val="Tariff Page Wind"/>
      <sheetName val="OFPC Sour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0">
          <cell r="B10">
            <v>2022</v>
          </cell>
          <cell r="C10">
            <v>3.007698867483239</v>
          </cell>
          <cell r="D10">
            <v>8.8515076334515417</v>
          </cell>
          <cell r="E10">
            <v>3.0454461291953212</v>
          </cell>
          <cell r="F10">
            <v>3.8516795271197948</v>
          </cell>
        </row>
        <row r="11">
          <cell r="B11">
            <v>2023</v>
          </cell>
          <cell r="C11">
            <v>2.8340522992445987</v>
          </cell>
          <cell r="D11">
            <v>7.2642121295296302</v>
          </cell>
          <cell r="E11">
            <v>3.1358336195106071</v>
          </cell>
          <cell r="F11">
            <v>3.536952703580269</v>
          </cell>
        </row>
        <row r="12">
          <cell r="B12">
            <v>2024</v>
          </cell>
          <cell r="C12">
            <v>3.4230088256735192</v>
          </cell>
          <cell r="D12">
            <v>7.5947351925694679</v>
          </cell>
          <cell r="E12">
            <v>3.9749742901306773</v>
          </cell>
          <cell r="F12">
            <v>4.6909502465891189</v>
          </cell>
        </row>
        <row r="13">
          <cell r="B13">
            <v>2025</v>
          </cell>
          <cell r="C13">
            <v>2.1914441799869939</v>
          </cell>
          <cell r="D13">
            <v>4.9965622010509589</v>
          </cell>
          <cell r="E13">
            <v>2.4924151508983021</v>
          </cell>
          <cell r="F13">
            <v>3.7208668301226573</v>
          </cell>
        </row>
        <row r="14">
          <cell r="B14">
            <v>2026</v>
          </cell>
          <cell r="C14">
            <v>2.5177857985133247</v>
          </cell>
          <cell r="D14">
            <v>3.0800805048050455</v>
          </cell>
          <cell r="E14">
            <v>2.6600831325057022</v>
          </cell>
          <cell r="F14">
            <v>3.2125285951074938</v>
          </cell>
        </row>
        <row r="15">
          <cell r="B15">
            <v>2027</v>
          </cell>
          <cell r="C15">
            <v>2.7490478420628621</v>
          </cell>
          <cell r="D15">
            <v>3.2264197356823865</v>
          </cell>
          <cell r="E15">
            <v>2.8380808377702418</v>
          </cell>
          <cell r="F15">
            <v>3.3801901617056687</v>
          </cell>
        </row>
        <row r="16">
          <cell r="B16">
            <v>2028</v>
          </cell>
          <cell r="C16">
            <v>2.7088660954862624</v>
          </cell>
          <cell r="D16">
            <v>3.5089446222861378</v>
          </cell>
          <cell r="E16">
            <v>2.8369141765503243</v>
          </cell>
          <cell r="F16">
            <v>3.6897982661338014</v>
          </cell>
        </row>
        <row r="17">
          <cell r="B17">
            <v>2029</v>
          </cell>
          <cell r="C17">
            <v>2.8139803655846136</v>
          </cell>
          <cell r="D17">
            <v>3.5521566849795954</v>
          </cell>
          <cell r="E17">
            <v>2.920586319059665</v>
          </cell>
          <cell r="F17">
            <v>3.7367865574826027</v>
          </cell>
        </row>
        <row r="18">
          <cell r="B18">
            <v>2030</v>
          </cell>
          <cell r="C18">
            <v>2.8452291589857124</v>
          </cell>
          <cell r="D18">
            <v>3.4969339585405543</v>
          </cell>
          <cell r="E18">
            <v>2.9797918837354151</v>
          </cell>
          <cell r="F18">
            <v>3.671450772591772</v>
          </cell>
        </row>
        <row r="19">
          <cell r="B19">
            <v>2031</v>
          </cell>
          <cell r="C19">
            <v>4.2281392009255887</v>
          </cell>
          <cell r="D19">
            <v>4.7634449945958455</v>
          </cell>
          <cell r="E19">
            <v>4.460198636512871</v>
          </cell>
          <cell r="F19">
            <v>5.0396152131347272</v>
          </cell>
        </row>
        <row r="20">
          <cell r="B20">
            <v>2032</v>
          </cell>
          <cell r="C20">
            <v>3.9826515917577594</v>
          </cell>
          <cell r="D20">
            <v>4.7333946460499217</v>
          </cell>
          <cell r="E20">
            <v>4.1884803404220081</v>
          </cell>
          <cell r="F20">
            <v>5.0732459805535957</v>
          </cell>
        </row>
        <row r="21">
          <cell r="B21">
            <v>2033</v>
          </cell>
          <cell r="C21">
            <v>4.1804657885695971</v>
          </cell>
          <cell r="D21">
            <v>4.559096364610447</v>
          </cell>
          <cell r="E21">
            <v>4.4925172335290648</v>
          </cell>
          <cell r="F21">
            <v>5.0387681209785313</v>
          </cell>
        </row>
        <row r="22">
          <cell r="B22">
            <v>2034</v>
          </cell>
          <cell r="C22">
            <v>4.2462760697331765</v>
          </cell>
          <cell r="D22">
            <v>4.7627924244622042</v>
          </cell>
          <cell r="E22">
            <v>4.657828267477699</v>
          </cell>
          <cell r="F22">
            <v>5.3452688014265339</v>
          </cell>
        </row>
        <row r="23">
          <cell r="B23">
            <v>2035</v>
          </cell>
          <cell r="C23">
            <v>4.3672598739880142</v>
          </cell>
          <cell r="D23">
            <v>4.9039238936876561</v>
          </cell>
          <cell r="E23">
            <v>4.8272640041212131</v>
          </cell>
          <cell r="F23">
            <v>5.5852185018680993</v>
          </cell>
        </row>
        <row r="24">
          <cell r="B24">
            <v>2036</v>
          </cell>
          <cell r="C24">
            <v>4.54549220165433</v>
          </cell>
          <cell r="D24">
            <v>5.0499206865526647</v>
          </cell>
          <cell r="E24">
            <v>4.9792552773772671</v>
          </cell>
          <cell r="F24">
            <v>5.6949389718903944</v>
          </cell>
        </row>
        <row r="25">
          <cell r="B25">
            <v>2037</v>
          </cell>
          <cell r="C25">
            <v>5.1349135714542617</v>
          </cell>
          <cell r="D25">
            <v>5.4042203252316652</v>
          </cell>
          <cell r="E25">
            <v>5.5317245965504629</v>
          </cell>
          <cell r="F25">
            <v>6.162291238802835</v>
          </cell>
        </row>
        <row r="26">
          <cell r="B26">
            <v>2038</v>
          </cell>
          <cell r="C26">
            <v>5.1370942424793498</v>
          </cell>
          <cell r="D26">
            <v>5.4272718430695761</v>
          </cell>
          <cell r="E26">
            <v>5.5550820807072085</v>
          </cell>
          <cell r="F26">
            <v>6.3057379697499547</v>
          </cell>
        </row>
        <row r="27">
          <cell r="B27">
            <v>2039</v>
          </cell>
          <cell r="C27">
            <v>5.2155869926590164</v>
          </cell>
          <cell r="D27">
            <v>5.2453508170151704</v>
          </cell>
          <cell r="E27">
            <v>5.6296079013567368</v>
          </cell>
          <cell r="F27">
            <v>6.1357426292256179</v>
          </cell>
        </row>
        <row r="28">
          <cell r="B28">
            <v>2040</v>
          </cell>
          <cell r="C28">
            <v>5.2555076185619534</v>
          </cell>
          <cell r="D28">
            <v>5.1864497941518186</v>
          </cell>
          <cell r="E28">
            <v>5.6365611141193801</v>
          </cell>
          <cell r="F28">
            <v>5.8972941090964621</v>
          </cell>
        </row>
        <row r="29">
          <cell r="B29"/>
          <cell r="C29"/>
          <cell r="D29"/>
          <cell r="E29"/>
          <cell r="F29"/>
        </row>
        <row r="30">
          <cell r="B30">
            <v>1</v>
          </cell>
          <cell r="C30" t="e">
            <v>#N/A</v>
          </cell>
          <cell r="D30" t="e">
            <v>#N/A</v>
          </cell>
          <cell r="E30" t="e">
            <v>#N/A</v>
          </cell>
          <cell r="F30" t="e">
            <v>#N/A</v>
          </cell>
        </row>
      </sheetData>
      <sheetData sheetId="8">
        <row r="10">
          <cell r="B10">
            <v>2022</v>
          </cell>
          <cell r="C10">
            <v>2.0655590116814415</v>
          </cell>
          <cell r="D10">
            <v>4.9495645913181407</v>
          </cell>
          <cell r="E10">
            <v>2.1296813663253129</v>
          </cell>
          <cell r="F10">
            <v>2.2105415869290614</v>
          </cell>
        </row>
        <row r="11">
          <cell r="B11">
            <v>2023</v>
          </cell>
          <cell r="C11">
            <v>1.9484963370188431</v>
          </cell>
          <cell r="D11">
            <v>3.8566599743882604</v>
          </cell>
          <cell r="E11">
            <v>2.1704772591947448</v>
          </cell>
          <cell r="F11">
            <v>1.9390496473489076</v>
          </cell>
        </row>
        <row r="12">
          <cell r="B12">
            <v>2024</v>
          </cell>
          <cell r="C12">
            <v>2.1082400531239136</v>
          </cell>
          <cell r="D12">
            <v>4.0779579859581947</v>
          </cell>
          <cell r="E12">
            <v>2.4405102384507091</v>
          </cell>
          <cell r="F12">
            <v>2.5205560353875605</v>
          </cell>
        </row>
        <row r="13">
          <cell r="B13">
            <v>2025</v>
          </cell>
          <cell r="C13">
            <v>1.2521088633181114</v>
          </cell>
          <cell r="D13">
            <v>2.7579962423018931</v>
          </cell>
          <cell r="E13">
            <v>1.436896296894332</v>
          </cell>
          <cell r="F13">
            <v>2.0563855592657818</v>
          </cell>
        </row>
        <row r="14">
          <cell r="B14">
            <v>2026</v>
          </cell>
          <cell r="C14">
            <v>2.5936217039115954</v>
          </cell>
          <cell r="D14">
            <v>3.12968239056271</v>
          </cell>
          <cell r="E14">
            <v>2.7680652914402737</v>
          </cell>
          <cell r="F14">
            <v>3.2923146997681392</v>
          </cell>
        </row>
        <row r="15">
          <cell r="B15">
            <v>2027</v>
          </cell>
          <cell r="C15">
            <v>2.7190694079483055</v>
          </cell>
          <cell r="D15">
            <v>3.384408681440958</v>
          </cell>
          <cell r="E15">
            <v>2.7970407528741958</v>
          </cell>
          <cell r="F15">
            <v>3.5790497905398562</v>
          </cell>
        </row>
        <row r="16">
          <cell r="B16">
            <v>2028</v>
          </cell>
          <cell r="C16">
            <v>2.766579905367887</v>
          </cell>
          <cell r="D16">
            <v>3.4697354034124182</v>
          </cell>
          <cell r="E16">
            <v>2.9182980514772283</v>
          </cell>
          <cell r="F16">
            <v>3.6805743965350857</v>
          </cell>
        </row>
        <row r="17">
          <cell r="B17">
            <v>2029</v>
          </cell>
          <cell r="C17">
            <v>3.0324510177921322</v>
          </cell>
          <cell r="D17">
            <v>3.646724785968849</v>
          </cell>
          <cell r="E17">
            <v>3.1331644951743485</v>
          </cell>
          <cell r="F17">
            <v>3.8522379188185871</v>
          </cell>
        </row>
        <row r="18">
          <cell r="B18">
            <v>2030</v>
          </cell>
          <cell r="C18">
            <v>3.022203308109467</v>
          </cell>
          <cell r="D18">
            <v>3.7402387382689497</v>
          </cell>
          <cell r="E18">
            <v>3.2079307647096691</v>
          </cell>
          <cell r="F18">
            <v>3.9057918664104756</v>
          </cell>
        </row>
        <row r="19">
          <cell r="B19">
            <v>2031</v>
          </cell>
          <cell r="C19">
            <v>3.1388341699326716</v>
          </cell>
          <cell r="D19">
            <v>3.8884138016353291</v>
          </cell>
          <cell r="E19">
            <v>3.3625926257339751</v>
          </cell>
          <cell r="F19">
            <v>4.0755332533292448</v>
          </cell>
        </row>
        <row r="20">
          <cell r="B20">
            <v>2032</v>
          </cell>
          <cell r="C20">
            <v>2.7172618431497906</v>
          </cell>
          <cell r="D20">
            <v>3.4537652021137921</v>
          </cell>
          <cell r="E20">
            <v>2.8840443682397452</v>
          </cell>
          <cell r="F20">
            <v>3.7492471119828741</v>
          </cell>
        </row>
        <row r="21">
          <cell r="B21">
            <v>2033</v>
          </cell>
          <cell r="C21">
            <v>3.095576561869374</v>
          </cell>
          <cell r="D21">
            <v>3.7971244097687205</v>
          </cell>
          <cell r="E21">
            <v>3.3925610459216218</v>
          </cell>
          <cell r="F21">
            <v>4.2851986982549954</v>
          </cell>
        </row>
        <row r="22">
          <cell r="B22">
            <v>2034</v>
          </cell>
          <cell r="C22">
            <v>3.1500183251824332</v>
          </cell>
          <cell r="D22">
            <v>3.9563634440395306</v>
          </cell>
          <cell r="E22">
            <v>3.4882159048965704</v>
          </cell>
          <cell r="F22">
            <v>4.537388143920321</v>
          </cell>
        </row>
        <row r="23">
          <cell r="B23">
            <v>2035</v>
          </cell>
          <cell r="C23">
            <v>3.1442836429794392</v>
          </cell>
          <cell r="D23">
            <v>4.2508386287160125</v>
          </cell>
          <cell r="E23">
            <v>3.4746361213692758</v>
          </cell>
          <cell r="F23">
            <v>4.86138161461776</v>
          </cell>
        </row>
        <row r="24">
          <cell r="B24">
            <v>2036</v>
          </cell>
          <cell r="C24">
            <v>3.4013990974553017</v>
          </cell>
          <cell r="D24">
            <v>4.4318237171755062</v>
          </cell>
          <cell r="E24">
            <v>3.8498459768203945</v>
          </cell>
          <cell r="F24">
            <v>4.9540487410266625</v>
          </cell>
        </row>
        <row r="25">
          <cell r="B25">
            <v>2037</v>
          </cell>
          <cell r="C25">
            <v>3.6435648577621755</v>
          </cell>
          <cell r="D25">
            <v>4.6919137723838737</v>
          </cell>
          <cell r="E25">
            <v>4.016095500015183</v>
          </cell>
          <cell r="F25">
            <v>5.4628129261083327</v>
          </cell>
        </row>
        <row r="26">
          <cell r="B26">
            <v>2038</v>
          </cell>
          <cell r="C26">
            <v>3.6645205471248139</v>
          </cell>
          <cell r="D26">
            <v>4.7428246646317902</v>
          </cell>
          <cell r="E26">
            <v>3.9270937592684945</v>
          </cell>
          <cell r="F26">
            <v>5.588200973214378</v>
          </cell>
        </row>
        <row r="27">
          <cell r="B27">
            <v>2039</v>
          </cell>
          <cell r="C27">
            <v>3.6711565130122539</v>
          </cell>
          <cell r="D27">
            <v>4.7423967850723612</v>
          </cell>
          <cell r="E27">
            <v>4.0310911582990112</v>
          </cell>
          <cell r="F27">
            <v>5.7405837394855093</v>
          </cell>
        </row>
        <row r="28">
          <cell r="B28">
            <v>2040</v>
          </cell>
          <cell r="C28">
            <v>3.3845457607889409</v>
          </cell>
          <cell r="D28">
            <v>4.6181569124699795</v>
          </cell>
          <cell r="E28">
            <v>3.6241665253675519</v>
          </cell>
          <cell r="F28">
            <v>5.3959087287859786</v>
          </cell>
        </row>
        <row r="29">
          <cell r="B29">
            <v>2041</v>
          </cell>
          <cell r="C29">
            <v>3.4257539528255938</v>
          </cell>
          <cell r="D29">
            <v>4.7077179998837613</v>
          </cell>
          <cell r="E29">
            <v>3.7808913151673673</v>
          </cell>
          <cell r="F29">
            <v>5.7666509905035692</v>
          </cell>
        </row>
        <row r="30">
          <cell r="B30">
            <v>2042</v>
          </cell>
          <cell r="C30">
            <v>3.3364709204607421</v>
          </cell>
          <cell r="D30">
            <v>5.1358037204038931</v>
          </cell>
          <cell r="E30">
            <v>3.5885947153046542</v>
          </cell>
          <cell r="F30">
            <v>6.064352273308681</v>
          </cell>
        </row>
      </sheetData>
      <sheetData sheetId="9">
        <row r="10">
          <cell r="B10">
            <v>2022</v>
          </cell>
          <cell r="C10">
            <v>2.0052211212453104</v>
          </cell>
          <cell r="D10">
            <v>4.6187518668947973</v>
          </cell>
          <cell r="E10">
            <v>2.0622254355733025</v>
          </cell>
          <cell r="F10">
            <v>2.0706946312562886</v>
          </cell>
        </row>
        <row r="11">
          <cell r="B11">
            <v>2023</v>
          </cell>
          <cell r="C11">
            <v>1.8764818447962401</v>
          </cell>
          <cell r="D11">
            <v>3.5700946019606947</v>
          </cell>
          <cell r="E11">
            <v>2.1264382143571785</v>
          </cell>
          <cell r="F11">
            <v>1.8203276958844818</v>
          </cell>
        </row>
        <row r="12">
          <cell r="B12">
            <v>2024</v>
          </cell>
          <cell r="C12">
            <v>2.0169016961679143</v>
          </cell>
          <cell r="D12">
            <v>3.798722989639022</v>
          </cell>
          <cell r="E12">
            <v>2.3108015282857224</v>
          </cell>
          <cell r="F12">
            <v>2.3917292749760484</v>
          </cell>
        </row>
        <row r="13">
          <cell r="B13">
            <v>2025</v>
          </cell>
          <cell r="C13">
            <v>1.2038417307001263</v>
          </cell>
          <cell r="D13">
            <v>2.5924513842609351</v>
          </cell>
          <cell r="E13">
            <v>1.3945016025242294</v>
          </cell>
          <cell r="F13">
            <v>1.9433619817559495</v>
          </cell>
        </row>
        <row r="14">
          <cell r="B14">
            <v>2026</v>
          </cell>
          <cell r="C14">
            <v>2.3664454786092821</v>
          </cell>
          <cell r="D14">
            <v>2.9286391350953522</v>
          </cell>
          <cell r="E14">
            <v>2.5276199748583097</v>
          </cell>
          <cell r="F14">
            <v>3.0827916940431992</v>
          </cell>
        </row>
        <row r="15">
          <cell r="B15">
            <v>2027</v>
          </cell>
          <cell r="C15">
            <v>2.4627588112621361</v>
          </cell>
          <cell r="D15">
            <v>3.1655236510966773</v>
          </cell>
          <cell r="E15">
            <v>2.5378898579671425</v>
          </cell>
          <cell r="F15">
            <v>3.2984711484247144</v>
          </cell>
        </row>
        <row r="16">
          <cell r="B16">
            <v>2028</v>
          </cell>
          <cell r="C16">
            <v>2.5252267921584659</v>
          </cell>
          <cell r="D16">
            <v>3.2687096340639181</v>
          </cell>
          <cell r="E16">
            <v>2.6731132604094148</v>
          </cell>
          <cell r="F16">
            <v>3.4320588978556201</v>
          </cell>
        </row>
        <row r="17">
          <cell r="B17">
            <v>2029</v>
          </cell>
          <cell r="C17">
            <v>2.7921558457062003</v>
          </cell>
          <cell r="D17">
            <v>3.4535830749675802</v>
          </cell>
          <cell r="E17">
            <v>2.8578641449348252</v>
          </cell>
          <cell r="F17">
            <v>3.5927296231324406</v>
          </cell>
        </row>
        <row r="18">
          <cell r="B18">
            <v>2030</v>
          </cell>
          <cell r="C18">
            <v>2.7402903091975244</v>
          </cell>
          <cell r="D18">
            <v>3.5129193032504844</v>
          </cell>
          <cell r="E18">
            <v>2.9454079128736748</v>
          </cell>
          <cell r="F18">
            <v>3.6378681914340065</v>
          </cell>
        </row>
        <row r="19">
          <cell r="B19">
            <v>2031</v>
          </cell>
          <cell r="C19">
            <v>2.8242217327384749</v>
          </cell>
          <cell r="D19">
            <v>3.6325906236424026</v>
          </cell>
          <cell r="E19">
            <v>3.0554769693106238</v>
          </cell>
          <cell r="F19">
            <v>3.7614004667430856</v>
          </cell>
        </row>
        <row r="20">
          <cell r="B20">
            <v>2032</v>
          </cell>
          <cell r="C20">
            <v>2.3798555317659313</v>
          </cell>
          <cell r="D20">
            <v>3.1483456507815051</v>
          </cell>
          <cell r="E20">
            <v>2.5638344711169974</v>
          </cell>
          <cell r="F20">
            <v>3.3665254871579862</v>
          </cell>
        </row>
        <row r="21">
          <cell r="B21">
            <v>2033</v>
          </cell>
          <cell r="C21">
            <v>2.7352916888442556</v>
          </cell>
          <cell r="D21">
            <v>3.4951975869116731</v>
          </cell>
          <cell r="E21">
            <v>3.0348332204610151</v>
          </cell>
          <cell r="F21">
            <v>3.8927841464590274</v>
          </cell>
        </row>
        <row r="22">
          <cell r="B22">
            <v>2034</v>
          </cell>
          <cell r="C22">
            <v>2.7848909808438664</v>
          </cell>
          <cell r="D22">
            <v>3.6511311027815538</v>
          </cell>
          <cell r="E22">
            <v>3.1343158651325274</v>
          </cell>
          <cell r="F22">
            <v>4.1376669836604139</v>
          </cell>
        </row>
        <row r="23">
          <cell r="B23">
            <v>2035</v>
          </cell>
          <cell r="C23">
            <v>2.7752705879431323</v>
          </cell>
          <cell r="D23">
            <v>3.9041790004886736</v>
          </cell>
          <cell r="E23">
            <v>3.0687810833728144</v>
          </cell>
          <cell r="F23">
            <v>4.3867259343998022</v>
          </cell>
        </row>
        <row r="24">
          <cell r="B24">
            <v>2036</v>
          </cell>
          <cell r="C24">
            <v>3.0092997012908298</v>
          </cell>
          <cell r="D24">
            <v>4.1177347542470759</v>
          </cell>
          <cell r="E24">
            <v>3.5082888041477842</v>
          </cell>
          <cell r="F24">
            <v>4.5376235035860759</v>
          </cell>
        </row>
        <row r="25">
          <cell r="B25">
            <v>2037</v>
          </cell>
          <cell r="C25">
            <v>3.2142776311015084</v>
          </cell>
          <cell r="D25">
            <v>4.3447623211421114</v>
          </cell>
          <cell r="E25">
            <v>3.5905207905033238</v>
          </cell>
          <cell r="F25">
            <v>5.0831053220476523</v>
          </cell>
        </row>
        <row r="26">
          <cell r="B26">
            <v>2038</v>
          </cell>
          <cell r="C26">
            <v>3.2046402867712978</v>
          </cell>
          <cell r="D26">
            <v>4.3860477915447253</v>
          </cell>
          <cell r="E26">
            <v>3.4802716948041983</v>
          </cell>
          <cell r="F26">
            <v>5.085200629648873</v>
          </cell>
        </row>
        <row r="27">
          <cell r="B27">
            <v>2039</v>
          </cell>
          <cell r="C27">
            <v>3.2097533712659376</v>
          </cell>
          <cell r="D27">
            <v>4.3845328471236247</v>
          </cell>
          <cell r="E27">
            <v>3.5621252302583022</v>
          </cell>
          <cell r="F27">
            <v>5.20180881485574</v>
          </cell>
        </row>
        <row r="28">
          <cell r="B28">
            <v>2040</v>
          </cell>
          <cell r="C28">
            <v>2.9385274656622906</v>
          </cell>
          <cell r="D28">
            <v>4.236933410937441</v>
          </cell>
          <cell r="E28">
            <v>3.0956777952010457</v>
          </cell>
          <cell r="F28">
            <v>4.8388675109809878</v>
          </cell>
        </row>
        <row r="29">
          <cell r="B29">
            <v>2041</v>
          </cell>
          <cell r="C29">
            <v>2.9532080802827783</v>
          </cell>
          <cell r="D29">
            <v>4.311929388082584</v>
          </cell>
          <cell r="E29">
            <v>3.277883817820618</v>
          </cell>
          <cell r="F29">
            <v>5.2065690684995127</v>
          </cell>
        </row>
        <row r="30">
          <cell r="B30">
            <v>2042</v>
          </cell>
          <cell r="C30">
            <v>2.8401682897167886</v>
          </cell>
          <cell r="D30">
            <v>4.6988903709816148</v>
          </cell>
          <cell r="E30">
            <v>3.0655579207425858</v>
          </cell>
          <cell r="F30">
            <v>5.4545868835839482</v>
          </cell>
        </row>
      </sheetData>
      <sheetData sheetId="10">
        <row r="10">
          <cell r="B10">
            <v>2022</v>
          </cell>
          <cell r="C10">
            <v>2.7285575788540757</v>
          </cell>
          <cell r="D10">
            <v>7.6580250834038299</v>
          </cell>
          <cell r="E10">
            <v>2.8258041076724241</v>
          </cell>
          <cell r="F10">
            <v>3.7650851033261952</v>
          </cell>
        </row>
        <row r="11">
          <cell r="B11">
            <v>2023</v>
          </cell>
          <cell r="C11">
            <v>2.574006348137126</v>
          </cell>
          <cell r="D11">
            <v>6.4573862429353337</v>
          </cell>
          <cell r="E11">
            <v>2.9004583744084238</v>
          </cell>
          <cell r="F11">
            <v>3.2790515505819799</v>
          </cell>
        </row>
        <row r="12">
          <cell r="B12">
            <v>2024</v>
          </cell>
          <cell r="C12">
            <v>3.0920162062610719</v>
          </cell>
          <cell r="D12">
            <v>6.4098017261233124</v>
          </cell>
          <cell r="E12">
            <v>3.5949009555179168</v>
          </cell>
          <cell r="F12">
            <v>4.369806018742544</v>
          </cell>
        </row>
        <row r="13">
          <cell r="B13">
            <v>2025</v>
          </cell>
          <cell r="C13">
            <v>2.0896935615252823</v>
          </cell>
          <cell r="D13">
            <v>4.3862873882535549</v>
          </cell>
          <cell r="E13">
            <v>2.4130986392799567</v>
          </cell>
          <cell r="F13">
            <v>3.3517551949404685</v>
          </cell>
        </row>
        <row r="14">
          <cell r="B14">
            <v>2026</v>
          </cell>
          <cell r="C14">
            <v>2.9712669354523431</v>
          </cell>
          <cell r="D14">
            <v>3.3795414163856288</v>
          </cell>
          <cell r="E14">
            <v>3.181506284133977</v>
          </cell>
          <cell r="F14">
            <v>3.5676495189627628</v>
          </cell>
        </row>
        <row r="15">
          <cell r="B15">
            <v>2027</v>
          </cell>
          <cell r="C15">
            <v>3.0337587923850369</v>
          </cell>
          <cell r="D15">
            <v>3.6222958047018685</v>
          </cell>
          <cell r="E15">
            <v>3.261241303837056</v>
          </cell>
          <cell r="F15">
            <v>3.8460782846899852</v>
          </cell>
        </row>
        <row r="16">
          <cell r="B16">
            <v>2028</v>
          </cell>
          <cell r="C16">
            <v>3.0835596377961929</v>
          </cell>
          <cell r="D16">
            <v>3.723343046262984</v>
          </cell>
          <cell r="E16">
            <v>3.3259774454202757</v>
          </cell>
          <cell r="F16">
            <v>3.9569401285477448</v>
          </cell>
        </row>
        <row r="17">
          <cell r="B17">
            <v>2029</v>
          </cell>
          <cell r="C17">
            <v>3.2105963015847307</v>
          </cell>
          <cell r="D17">
            <v>3.6834381555621141</v>
          </cell>
          <cell r="E17">
            <v>3.4378080867395253</v>
          </cell>
          <cell r="F17">
            <v>3.9714966359179038</v>
          </cell>
        </row>
        <row r="18">
          <cell r="B18">
            <v>2030</v>
          </cell>
          <cell r="C18">
            <v>3.2372029567390932</v>
          </cell>
          <cell r="D18">
            <v>3.7490116126184247</v>
          </cell>
          <cell r="E18">
            <v>3.4618712336303736</v>
          </cell>
          <cell r="F18">
            <v>4.1182957507857392</v>
          </cell>
        </row>
        <row r="19">
          <cell r="B19">
            <v>2031</v>
          </cell>
          <cell r="C19">
            <v>3.3686208634834314</v>
          </cell>
          <cell r="D19">
            <v>4.0094263811177768</v>
          </cell>
          <cell r="E19">
            <v>3.6559936120734258</v>
          </cell>
          <cell r="F19">
            <v>4.1829041062896319</v>
          </cell>
        </row>
        <row r="20">
          <cell r="B20">
            <v>2032</v>
          </cell>
          <cell r="C20">
            <v>3.1910729489044845</v>
          </cell>
          <cell r="D20">
            <v>3.8444501208380095</v>
          </cell>
          <cell r="E20">
            <v>3.4708563369944274</v>
          </cell>
          <cell r="F20">
            <v>4.2202149271014893</v>
          </cell>
        </row>
        <row r="21">
          <cell r="B21">
            <v>2033</v>
          </cell>
          <cell r="C21">
            <v>3.3668928696718305</v>
          </cell>
          <cell r="D21">
            <v>3.8456454823554105</v>
          </cell>
          <cell r="E21">
            <v>3.7264506721989656</v>
          </cell>
          <cell r="F21">
            <v>4.4502819567070011</v>
          </cell>
        </row>
        <row r="22">
          <cell r="B22">
            <v>2034</v>
          </cell>
          <cell r="C22">
            <v>3.380394257977597</v>
          </cell>
          <cell r="D22">
            <v>4.0250999806093208</v>
          </cell>
          <cell r="E22">
            <v>3.8573070819434525</v>
          </cell>
          <cell r="F22">
            <v>4.6264785688756644</v>
          </cell>
        </row>
        <row r="23">
          <cell r="B23">
            <v>2035</v>
          </cell>
          <cell r="C23">
            <v>3.3696169520722856</v>
          </cell>
          <cell r="D23">
            <v>4.247768084458559</v>
          </cell>
          <cell r="E23">
            <v>3.890171285003631</v>
          </cell>
          <cell r="F23">
            <v>5.0199130219577244</v>
          </cell>
        </row>
        <row r="24">
          <cell r="B24">
            <v>2036</v>
          </cell>
          <cell r="C24">
            <v>4.9472505026825164</v>
          </cell>
          <cell r="D24">
            <v>6.1501328110776576</v>
          </cell>
          <cell r="E24">
            <v>5.6473771578567478</v>
          </cell>
          <cell r="F24">
            <v>6.8606525881772127</v>
          </cell>
        </row>
        <row r="25">
          <cell r="B25">
            <v>2037</v>
          </cell>
          <cell r="C25">
            <v>5.3738378871990102</v>
          </cell>
          <cell r="D25">
            <v>6.3639663285983943</v>
          </cell>
          <cell r="E25">
            <v>5.8355675630071406</v>
          </cell>
          <cell r="F25">
            <v>7.4092737116336691</v>
          </cell>
        </row>
        <row r="26">
          <cell r="B26">
            <v>2038</v>
          </cell>
          <cell r="C26">
            <v>5.2810546154111</v>
          </cell>
          <cell r="D26">
            <v>6.5243392471364388</v>
          </cell>
          <cell r="E26">
            <v>6.0790069851792179</v>
          </cell>
          <cell r="F26">
            <v>7.8035760570857748</v>
          </cell>
        </row>
        <row r="27">
          <cell r="B27">
            <v>2039</v>
          </cell>
          <cell r="C27">
            <v>5.5131095515979336</v>
          </cell>
          <cell r="D27">
            <v>6.5722347648705064</v>
          </cell>
          <cell r="E27">
            <v>6.1528872329635824</v>
          </cell>
          <cell r="F27">
            <v>8.1254676650908912</v>
          </cell>
        </row>
        <row r="28">
          <cell r="B28">
            <v>2040</v>
          </cell>
          <cell r="C28">
            <v>5.5291540558902543</v>
          </cell>
          <cell r="D28">
            <v>7.0894018977822126</v>
          </cell>
          <cell r="E28">
            <v>6.2495123462876379</v>
          </cell>
          <cell r="F28">
            <v>8.515668358912011</v>
          </cell>
        </row>
        <row r="29">
          <cell r="B29"/>
          <cell r="C29"/>
          <cell r="D29"/>
          <cell r="E29"/>
          <cell r="F29"/>
        </row>
        <row r="30">
          <cell r="B30">
            <v>1</v>
          </cell>
          <cell r="C30" t="e">
            <v>#N/A</v>
          </cell>
          <cell r="D30" t="e">
            <v>#N/A</v>
          </cell>
          <cell r="E30" t="e">
            <v>#N/A</v>
          </cell>
          <cell r="F30" t="e">
            <v>#N/A</v>
          </cell>
        </row>
      </sheetData>
      <sheetData sheetId="1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(Energy PMT)"/>
      <sheetName val="SourceEnergy"/>
      <sheetName val="MWH-Split"/>
      <sheetName val="Monthly Levelized"/>
      <sheetName val="Monthly Energy Prices"/>
      <sheetName val="Security"/>
      <sheetName val="SecurityCalc"/>
    </sheetNames>
    <sheetDataSet>
      <sheetData sheetId="0"/>
      <sheetData sheetId="1">
        <row r="12">
          <cell r="S12" t="str">
            <v>Winter</v>
          </cell>
          <cell r="T12" t="str">
            <v>Summer</v>
          </cell>
          <cell r="U12" t="str">
            <v>Winter</v>
          </cell>
          <cell r="V12" t="str">
            <v>Summer</v>
          </cell>
        </row>
        <row r="20">
          <cell r="R20">
            <v>2023</v>
          </cell>
          <cell r="S20">
            <v>58.848401278401916</v>
          </cell>
          <cell r="T20">
            <v>112.0576328882397</v>
          </cell>
          <cell r="U20">
            <v>57.506453633823341</v>
          </cell>
          <cell r="V20">
            <v>53.177927257899292</v>
          </cell>
        </row>
        <row r="21">
          <cell r="R21">
            <v>2024</v>
          </cell>
          <cell r="S21">
            <v>62.121304256512119</v>
          </cell>
          <cell r="T21">
            <v>137.47812470335978</v>
          </cell>
          <cell r="U21">
            <v>63.392103023384486</v>
          </cell>
          <cell r="V21">
            <v>59.421283520602131</v>
          </cell>
        </row>
        <row r="22">
          <cell r="R22">
            <v>2025</v>
          </cell>
          <cell r="S22">
            <v>39.49797710700134</v>
          </cell>
          <cell r="T22">
            <v>111.35824579143527</v>
          </cell>
          <cell r="U22">
            <v>43.477204593315506</v>
          </cell>
          <cell r="V22">
            <v>60.317686376669187</v>
          </cell>
        </row>
        <row r="23">
          <cell r="R23">
            <v>2026</v>
          </cell>
          <cell r="S23">
            <v>49.165732172254557</v>
          </cell>
          <cell r="T23">
            <v>81.195592866067159</v>
          </cell>
          <cell r="U23">
            <v>50.965330496816591</v>
          </cell>
          <cell r="V23">
            <v>54.15225897693481</v>
          </cell>
        </row>
        <row r="24">
          <cell r="R24">
            <v>2027</v>
          </cell>
          <cell r="S24">
            <v>44.655166366404515</v>
          </cell>
          <cell r="T24">
            <v>50.85053870400391</v>
          </cell>
          <cell r="U24">
            <v>46.040433018593234</v>
          </cell>
          <cell r="V24">
            <v>47.629818603036291</v>
          </cell>
        </row>
        <row r="25">
          <cell r="R25">
            <v>2028</v>
          </cell>
          <cell r="S25">
            <v>42.155835226115222</v>
          </cell>
          <cell r="T25">
            <v>53.237031961349167</v>
          </cell>
          <cell r="U25">
            <v>43.951023231623161</v>
          </cell>
          <cell r="V25">
            <v>50.8476224958616</v>
          </cell>
        </row>
        <row r="26">
          <cell r="R26">
            <v>2029</v>
          </cell>
          <cell r="S26">
            <v>43.070611991269963</v>
          </cell>
          <cell r="T26">
            <v>52.540165046202688</v>
          </cell>
          <cell r="U26">
            <v>47.043320327683588</v>
          </cell>
          <cell r="V26">
            <v>50.554019066281924</v>
          </cell>
        </row>
        <row r="27">
          <cell r="R27">
            <v>2030</v>
          </cell>
          <cell r="S27">
            <v>43.662127472556072</v>
          </cell>
          <cell r="T27">
            <v>53.054780721668607</v>
          </cell>
          <cell r="U27">
            <v>49.101576378729071</v>
          </cell>
          <cell r="V27">
            <v>51.627058431399711</v>
          </cell>
        </row>
        <row r="28">
          <cell r="R28">
            <v>2031</v>
          </cell>
          <cell r="S28">
            <v>56.314102075336159</v>
          </cell>
          <cell r="T28">
            <v>67.141664463970898</v>
          </cell>
          <cell r="U28">
            <v>63.175651346227951</v>
          </cell>
          <cell r="V28">
            <v>65.937768082197479</v>
          </cell>
        </row>
        <row r="29">
          <cell r="R29">
            <v>2032</v>
          </cell>
          <cell r="S29">
            <v>53.587594515611997</v>
          </cell>
          <cell r="T29">
            <v>63.705538728805649</v>
          </cell>
          <cell r="U29">
            <v>60.926149297717025</v>
          </cell>
          <cell r="V29">
            <v>65.930869378403244</v>
          </cell>
        </row>
        <row r="30">
          <cell r="R30">
            <v>2033</v>
          </cell>
          <cell r="S30">
            <v>48.430965683709047</v>
          </cell>
          <cell r="T30">
            <v>54.757360237361276</v>
          </cell>
          <cell r="U30">
            <v>56.506035975524661</v>
          </cell>
          <cell r="V30">
            <v>64.731871634389705</v>
          </cell>
        </row>
        <row r="31">
          <cell r="R31">
            <v>2034</v>
          </cell>
          <cell r="S31">
            <v>48.078777550360037</v>
          </cell>
          <cell r="T31">
            <v>57.172858441753455</v>
          </cell>
          <cell r="U31">
            <v>56.661688030127131</v>
          </cell>
          <cell r="V31">
            <v>67.085510591622068</v>
          </cell>
        </row>
        <row r="32">
          <cell r="R32">
            <v>2035</v>
          </cell>
          <cell r="S32">
            <v>50.843938765255835</v>
          </cell>
          <cell r="T32">
            <v>59.439034522634252</v>
          </cell>
          <cell r="U32">
            <v>58.099591705333246</v>
          </cell>
          <cell r="V32">
            <v>64.158655469450053</v>
          </cell>
        </row>
        <row r="33">
          <cell r="R33">
            <v>2036</v>
          </cell>
          <cell r="S33">
            <v>52.272339778102442</v>
          </cell>
          <cell r="T33">
            <v>65.734334751506765</v>
          </cell>
          <cell r="U33">
            <v>57.187368898656608</v>
          </cell>
          <cell r="V33">
            <v>68.668133646330233</v>
          </cell>
        </row>
        <row r="34">
          <cell r="R34">
            <v>2037</v>
          </cell>
          <cell r="S34">
            <v>52.893802133599024</v>
          </cell>
          <cell r="T34">
            <v>66.908073865760215</v>
          </cell>
          <cell r="U34">
            <v>56.967739296456344</v>
          </cell>
          <cell r="V34">
            <v>72.159430392770204</v>
          </cell>
        </row>
        <row r="35">
          <cell r="R35">
            <v>2038</v>
          </cell>
          <cell r="S35">
            <v>53.681770184915045</v>
          </cell>
          <cell r="T35">
            <v>69.622727814092457</v>
          </cell>
          <cell r="U35">
            <v>60.400565286204795</v>
          </cell>
          <cell r="V35">
            <v>75.478762498615694</v>
          </cell>
        </row>
        <row r="36">
          <cell r="R36">
            <v>2039</v>
          </cell>
          <cell r="S36">
            <v>58.141812338563412</v>
          </cell>
          <cell r="T36">
            <v>68.800797065999319</v>
          </cell>
          <cell r="U36">
            <v>62.845855906751957</v>
          </cell>
          <cell r="V36">
            <v>76.377374975000663</v>
          </cell>
        </row>
        <row r="37">
          <cell r="R37">
            <v>2040</v>
          </cell>
          <cell r="S37">
            <v>62.168563195668206</v>
          </cell>
          <cell r="T37">
            <v>74.433640396679053</v>
          </cell>
          <cell r="U37">
            <v>64.295413777902041</v>
          </cell>
          <cell r="V37">
            <v>80.36993762247748</v>
          </cell>
        </row>
        <row r="38">
          <cell r="R38">
            <v>2041</v>
          </cell>
          <cell r="S38">
            <v>63.566706186918204</v>
          </cell>
          <cell r="T38">
            <v>75.81101176639946</v>
          </cell>
          <cell r="U38">
            <v>65.651114194682151</v>
          </cell>
          <cell r="V38">
            <v>82.436100896952738</v>
          </cell>
        </row>
        <row r="39">
          <cell r="R39">
            <v>2042</v>
          </cell>
          <cell r="S39">
            <v>67.184144135036433</v>
          </cell>
          <cell r="T39">
            <v>79.665088410579685</v>
          </cell>
          <cell r="U39">
            <v>64.203413319703742</v>
          </cell>
          <cell r="V39">
            <v>81.376293224083113</v>
          </cell>
        </row>
        <row r="40">
          <cell r="R40">
            <v>2043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</row>
        <row r="41">
          <cell r="R41">
            <v>2044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</row>
        <row r="42">
          <cell r="R42">
            <v>2045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</row>
        <row r="43">
          <cell r="R43">
            <v>2046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</row>
        <row r="44">
          <cell r="R44">
            <v>2047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(Energy PMT)"/>
      <sheetName val="SourceEnergy"/>
      <sheetName val="MWH-Split"/>
      <sheetName val="Monthly Levelized"/>
      <sheetName val="Monthly Energy Prices"/>
      <sheetName val="Security"/>
      <sheetName val="SecurityCalc"/>
    </sheetNames>
    <sheetDataSet>
      <sheetData sheetId="0"/>
      <sheetData sheetId="1">
        <row r="12">
          <cell r="S12" t="str">
            <v>Winter</v>
          </cell>
          <cell r="T12" t="str">
            <v>Summer</v>
          </cell>
          <cell r="U12" t="str">
            <v>Winter</v>
          </cell>
          <cell r="V12" t="str">
            <v>Summer</v>
          </cell>
        </row>
        <row r="20">
          <cell r="R20">
            <v>2023</v>
          </cell>
          <cell r="S20">
            <v>27.561172103305402</v>
          </cell>
          <cell r="T20">
            <v>53.055832900578864</v>
          </cell>
          <cell r="U20">
            <v>28.346086176311513</v>
          </cell>
          <cell r="V20">
            <v>26.241654670061401</v>
          </cell>
        </row>
        <row r="21">
          <cell r="R21">
            <v>2024</v>
          </cell>
          <cell r="S21">
            <v>27.735893830068406</v>
          </cell>
          <cell r="T21">
            <v>62.357759648594765</v>
          </cell>
          <cell r="U21">
            <v>28.428464968195303</v>
          </cell>
          <cell r="V21">
            <v>27.069633940758976</v>
          </cell>
        </row>
        <row r="22">
          <cell r="R22">
            <v>2025</v>
          </cell>
          <cell r="S22">
            <v>15.617996179163004</v>
          </cell>
          <cell r="T22">
            <v>49.45272393055194</v>
          </cell>
          <cell r="U22">
            <v>18.38208222771582</v>
          </cell>
          <cell r="V22">
            <v>27.101185181374646</v>
          </cell>
        </row>
        <row r="23">
          <cell r="R23">
            <v>2026</v>
          </cell>
          <cell r="S23">
            <v>23.068856476152391</v>
          </cell>
          <cell r="T23">
            <v>46.782022168537978</v>
          </cell>
          <cell r="U23">
            <v>24.078173854209467</v>
          </cell>
          <cell r="V23">
            <v>31.884937445177577</v>
          </cell>
        </row>
        <row r="24">
          <cell r="R24">
            <v>2027</v>
          </cell>
          <cell r="S24">
            <v>28.464914303714274</v>
          </cell>
          <cell r="T24">
            <v>37.635340119057503</v>
          </cell>
          <cell r="U24">
            <v>29.409847824502382</v>
          </cell>
          <cell r="V24">
            <v>35.184261207478265</v>
          </cell>
        </row>
        <row r="25">
          <cell r="R25">
            <v>2028</v>
          </cell>
          <cell r="S25">
            <v>30.458141689086887</v>
          </cell>
          <cell r="T25">
            <v>42.415112660694057</v>
          </cell>
          <cell r="U25">
            <v>32.197559317092932</v>
          </cell>
          <cell r="V25">
            <v>40.488709058220024</v>
          </cell>
        </row>
        <row r="26">
          <cell r="R26">
            <v>2029</v>
          </cell>
          <cell r="S26">
            <v>31.88909122861196</v>
          </cell>
          <cell r="T26">
            <v>44.61005536074407</v>
          </cell>
          <cell r="U26">
            <v>34.374115084101938</v>
          </cell>
          <cell r="V26">
            <v>42.605907950213563</v>
          </cell>
        </row>
        <row r="27">
          <cell r="R27">
            <v>2030</v>
          </cell>
          <cell r="S27">
            <v>31.953276341252703</v>
          </cell>
          <cell r="T27">
            <v>46.270741595093632</v>
          </cell>
          <cell r="U27">
            <v>36.708595662105644</v>
          </cell>
          <cell r="V27">
            <v>44.668670021399194</v>
          </cell>
        </row>
        <row r="28">
          <cell r="R28">
            <v>2031</v>
          </cell>
          <cell r="S28">
            <v>31.606750376879933</v>
          </cell>
          <cell r="T28">
            <v>47.689930858002228</v>
          </cell>
          <cell r="U28">
            <v>36.601839627386788</v>
          </cell>
          <cell r="V28">
            <v>45.767176620784511</v>
          </cell>
        </row>
        <row r="29">
          <cell r="R29">
            <v>2032</v>
          </cell>
          <cell r="S29">
            <v>28.221793573597768</v>
          </cell>
          <cell r="T29">
            <v>40.744888859724625</v>
          </cell>
          <cell r="U29">
            <v>32.420883112842453</v>
          </cell>
          <cell r="V29">
            <v>41.925288889927273</v>
          </cell>
        </row>
        <row r="30">
          <cell r="R30">
            <v>2033</v>
          </cell>
          <cell r="S30">
            <v>30.570508441777395</v>
          </cell>
          <cell r="T30">
            <v>41.635168141041198</v>
          </cell>
          <cell r="U30">
            <v>36.603917790144131</v>
          </cell>
          <cell r="V30">
            <v>49.028189269452248</v>
          </cell>
        </row>
        <row r="31">
          <cell r="R31">
            <v>2034</v>
          </cell>
          <cell r="S31">
            <v>31.428870658269425</v>
          </cell>
          <cell r="T31">
            <v>44.641912617537692</v>
          </cell>
          <cell r="U31">
            <v>37.027243317758412</v>
          </cell>
          <cell r="V31">
            <v>52.477870342164323</v>
          </cell>
        </row>
        <row r="32">
          <cell r="R32">
            <v>2035</v>
          </cell>
          <cell r="S32">
            <v>32.853421515691444</v>
          </cell>
          <cell r="T32">
            <v>47.415834631600127</v>
          </cell>
          <cell r="U32">
            <v>36.36286706737507</v>
          </cell>
          <cell r="V32">
            <v>50.067350656914869</v>
          </cell>
        </row>
        <row r="33">
          <cell r="R33">
            <v>2036</v>
          </cell>
          <cell r="S33">
            <v>34.292217618433156</v>
          </cell>
          <cell r="T33">
            <v>53.230689327766235</v>
          </cell>
          <cell r="U33">
            <v>38.422476830440154</v>
          </cell>
          <cell r="V33">
            <v>54.140784945594199</v>
          </cell>
        </row>
        <row r="34">
          <cell r="R34">
            <v>2037</v>
          </cell>
          <cell r="S34">
            <v>36.860297322069897</v>
          </cell>
          <cell r="T34">
            <v>53.500132828956637</v>
          </cell>
          <cell r="U34">
            <v>40.603703302418921</v>
          </cell>
          <cell r="V34">
            <v>58.173800482121933</v>
          </cell>
        </row>
        <row r="35">
          <cell r="R35">
            <v>2038</v>
          </cell>
          <cell r="S35">
            <v>35.485669741254135</v>
          </cell>
          <cell r="T35">
            <v>54.085961181699048</v>
          </cell>
          <cell r="U35">
            <v>39.527913682283398</v>
          </cell>
          <cell r="V35">
            <v>58.214223551791257</v>
          </cell>
        </row>
        <row r="36">
          <cell r="R36">
            <v>2039</v>
          </cell>
          <cell r="S36">
            <v>38.262653356342682</v>
          </cell>
          <cell r="T36">
            <v>54.296362373516153</v>
          </cell>
          <cell r="U36">
            <v>41.551047665095645</v>
          </cell>
          <cell r="V36">
            <v>60.368702277142305</v>
          </cell>
        </row>
        <row r="37">
          <cell r="R37">
            <v>2040</v>
          </cell>
          <cell r="S37">
            <v>40.312494142665372</v>
          </cell>
          <cell r="T37">
            <v>56.765210131159961</v>
          </cell>
          <cell r="U37">
            <v>40.384751414486232</v>
          </cell>
          <cell r="V37">
            <v>60.408176217851619</v>
          </cell>
        </row>
        <row r="38">
          <cell r="R38">
            <v>2041</v>
          </cell>
          <cell r="S38">
            <v>39.491129736212883</v>
          </cell>
          <cell r="T38">
            <v>60.003479602994503</v>
          </cell>
          <cell r="U38">
            <v>39.988307968152618</v>
          </cell>
          <cell r="V38">
            <v>65.160034810128565</v>
          </cell>
        </row>
        <row r="39">
          <cell r="R39">
            <v>2042</v>
          </cell>
          <cell r="S39">
            <v>39.404593738671942</v>
          </cell>
          <cell r="T39">
            <v>63.897187106903246</v>
          </cell>
          <cell r="U39">
            <v>37.845949591540879</v>
          </cell>
          <cell r="V39">
            <v>64.515591121888647</v>
          </cell>
        </row>
        <row r="40">
          <cell r="R40">
            <v>2043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</row>
        <row r="41">
          <cell r="R41">
            <v>2044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</row>
        <row r="42">
          <cell r="R42">
            <v>2045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</row>
        <row r="43">
          <cell r="R43">
            <v>2046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</row>
        <row r="44">
          <cell r="R44">
            <v>2047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(Energy PMT)"/>
      <sheetName val="SourceEnergy"/>
      <sheetName val="MWH-Split"/>
      <sheetName val="Monthly Levelized"/>
      <sheetName val="Monthly Energy Prices"/>
      <sheetName val="Security"/>
      <sheetName val="SecurityCalc"/>
    </sheetNames>
    <sheetDataSet>
      <sheetData sheetId="0"/>
      <sheetData sheetId="1">
        <row r="12">
          <cell r="S12" t="str">
            <v>Winter</v>
          </cell>
          <cell r="T12" t="str">
            <v>Summer</v>
          </cell>
          <cell r="U12" t="str">
            <v>Winter</v>
          </cell>
          <cell r="V12" t="str">
            <v>Summer</v>
          </cell>
        </row>
        <row r="20">
          <cell r="R20">
            <v>2023</v>
          </cell>
          <cell r="S20">
            <v>29.478511479418959</v>
          </cell>
          <cell r="T20">
            <v>57.342272400495069</v>
          </cell>
          <cell r="U20">
            <v>29.087520111148162</v>
          </cell>
          <cell r="V20">
            <v>27.940522688457271</v>
          </cell>
        </row>
        <row r="21">
          <cell r="R21">
            <v>2024</v>
          </cell>
          <cell r="S21">
            <v>29.52222148246706</v>
          </cell>
          <cell r="T21">
            <v>65.222104005633099</v>
          </cell>
          <cell r="U21">
            <v>30.295804237892039</v>
          </cell>
          <cell r="V21">
            <v>27.449218878430248</v>
          </cell>
        </row>
        <row r="22">
          <cell r="R22">
            <v>2025</v>
          </cell>
          <cell r="S22">
            <v>16.602314556787132</v>
          </cell>
          <cell r="T22">
            <v>50.669635769671274</v>
          </cell>
          <cell r="U22">
            <v>18.923834533554171</v>
          </cell>
          <cell r="V22">
            <v>27.62050058556602</v>
          </cell>
        </row>
        <row r="23">
          <cell r="R23">
            <v>2026</v>
          </cell>
          <cell r="S23">
            <v>29.946314096331346</v>
          </cell>
          <cell r="T23">
            <v>38.027113643124011</v>
          </cell>
          <cell r="U23">
            <v>31.94790172802395</v>
          </cell>
          <cell r="V23">
            <v>26.084070782939442</v>
          </cell>
        </row>
        <row r="24">
          <cell r="R24">
            <v>2027</v>
          </cell>
          <cell r="S24">
            <v>32.583668106507581</v>
          </cell>
          <cell r="T24">
            <v>35.173160155238257</v>
          </cell>
          <cell r="U24">
            <v>33.902654919775792</v>
          </cell>
          <cell r="V24">
            <v>33.449022107731352</v>
          </cell>
        </row>
        <row r="25">
          <cell r="R25">
            <v>2028</v>
          </cell>
          <cell r="S25">
            <v>36.00657247092996</v>
          </cell>
          <cell r="T25">
            <v>38.252312765406927</v>
          </cell>
          <cell r="U25">
            <v>38.409857588437681</v>
          </cell>
          <cell r="V25">
            <v>36.613102946987397</v>
          </cell>
        </row>
        <row r="26">
          <cell r="R26">
            <v>2029</v>
          </cell>
          <cell r="S26">
            <v>38.3593607312648</v>
          </cell>
          <cell r="T26">
            <v>39.084208911578592</v>
          </cell>
          <cell r="U26">
            <v>42.433400097348326</v>
          </cell>
          <cell r="V26">
            <v>37.548228979611615</v>
          </cell>
        </row>
        <row r="27">
          <cell r="R27">
            <v>2030</v>
          </cell>
          <cell r="S27">
            <v>40.093370840568682</v>
          </cell>
          <cell r="T27">
            <v>39.534787075899445</v>
          </cell>
          <cell r="U27">
            <v>46.15999611618102</v>
          </cell>
          <cell r="V27">
            <v>38.119777861011727</v>
          </cell>
        </row>
        <row r="28">
          <cell r="R28">
            <v>2031</v>
          </cell>
          <cell r="S28">
            <v>40.713049209553276</v>
          </cell>
          <cell r="T28">
            <v>40.333070333795121</v>
          </cell>
          <cell r="U28">
            <v>46.817139039115439</v>
          </cell>
          <cell r="V28">
            <v>39.923025118445082</v>
          </cell>
        </row>
        <row r="29">
          <cell r="R29">
            <v>2032</v>
          </cell>
          <cell r="S29">
            <v>35.492189352407792</v>
          </cell>
          <cell r="T29">
            <v>36.977153694661716</v>
          </cell>
          <cell r="U29">
            <v>40.285873963610314</v>
          </cell>
          <cell r="V29">
            <v>38.967083310732313</v>
          </cell>
        </row>
        <row r="30">
          <cell r="R30">
            <v>2033</v>
          </cell>
          <cell r="S30">
            <v>38.350819128566052</v>
          </cell>
          <cell r="T30">
            <v>37.386965615934102</v>
          </cell>
          <cell r="U30">
            <v>45.818871304080432</v>
          </cell>
          <cell r="V30">
            <v>44.735131501062078</v>
          </cell>
        </row>
        <row r="31">
          <cell r="R31">
            <v>2034</v>
          </cell>
          <cell r="S31">
            <v>39.352565903168014</v>
          </cell>
          <cell r="T31">
            <v>39.772431156514791</v>
          </cell>
          <cell r="U31">
            <v>47.01856824875636</v>
          </cell>
          <cell r="V31">
            <v>47.216072562394523</v>
          </cell>
        </row>
        <row r="32">
          <cell r="R32">
            <v>2035</v>
          </cell>
          <cell r="S32">
            <v>41.557232634563313</v>
          </cell>
          <cell r="T32">
            <v>41.553560867483313</v>
          </cell>
          <cell r="U32">
            <v>47.626112978947333</v>
          </cell>
          <cell r="V32">
            <v>44.971846274996985</v>
          </cell>
        </row>
        <row r="33">
          <cell r="R33">
            <v>2036</v>
          </cell>
          <cell r="S33">
            <v>44.319591953395538</v>
          </cell>
          <cell r="T33">
            <v>45.532389587699825</v>
          </cell>
          <cell r="U33">
            <v>49.776370743996615</v>
          </cell>
          <cell r="V33">
            <v>47.840810798091866</v>
          </cell>
        </row>
        <row r="34">
          <cell r="R34">
            <v>2037</v>
          </cell>
          <cell r="S34">
            <v>46.353418588101938</v>
          </cell>
          <cell r="T34">
            <v>47.231589969212791</v>
          </cell>
          <cell r="U34">
            <v>51.186883109329742</v>
          </cell>
          <cell r="V34">
            <v>51.359186971928722</v>
          </cell>
        </row>
        <row r="35">
          <cell r="R35">
            <v>2038</v>
          </cell>
          <cell r="S35">
            <v>45.062483069956755</v>
          </cell>
          <cell r="T35">
            <v>47.76025957737064</v>
          </cell>
          <cell r="U35">
            <v>50.33626515347737</v>
          </cell>
          <cell r="V35">
            <v>52.050138168586308</v>
          </cell>
        </row>
        <row r="36">
          <cell r="R36">
            <v>2039</v>
          </cell>
          <cell r="S36">
            <v>47.901936250189486</v>
          </cell>
          <cell r="T36">
            <v>48.044046680498006</v>
          </cell>
          <cell r="U36">
            <v>52.596894842918864</v>
          </cell>
          <cell r="V36">
            <v>53.492388262412398</v>
          </cell>
        </row>
        <row r="37">
          <cell r="R37">
            <v>2040</v>
          </cell>
          <cell r="S37">
            <v>49.307430277680972</v>
          </cell>
          <cell r="T37">
            <v>51.150754403192742</v>
          </cell>
          <cell r="U37">
            <v>51.613508936005864</v>
          </cell>
          <cell r="V37">
            <v>55.016812552685707</v>
          </cell>
        </row>
        <row r="38">
          <cell r="R38">
            <v>2041</v>
          </cell>
          <cell r="S38">
            <v>50.431701749395344</v>
          </cell>
          <cell r="T38">
            <v>52.160545697065217</v>
          </cell>
          <cell r="U38">
            <v>52.955669389799475</v>
          </cell>
          <cell r="V38">
            <v>56.692507978382345</v>
          </cell>
        </row>
        <row r="39">
          <cell r="R39">
            <v>2042</v>
          </cell>
          <cell r="S39">
            <v>52.004392518731287</v>
          </cell>
          <cell r="T39">
            <v>53.870648006622574</v>
          </cell>
          <cell r="U39">
            <v>51.649422240820329</v>
          </cell>
          <cell r="V39">
            <v>55.066526965175683</v>
          </cell>
        </row>
        <row r="40">
          <cell r="R40">
            <v>2043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</row>
        <row r="41">
          <cell r="R41">
            <v>2044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</row>
        <row r="42">
          <cell r="R42">
            <v>2045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</row>
        <row r="43">
          <cell r="R43">
            <v>2046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</row>
        <row r="44">
          <cell r="R44">
            <v>2047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(Energy PMT)"/>
      <sheetName val="SourceEnergy"/>
      <sheetName val="MWH-Split"/>
      <sheetName val="Monthly Levelized"/>
      <sheetName val="Monthly Energy Prices"/>
      <sheetName val="Security"/>
      <sheetName val="SecurityCalc"/>
    </sheetNames>
    <sheetDataSet>
      <sheetData sheetId="0"/>
      <sheetData sheetId="1">
        <row r="12">
          <cell r="S12" t="str">
            <v>Winter</v>
          </cell>
          <cell r="T12" t="str">
            <v>Summer</v>
          </cell>
          <cell r="U12" t="str">
            <v>Winter</v>
          </cell>
          <cell r="V12" t="str">
            <v>Summer</v>
          </cell>
        </row>
        <row r="20">
          <cell r="R20">
            <v>2023</v>
          </cell>
          <cell r="S20">
            <v>48.390774055212638</v>
          </cell>
          <cell r="T20">
            <v>97.381219666878906</v>
          </cell>
          <cell r="U20">
            <v>48.117704083810679</v>
          </cell>
          <cell r="V20">
            <v>48.148888318618113</v>
          </cell>
        </row>
        <row r="21">
          <cell r="R21">
            <v>2024</v>
          </cell>
          <cell r="S21">
            <v>55.237589218508568</v>
          </cell>
          <cell r="T21">
            <v>117.45106441196488</v>
          </cell>
          <cell r="U21">
            <v>57.118608426810013</v>
          </cell>
          <cell r="V21">
            <v>55.9199570062192</v>
          </cell>
        </row>
        <row r="22">
          <cell r="R22">
            <v>2025</v>
          </cell>
          <cell r="S22">
            <v>36.82440019964379</v>
          </cell>
          <cell r="T22">
            <v>97.362924733669288</v>
          </cell>
          <cell r="U22">
            <v>41.161080586945104</v>
          </cell>
          <cell r="V22">
            <v>54.688930001191238</v>
          </cell>
        </row>
        <row r="23">
          <cell r="R23">
            <v>2026</v>
          </cell>
          <cell r="S23">
            <v>33.815635318953156</v>
          </cell>
          <cell r="T23">
            <v>59.842033882704989</v>
          </cell>
          <cell r="U23">
            <v>35.16690522918789</v>
          </cell>
          <cell r="V23">
            <v>41.877667854603388</v>
          </cell>
        </row>
        <row r="24">
          <cell r="R24">
            <v>2027</v>
          </cell>
          <cell r="S24">
            <v>34.9725666658601</v>
          </cell>
          <cell r="T24">
            <v>42.703076962771874</v>
          </cell>
          <cell r="U24">
            <v>37.404210252720738</v>
          </cell>
          <cell r="V24">
            <v>40.448017972426989</v>
          </cell>
        </row>
        <row r="25">
          <cell r="R25">
            <v>2028</v>
          </cell>
          <cell r="S25">
            <v>34.282474930249393</v>
          </cell>
          <cell r="T25">
            <v>44.197231434900715</v>
          </cell>
          <cell r="U25">
            <v>36.582911960163067</v>
          </cell>
          <cell r="V25">
            <v>42.806103672933396</v>
          </cell>
        </row>
        <row r="26">
          <cell r="R26">
            <v>2029</v>
          </cell>
          <cell r="S26">
            <v>35.209396375293181</v>
          </cell>
          <cell r="T26">
            <v>44.975685857869912</v>
          </cell>
          <cell r="U26">
            <v>39.841747062810292</v>
          </cell>
          <cell r="V26">
            <v>45.16001372957156</v>
          </cell>
        </row>
        <row r="27">
          <cell r="R27">
            <v>2030</v>
          </cell>
          <cell r="S27">
            <v>35.432635389297538</v>
          </cell>
          <cell r="T27">
            <v>45.774131165904016</v>
          </cell>
          <cell r="U27">
            <v>40.780059586360039</v>
          </cell>
          <cell r="V27">
            <v>47.224898463180466</v>
          </cell>
        </row>
        <row r="28">
          <cell r="R28">
            <v>2031</v>
          </cell>
          <cell r="S28">
            <v>36.038644496234227</v>
          </cell>
          <cell r="T28">
            <v>49.466919181433973</v>
          </cell>
          <cell r="U28">
            <v>41.194303842714</v>
          </cell>
          <cell r="V28">
            <v>48.216101004252849</v>
          </cell>
        </row>
        <row r="29">
          <cell r="R29">
            <v>2032</v>
          </cell>
          <cell r="S29">
            <v>33.97978098727463</v>
          </cell>
          <cell r="T29">
            <v>44.340895402543936</v>
          </cell>
          <cell r="U29">
            <v>39.80677607384002</v>
          </cell>
          <cell r="V29">
            <v>46.910839122262018</v>
          </cell>
        </row>
        <row r="30">
          <cell r="R30">
            <v>2033</v>
          </cell>
          <cell r="S30">
            <v>33.389264419943139</v>
          </cell>
          <cell r="T30">
            <v>40.093046611473994</v>
          </cell>
          <cell r="U30">
            <v>39.721939487527621</v>
          </cell>
          <cell r="V30">
            <v>49.441633184625999</v>
          </cell>
        </row>
        <row r="31">
          <cell r="R31">
            <v>2034</v>
          </cell>
          <cell r="S31">
            <v>33.05483180096563</v>
          </cell>
          <cell r="T31">
            <v>41.965509213129266</v>
          </cell>
          <cell r="U31">
            <v>40.021936431585935</v>
          </cell>
          <cell r="V31">
            <v>50.858830624395104</v>
          </cell>
        </row>
        <row r="32">
          <cell r="R32">
            <v>2035</v>
          </cell>
          <cell r="S32">
            <v>34.729013553792853</v>
          </cell>
          <cell r="T32">
            <v>44.975327957471066</v>
          </cell>
          <cell r="U32">
            <v>41.414097502769984</v>
          </cell>
          <cell r="V32">
            <v>50.321269692832374</v>
          </cell>
        </row>
        <row r="33">
          <cell r="R33">
            <v>2036</v>
          </cell>
          <cell r="S33">
            <v>49.304016220877067</v>
          </cell>
          <cell r="T33">
            <v>68.850176423318715</v>
          </cell>
          <cell r="U33">
            <v>54.950323854599425</v>
          </cell>
          <cell r="V33">
            <v>71.189891026017889</v>
          </cell>
        </row>
        <row r="34">
          <cell r="R34">
            <v>2037</v>
          </cell>
          <cell r="S34">
            <v>50.936622042916497</v>
          </cell>
          <cell r="T34">
            <v>65.15611982651015</v>
          </cell>
          <cell r="U34">
            <v>53.986916216386611</v>
          </cell>
          <cell r="V34">
            <v>71.455502499214674</v>
          </cell>
        </row>
        <row r="35">
          <cell r="R35">
            <v>2038</v>
          </cell>
          <cell r="S35">
            <v>49.065793167619077</v>
          </cell>
          <cell r="T35">
            <v>67.810958842458717</v>
          </cell>
          <cell r="U35">
            <v>57.061361342283348</v>
          </cell>
          <cell r="V35">
            <v>75.186064839984155</v>
          </cell>
        </row>
        <row r="36">
          <cell r="R36">
            <v>2039</v>
          </cell>
          <cell r="S36">
            <v>53.748209556443506</v>
          </cell>
          <cell r="T36">
            <v>68.306179420405073</v>
          </cell>
          <cell r="U36">
            <v>59.017119330171973</v>
          </cell>
          <cell r="V36">
            <v>78.43197620696175</v>
          </cell>
        </row>
        <row r="37">
          <cell r="R37">
            <v>2040</v>
          </cell>
          <cell r="S37">
            <v>55.342237337214144</v>
          </cell>
          <cell r="T37">
            <v>70.758563143107679</v>
          </cell>
          <cell r="U37">
            <v>59.949842187128162</v>
          </cell>
          <cell r="V37">
            <v>79.447003439536445</v>
          </cell>
        </row>
        <row r="38">
          <cell r="R38">
            <v>2041</v>
          </cell>
          <cell r="S38">
            <v>56.21418558401021</v>
          </cell>
          <cell r="T38">
            <v>75.807512698874575</v>
          </cell>
          <cell r="U38">
            <v>59.077884745626349</v>
          </cell>
          <cell r="V38">
            <v>84.893419057150368</v>
          </cell>
        </row>
        <row r="39">
          <cell r="R39">
            <v>2042</v>
          </cell>
          <cell r="S39">
            <v>58.249343574976272</v>
          </cell>
          <cell r="T39">
            <v>83.554437246827234</v>
          </cell>
          <cell r="U39">
            <v>56.429564025334628</v>
          </cell>
          <cell r="V39">
            <v>87.543515252244916</v>
          </cell>
        </row>
        <row r="40">
          <cell r="R40">
            <v>2043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</row>
        <row r="41">
          <cell r="R41">
            <v>2044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</row>
        <row r="42">
          <cell r="R42">
            <v>2045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</row>
        <row r="43">
          <cell r="R43">
            <v>2046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</row>
        <row r="44">
          <cell r="R44">
            <v>2047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DOC"/>
      <sheetName val="Appendix B"/>
      <sheetName val="Table 1"/>
      <sheetName val="Table 2"/>
      <sheetName val="Table 3 635 (Wyo)"/>
      <sheetName val="Table 3 477 (WM)"/>
      <sheetName val="Table 3 635 (Ut S)"/>
      <sheetName val="Table 4"/>
      <sheetName val="Table 5"/>
    </sheetNames>
    <sheetDataSet>
      <sheetData sheetId="0" refreshError="1"/>
      <sheetData sheetId="1" refreshError="1"/>
      <sheetData sheetId="2">
        <row r="3">
          <cell r="B3" t="str">
            <v>Table 1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6">
          <cell r="M6">
            <v>80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DOC"/>
      <sheetName val="Comparison"/>
      <sheetName val="Pricing"/>
      <sheetName val="HLB"/>
      <sheetName val="Monthly"/>
      <sheetName val="Cap&amp;Energy"/>
      <sheetName val="CF Difference"/>
      <sheetName val="CostDifferences"/>
      <sheetName val="DollarBreakdown"/>
      <sheetName val="Summary"/>
    </sheetNames>
    <sheetDataSet>
      <sheetData sheetId="0" refreshError="1"/>
      <sheetData sheetId="1">
        <row r="33">
          <cell r="M33">
            <v>6.6600000000000006E-2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LB"/>
      <sheetName val="Table 1 Portfolio"/>
      <sheetName val="Table 2 QF Queue"/>
      <sheetName val="Table 3 Comparison"/>
      <sheetName val="Table 4 Gas Price"/>
      <sheetName val=" Table 5 Electric Price"/>
      <sheetName val="Table 6 Integration"/>
      <sheetName val="--- Do Not Print ---&gt;"/>
      <sheetName val="Tariff Page"/>
      <sheetName val="Tariff Page Solar Fixed"/>
      <sheetName val="Tariff Page Solar Tracking"/>
      <sheetName val="Tariff Page Wind"/>
      <sheetName val="OFPC Sourc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F Study"/>
      <sheetName val="QF_Names"/>
      <sheetName val="Queue"/>
      <sheetName val="WeeklyReport"/>
      <sheetName val="Degradation"/>
      <sheetName val="Location"/>
      <sheetName val="2017 QF Pricing Request Study L"/>
    </sheetNames>
    <definedNames>
      <definedName name="Active_CF" refersTo="='QF_Names'!$E$4:$E$102"/>
      <definedName name="Active_Deg_Method" refersTo="='QF_Names'!$N$4:$N$102"/>
      <definedName name="Active_Deg_Rate" refersTo="='QF_Names'!$M$4:$M$102"/>
      <definedName name="Active_Delivery_Point" refersTo="='QF_Names'!$C$4:$C$102"/>
      <definedName name="Active_MW" refersTo="='QF_Names'!$D$4:$D$102"/>
      <definedName name="Active_Name_Conf" refersTo="='QF_Names'!$A$4:$A$102"/>
      <definedName name="Active_Online" refersTo="='QF_Names'!$F$4:$F$102"/>
      <definedName name="Active_QF_Name" refersTo="='QF_Names'!$B$4:$B$102"/>
      <definedName name="Active_QF_Queue_Date" refersTo="='QF_Names'!$L$4:$L$102"/>
      <definedName name="Active_Status" refersTo="='QF_Names'!$K$4:$K$102"/>
    </definedNames>
    <sheetDataSet>
      <sheetData sheetId="0"/>
      <sheetData sheetId="1">
        <row r="4">
          <cell r="A4" t="str">
            <v>Pryor Caves Wind</v>
          </cell>
          <cell r="B4" t="str">
            <v>QF - 245 - WY - Wind</v>
          </cell>
          <cell r="C4" t="str">
            <v>Wyoming Northeast</v>
          </cell>
          <cell r="D4">
            <v>80</v>
          </cell>
          <cell r="E4">
            <v>0.44888127853881277</v>
          </cell>
          <cell r="F4">
            <v>43405</v>
          </cell>
          <cell r="K4" t="str">
            <v>Active</v>
          </cell>
          <cell r="L4">
            <v>42419.695138888892</v>
          </cell>
          <cell r="M4">
            <v>0</v>
          </cell>
          <cell r="N4" t="str">
            <v>First Year</v>
          </cell>
        </row>
        <row r="5">
          <cell r="A5" t="str">
            <v>Horse Thief Wind</v>
          </cell>
          <cell r="B5" t="str">
            <v>QF - 246 - WY - Wind</v>
          </cell>
          <cell r="C5" t="str">
            <v>Wyoming Northeast</v>
          </cell>
          <cell r="D5">
            <v>80</v>
          </cell>
          <cell r="E5">
            <v>0.4201084474885845</v>
          </cell>
          <cell r="F5">
            <v>43405</v>
          </cell>
          <cell r="K5" t="str">
            <v>Active</v>
          </cell>
          <cell r="L5">
            <v>42419.695138888892</v>
          </cell>
          <cell r="M5">
            <v>0</v>
          </cell>
          <cell r="N5" t="str">
            <v>First Year</v>
          </cell>
        </row>
        <row r="6">
          <cell r="A6" t="str">
            <v>Mud Springs Wind</v>
          </cell>
          <cell r="B6" t="str">
            <v>QF - 247 - WY - Wind</v>
          </cell>
          <cell r="C6" t="str">
            <v>Wyoming Northeast</v>
          </cell>
          <cell r="D6">
            <v>80</v>
          </cell>
          <cell r="E6">
            <v>0.37412813926940641</v>
          </cell>
          <cell r="F6">
            <v>43405</v>
          </cell>
          <cell r="K6" t="str">
            <v>Active</v>
          </cell>
          <cell r="L6">
            <v>42419.695138888892</v>
          </cell>
          <cell r="M6">
            <v>0</v>
          </cell>
          <cell r="N6" t="str">
            <v>First Year</v>
          </cell>
        </row>
        <row r="7">
          <cell r="A7" t="str">
            <v>Grass Butte Solar</v>
          </cell>
          <cell r="B7" t="str">
            <v>QF - 249 - OR - Solar</v>
          </cell>
          <cell r="C7" t="str">
            <v>Central Oregon</v>
          </cell>
          <cell r="D7">
            <v>40</v>
          </cell>
          <cell r="E7">
            <v>0.29103767123287672</v>
          </cell>
          <cell r="F7">
            <v>43100</v>
          </cell>
          <cell r="K7" t="str">
            <v>Active</v>
          </cell>
          <cell r="L7">
            <v>42452.393750000003</v>
          </cell>
          <cell r="M7">
            <v>5.0000000000000001E-3</v>
          </cell>
          <cell r="N7" t="str">
            <v>First Year</v>
          </cell>
        </row>
        <row r="8">
          <cell r="A8" t="str">
            <v>Glen Canyon A Solar</v>
          </cell>
          <cell r="B8" t="str">
            <v>QF - 256 - UT - Solar</v>
          </cell>
          <cell r="C8" t="str">
            <v>PP-GC</v>
          </cell>
          <cell r="D8">
            <v>68</v>
          </cell>
          <cell r="E8">
            <v>0.32312986838571045</v>
          </cell>
          <cell r="F8">
            <v>43647</v>
          </cell>
          <cell r="K8" t="str">
            <v>Active</v>
          </cell>
          <cell r="L8">
            <v>42514.577777777777</v>
          </cell>
          <cell r="M8">
            <v>5.0000000000000001E-3</v>
          </cell>
          <cell r="N8" t="str">
            <v>Prior Year</v>
          </cell>
        </row>
        <row r="9">
          <cell r="A9" t="str">
            <v>Sage I Solar</v>
          </cell>
          <cell r="B9" t="str">
            <v>QF - 277 - WY - Solar</v>
          </cell>
          <cell r="C9" t="str">
            <v>Trona</v>
          </cell>
          <cell r="D9">
            <v>20</v>
          </cell>
          <cell r="E9">
            <v>0.28240833333333337</v>
          </cell>
          <cell r="F9">
            <v>43739</v>
          </cell>
          <cell r="K9" t="str">
            <v>Active</v>
          </cell>
          <cell r="L9">
            <v>42564.390972222223</v>
          </cell>
          <cell r="M9">
            <v>6.0000000000000001E-3</v>
          </cell>
          <cell r="N9" t="str">
            <v>First Year</v>
          </cell>
        </row>
        <row r="10">
          <cell r="A10" t="str">
            <v>Sage II Solar</v>
          </cell>
          <cell r="B10" t="str">
            <v>QF - 278 - WY - Solar</v>
          </cell>
          <cell r="C10" t="str">
            <v>Trona</v>
          </cell>
          <cell r="D10">
            <v>20</v>
          </cell>
          <cell r="E10">
            <v>0.28240833333333337</v>
          </cell>
          <cell r="F10">
            <v>43739</v>
          </cell>
          <cell r="K10" t="str">
            <v>Active</v>
          </cell>
          <cell r="L10">
            <v>42564.390972222223</v>
          </cell>
          <cell r="M10">
            <v>6.0000000000000001E-3</v>
          </cell>
          <cell r="N10" t="str">
            <v>First Year</v>
          </cell>
        </row>
        <row r="11">
          <cell r="A11" t="str">
            <v>Sparrow Solar</v>
          </cell>
          <cell r="B11" t="str">
            <v>QF - 279 - OR - Solar</v>
          </cell>
          <cell r="C11" t="str">
            <v>West Main</v>
          </cell>
          <cell r="D11">
            <v>40</v>
          </cell>
          <cell r="E11">
            <v>0.30979452054794521</v>
          </cell>
          <cell r="F11">
            <v>43281</v>
          </cell>
          <cell r="K11" t="str">
            <v>Active</v>
          </cell>
          <cell r="L11">
            <v>42580.675000000003</v>
          </cell>
          <cell r="M11">
            <v>5.0000000000000001E-3</v>
          </cell>
          <cell r="N11" t="str">
            <v>Prior Year</v>
          </cell>
        </row>
        <row r="12">
          <cell r="A12" t="str">
            <v>Ochoco Solar</v>
          </cell>
          <cell r="B12" t="str">
            <v>QF - 280 - OR - Solar</v>
          </cell>
          <cell r="C12" t="str">
            <v>Central Oregon</v>
          </cell>
          <cell r="D12">
            <v>40</v>
          </cell>
          <cell r="E12">
            <v>0.2791238584474886</v>
          </cell>
          <cell r="F12">
            <v>43435</v>
          </cell>
          <cell r="K12" t="str">
            <v>Active</v>
          </cell>
          <cell r="L12">
            <v>42580.675000000003</v>
          </cell>
          <cell r="M12">
            <v>5.0000000000000001E-3</v>
          </cell>
          <cell r="N12" t="str">
            <v>Prior Year</v>
          </cell>
        </row>
        <row r="13">
          <cell r="A13" t="str">
            <v>Ringtail Solar</v>
          </cell>
          <cell r="B13" t="str">
            <v>QF - 281 - OR - Solar</v>
          </cell>
          <cell r="C13" t="str">
            <v>West Main</v>
          </cell>
          <cell r="D13">
            <v>40</v>
          </cell>
          <cell r="E13">
            <v>0.24543093607305935</v>
          </cell>
          <cell r="F13">
            <v>43435</v>
          </cell>
          <cell r="K13" t="str">
            <v>Active</v>
          </cell>
          <cell r="L13">
            <v>42580.683333333334</v>
          </cell>
          <cell r="M13">
            <v>5.0000000000000001E-3</v>
          </cell>
          <cell r="N13" t="str">
            <v>Prior Year</v>
          </cell>
        </row>
        <row r="14">
          <cell r="A14" t="str">
            <v>Riverton PV1 Solar</v>
          </cell>
          <cell r="B14" t="str">
            <v>QF - 282 - WY - Solar</v>
          </cell>
          <cell r="C14" t="str">
            <v>Wyoming Northeast</v>
          </cell>
          <cell r="D14">
            <v>74.900000000000006</v>
          </cell>
          <cell r="E14">
            <v>0.30612898628917706</v>
          </cell>
          <cell r="F14">
            <v>43160</v>
          </cell>
          <cell r="K14" t="str">
            <v>Active</v>
          </cell>
          <cell r="L14">
            <v>42585.531944444447</v>
          </cell>
          <cell r="M14">
            <v>5.0000000000000001E-3</v>
          </cell>
          <cell r="N14" t="str">
            <v>Prior Year</v>
          </cell>
        </row>
        <row r="15">
          <cell r="A15" t="str">
            <v>Oregon Potential Solar</v>
          </cell>
          <cell r="B15" t="str">
            <v>QF - 284 - OR - Solar</v>
          </cell>
          <cell r="C15" t="str">
            <v>Central Oregon</v>
          </cell>
          <cell r="D15">
            <v>17.97</v>
          </cell>
          <cell r="E15">
            <v>0.25991088505834109</v>
          </cell>
          <cell r="F15">
            <v>43101</v>
          </cell>
          <cell r="K15" t="str">
            <v>Active</v>
          </cell>
          <cell r="L15">
            <v>42675</v>
          </cell>
          <cell r="M15">
            <v>5.1666666666666666E-3</v>
          </cell>
          <cell r="N15" t="str">
            <v>Prior Year</v>
          </cell>
        </row>
        <row r="16">
          <cell r="A16" t="str">
            <v>Boswell Springs I Wind</v>
          </cell>
          <cell r="B16" t="str">
            <v>QF - 285 - WY - Wind</v>
          </cell>
          <cell r="C16" t="str">
            <v>Wyoming Northeast</v>
          </cell>
          <cell r="D16">
            <v>80</v>
          </cell>
          <cell r="E16">
            <v>0.40697345890410958</v>
          </cell>
          <cell r="F16">
            <v>43465</v>
          </cell>
          <cell r="K16" t="str">
            <v>Active</v>
          </cell>
          <cell r="L16">
            <v>42594</v>
          </cell>
          <cell r="M16">
            <v>0</v>
          </cell>
          <cell r="N16" t="str">
            <v>First Year</v>
          </cell>
        </row>
        <row r="17">
          <cell r="A17" t="str">
            <v>Boswell Springs II Wind</v>
          </cell>
          <cell r="B17" t="str">
            <v>QF - 286 - WY - Wind</v>
          </cell>
          <cell r="C17" t="str">
            <v>Wyoming Northeast</v>
          </cell>
          <cell r="D17">
            <v>80</v>
          </cell>
          <cell r="E17">
            <v>0.40697345890410958</v>
          </cell>
          <cell r="F17">
            <v>43465</v>
          </cell>
          <cell r="K17" t="str">
            <v>Active</v>
          </cell>
          <cell r="L17">
            <v>42594</v>
          </cell>
          <cell r="M17">
            <v>0</v>
          </cell>
          <cell r="N17" t="str">
            <v>First Year</v>
          </cell>
        </row>
        <row r="18">
          <cell r="A18" t="str">
            <v>Boswell Springs III Wind</v>
          </cell>
          <cell r="B18" t="str">
            <v>QF - 287 - WY - Wind</v>
          </cell>
          <cell r="C18" t="str">
            <v>Wyoming Northeast</v>
          </cell>
          <cell r="D18">
            <v>80</v>
          </cell>
          <cell r="E18">
            <v>0.40697345890410958</v>
          </cell>
          <cell r="F18">
            <v>43465</v>
          </cell>
          <cell r="K18" t="str">
            <v>Active</v>
          </cell>
          <cell r="L18">
            <v>42594</v>
          </cell>
          <cell r="M18">
            <v>0</v>
          </cell>
          <cell r="N18" t="str">
            <v>First Year</v>
          </cell>
        </row>
        <row r="19">
          <cell r="A19" t="str">
            <v>Boswell Springs IV Wind</v>
          </cell>
          <cell r="B19" t="str">
            <v>QF - 288 - WY - Wind</v>
          </cell>
          <cell r="C19" t="str">
            <v>Wyoming Northeast</v>
          </cell>
          <cell r="D19">
            <v>80</v>
          </cell>
          <cell r="E19">
            <v>0.40697345890410958</v>
          </cell>
          <cell r="F19">
            <v>43465</v>
          </cell>
          <cell r="K19" t="str">
            <v>Active</v>
          </cell>
          <cell r="L19">
            <v>42594</v>
          </cell>
          <cell r="M19">
            <v>0</v>
          </cell>
          <cell r="N19" t="str">
            <v>First Year</v>
          </cell>
        </row>
        <row r="20">
          <cell r="A20" t="str">
            <v>Fremont Solar</v>
          </cell>
          <cell r="B20" t="str">
            <v>QF - 289 - UT - Solar</v>
          </cell>
          <cell r="C20" t="str">
            <v>Utah South</v>
          </cell>
          <cell r="D20">
            <v>80</v>
          </cell>
          <cell r="E20">
            <v>0.31172945205479452</v>
          </cell>
          <cell r="F20">
            <v>43435</v>
          </cell>
          <cell r="K20" t="str">
            <v>Active</v>
          </cell>
          <cell r="L20">
            <v>42620.643623379598</v>
          </cell>
          <cell r="M20">
            <v>7.4999999999999997E-3</v>
          </cell>
          <cell r="N20" t="str">
            <v>Prior Year</v>
          </cell>
        </row>
        <row r="21">
          <cell r="A21" t="str">
            <v>Milford Solar</v>
          </cell>
          <cell r="B21" t="str">
            <v>QF - 290 - UT - Solar</v>
          </cell>
          <cell r="C21" t="str">
            <v>Utah South</v>
          </cell>
          <cell r="D21">
            <v>80</v>
          </cell>
          <cell r="E21">
            <v>0.31513555936073057</v>
          </cell>
          <cell r="F21">
            <v>43435</v>
          </cell>
          <cell r="K21" t="str">
            <v>Active</v>
          </cell>
          <cell r="L21">
            <v>42620.643623379598</v>
          </cell>
          <cell r="M21">
            <v>7.4999999999999997E-3</v>
          </cell>
          <cell r="N21" t="str">
            <v>Prior Year</v>
          </cell>
        </row>
        <row r="22">
          <cell r="A22" t="str">
            <v>Rush Lake Solar</v>
          </cell>
          <cell r="B22" t="str">
            <v>QF - 291 - UT - Solar</v>
          </cell>
          <cell r="C22" t="str">
            <v>Utah South</v>
          </cell>
          <cell r="D22">
            <v>80</v>
          </cell>
          <cell r="E22">
            <v>0.31859446347031961</v>
          </cell>
          <cell r="F22">
            <v>43435</v>
          </cell>
          <cell r="K22" t="str">
            <v>Active</v>
          </cell>
          <cell r="L22">
            <v>42620.643623379598</v>
          </cell>
          <cell r="M22">
            <v>7.4999999999999997E-3</v>
          </cell>
          <cell r="N22" t="str">
            <v>Prior Year</v>
          </cell>
        </row>
        <row r="23">
          <cell r="A23" t="str">
            <v xml:space="preserve">Tableland Solar </v>
          </cell>
          <cell r="B23" t="str">
            <v>QF - 292 - OR - Solar</v>
          </cell>
          <cell r="C23" t="str">
            <v>West Main</v>
          </cell>
          <cell r="D23">
            <v>40</v>
          </cell>
          <cell r="E23">
            <v>0.28310787671232879</v>
          </cell>
          <cell r="F23">
            <v>43830</v>
          </cell>
          <cell r="K23" t="str">
            <v>Active</v>
          </cell>
          <cell r="L23">
            <v>42634.526388888888</v>
          </cell>
          <cell r="M23">
            <v>5.0000000000000001E-3</v>
          </cell>
          <cell r="N23" t="str">
            <v>First Year</v>
          </cell>
        </row>
        <row r="24">
          <cell r="A24" t="str">
            <v>Ponderosa Solar</v>
          </cell>
          <cell r="B24" t="str">
            <v>QF - 293 - OR - Solar</v>
          </cell>
          <cell r="C24" t="str">
            <v>Central Oregon</v>
          </cell>
          <cell r="D24">
            <v>50</v>
          </cell>
          <cell r="E24">
            <v>0.26696347031963469</v>
          </cell>
          <cell r="F24">
            <v>43830</v>
          </cell>
          <cell r="K24" t="str">
            <v>Active</v>
          </cell>
          <cell r="L24">
            <v>42634.526388888888</v>
          </cell>
          <cell r="M24">
            <v>5.0000000000000001E-3</v>
          </cell>
          <cell r="N24" t="str">
            <v>First Year</v>
          </cell>
        </row>
        <row r="25">
          <cell r="A25" t="str">
            <v>Hornet PV1 Solar</v>
          </cell>
          <cell r="B25" t="str">
            <v>QF - 300 - OR - Solar</v>
          </cell>
          <cell r="C25" t="str">
            <v>West Main</v>
          </cell>
          <cell r="D25">
            <v>15</v>
          </cell>
          <cell r="E25">
            <v>0.29340182648401825</v>
          </cell>
          <cell r="F25">
            <v>43435</v>
          </cell>
          <cell r="K25" t="str">
            <v>Active</v>
          </cell>
          <cell r="L25">
            <v>42649.5</v>
          </cell>
          <cell r="M25">
            <v>5.0000000000000001E-3</v>
          </cell>
          <cell r="N25" t="str">
            <v>Prior Year</v>
          </cell>
        </row>
        <row r="26">
          <cell r="A26" t="str">
            <v>Ft. Klamath PV1 Solar</v>
          </cell>
          <cell r="B26" t="str">
            <v>QF - 301 - OR - Solar</v>
          </cell>
          <cell r="C26" t="str">
            <v>West Main</v>
          </cell>
          <cell r="D26">
            <v>45</v>
          </cell>
          <cell r="E26">
            <v>0.28835109081684424</v>
          </cell>
          <cell r="F26">
            <v>43435</v>
          </cell>
          <cell r="K26" t="str">
            <v>Active</v>
          </cell>
          <cell r="L26">
            <v>42649.5</v>
          </cell>
          <cell r="M26">
            <v>5.0000000000000001E-3</v>
          </cell>
          <cell r="N26" t="str">
            <v>Prior Year</v>
          </cell>
        </row>
        <row r="27">
          <cell r="A27" t="str">
            <v>Sage III Solar</v>
          </cell>
          <cell r="B27" t="str">
            <v>QF - 302 - WY - Solar</v>
          </cell>
          <cell r="C27" t="str">
            <v>Trona</v>
          </cell>
          <cell r="D27">
            <v>16</v>
          </cell>
          <cell r="E27">
            <v>0.29317208904109587</v>
          </cell>
          <cell r="F27">
            <v>43739</v>
          </cell>
          <cell r="K27" t="str">
            <v>Active</v>
          </cell>
          <cell r="L27">
            <v>42650.347916666666</v>
          </cell>
          <cell r="M27">
            <v>6.0000000000000001E-3</v>
          </cell>
          <cell r="N27" t="str">
            <v>First Year</v>
          </cell>
        </row>
        <row r="28">
          <cell r="A28" t="str">
            <v>Dinosolar 1 Solar</v>
          </cell>
          <cell r="B28" t="str">
            <v>QF - 304 - WY - Solar</v>
          </cell>
          <cell r="C28" t="str">
            <v>Wyoming Northeast</v>
          </cell>
          <cell r="D28">
            <v>30</v>
          </cell>
          <cell r="E28">
            <v>0.27404870624048705</v>
          </cell>
          <cell r="F28">
            <v>43646</v>
          </cell>
          <cell r="K28" t="str">
            <v>Active</v>
          </cell>
          <cell r="L28">
            <v>42657.375</v>
          </cell>
          <cell r="M28">
            <v>5.0000000000000001E-3</v>
          </cell>
          <cell r="N28" t="str">
            <v>Prior Year</v>
          </cell>
        </row>
        <row r="29">
          <cell r="A29" t="str">
            <v>Dinosolar 2 Solar</v>
          </cell>
          <cell r="B29" t="str">
            <v>QF - 305 - WY - Solar</v>
          </cell>
          <cell r="C29" t="str">
            <v>Wyoming Northeast</v>
          </cell>
          <cell r="D29">
            <v>80</v>
          </cell>
          <cell r="E29">
            <v>0.27414526255707761</v>
          </cell>
          <cell r="F29">
            <v>43646</v>
          </cell>
          <cell r="K29" t="str">
            <v>Active</v>
          </cell>
          <cell r="L29">
            <v>42657.375</v>
          </cell>
          <cell r="M29">
            <v>5.0000000000000001E-3</v>
          </cell>
          <cell r="N29" t="str">
            <v>Prior Year</v>
          </cell>
        </row>
        <row r="30">
          <cell r="A30" t="str">
            <v>Rock Creek I Wind</v>
          </cell>
          <cell r="B30" t="str">
            <v>QF - 308 - WY - Wind</v>
          </cell>
          <cell r="C30" t="str">
            <v>Wyoming Northeast</v>
          </cell>
          <cell r="D30">
            <v>80</v>
          </cell>
          <cell r="E30">
            <v>0.46554223744292239</v>
          </cell>
          <cell r="F30">
            <v>43831</v>
          </cell>
          <cell r="K30" t="str">
            <v>Active</v>
          </cell>
          <cell r="L30">
            <v>42668.607638888891</v>
          </cell>
          <cell r="M30">
            <v>0</v>
          </cell>
          <cell r="N30" t="str">
            <v>First Year</v>
          </cell>
        </row>
        <row r="31">
          <cell r="A31" t="str">
            <v>Rock Creek II Wind</v>
          </cell>
          <cell r="B31" t="str">
            <v>QF - 309 - WY - Wind</v>
          </cell>
          <cell r="C31" t="str">
            <v>Wyoming Northeast</v>
          </cell>
          <cell r="D31">
            <v>80</v>
          </cell>
          <cell r="E31">
            <v>0.46554223744292239</v>
          </cell>
          <cell r="F31">
            <v>43831</v>
          </cell>
          <cell r="K31" t="str">
            <v>Active</v>
          </cell>
          <cell r="L31">
            <v>42668.607638888891</v>
          </cell>
          <cell r="M31">
            <v>0</v>
          </cell>
          <cell r="N31" t="str">
            <v>First Year</v>
          </cell>
        </row>
        <row r="32">
          <cell r="A32" t="str">
            <v>Rock Creek III Wind</v>
          </cell>
          <cell r="B32" t="str">
            <v>QF - 310 - WY - Wind</v>
          </cell>
          <cell r="C32" t="str">
            <v>Wyoming Northeast</v>
          </cell>
          <cell r="D32">
            <v>80</v>
          </cell>
          <cell r="E32">
            <v>0.46554223744292239</v>
          </cell>
          <cell r="F32">
            <v>43831</v>
          </cell>
          <cell r="K32" t="str">
            <v>Active</v>
          </cell>
          <cell r="L32">
            <v>42668.607638888891</v>
          </cell>
          <cell r="M32">
            <v>0</v>
          </cell>
          <cell r="N32" t="str">
            <v>First Year</v>
          </cell>
        </row>
        <row r="33">
          <cell r="A33" t="str">
            <v>Rock Creek IV Wind</v>
          </cell>
          <cell r="B33" t="str">
            <v>QF - 311 - WY - Wind</v>
          </cell>
          <cell r="C33" t="str">
            <v>Wyoming Northeast</v>
          </cell>
          <cell r="D33">
            <v>40</v>
          </cell>
          <cell r="E33">
            <v>0.46554223744292239</v>
          </cell>
          <cell r="F33">
            <v>43831</v>
          </cell>
          <cell r="K33" t="str">
            <v>Active</v>
          </cell>
          <cell r="L33">
            <v>42668.607638888891</v>
          </cell>
          <cell r="M33">
            <v>0</v>
          </cell>
          <cell r="N33" t="str">
            <v>First Year</v>
          </cell>
        </row>
        <row r="34">
          <cell r="A34" t="str">
            <v>Faraday II Solar</v>
          </cell>
          <cell r="B34" t="str">
            <v>QF - 313 - UT - Solar</v>
          </cell>
          <cell r="C34" t="str">
            <v>Clover</v>
          </cell>
          <cell r="D34">
            <v>80</v>
          </cell>
          <cell r="E34">
            <v>0.2962956621004566</v>
          </cell>
          <cell r="F34">
            <v>43800</v>
          </cell>
          <cell r="K34" t="str">
            <v>Active</v>
          </cell>
          <cell r="L34">
            <v>42676.605555555558</v>
          </cell>
          <cell r="M34">
            <v>5.0000000000000001E-3</v>
          </cell>
          <cell r="N34" t="str">
            <v>Prior Year</v>
          </cell>
        </row>
        <row r="35">
          <cell r="A35" t="str">
            <v>Faraday IV Solar</v>
          </cell>
          <cell r="B35" t="str">
            <v>QF - 315 - UT - Solar</v>
          </cell>
          <cell r="C35" t="str">
            <v>Clover</v>
          </cell>
          <cell r="D35">
            <v>80</v>
          </cell>
          <cell r="E35">
            <v>0.2962956621004566</v>
          </cell>
          <cell r="F35">
            <v>43800</v>
          </cell>
          <cell r="K35" t="str">
            <v>Active</v>
          </cell>
          <cell r="L35">
            <v>42676.605555555558</v>
          </cell>
          <cell r="M35">
            <v>5.0000000000000001E-3</v>
          </cell>
          <cell r="N35" t="str">
            <v>Prior Year</v>
          </cell>
        </row>
        <row r="36">
          <cell r="A36" t="str">
            <v>Faraday VI Solar</v>
          </cell>
          <cell r="B36" t="str">
            <v>QF - 317 - UT - Solar</v>
          </cell>
          <cell r="C36" t="str">
            <v>Clover</v>
          </cell>
          <cell r="D36">
            <v>80</v>
          </cell>
          <cell r="E36">
            <v>0.2962956621004566</v>
          </cell>
          <cell r="F36">
            <v>43800</v>
          </cell>
          <cell r="K36" t="str">
            <v>Active</v>
          </cell>
          <cell r="L36">
            <v>42676.605555555558</v>
          </cell>
          <cell r="M36">
            <v>5.0000000000000001E-3</v>
          </cell>
          <cell r="N36" t="str">
            <v>Prior Year</v>
          </cell>
        </row>
        <row r="37">
          <cell r="A37" t="str">
            <v>Faraday VIII Solar</v>
          </cell>
          <cell r="B37" t="str">
            <v>QF - 319 - UT - Solar</v>
          </cell>
          <cell r="C37" t="str">
            <v>Clover</v>
          </cell>
          <cell r="D37">
            <v>80</v>
          </cell>
          <cell r="E37">
            <v>0.2962956621004566</v>
          </cell>
          <cell r="F37">
            <v>43800</v>
          </cell>
          <cell r="K37" t="str">
            <v>Active</v>
          </cell>
          <cell r="L37">
            <v>42676.605555555558</v>
          </cell>
          <cell r="M37">
            <v>5.0000000000000001E-3</v>
          </cell>
          <cell r="N37" t="str">
            <v>Prior Year</v>
          </cell>
        </row>
        <row r="38">
          <cell r="A38" t="str">
            <v>Faraday X Solar</v>
          </cell>
          <cell r="B38" t="str">
            <v>QF - 321 - UT - Solar</v>
          </cell>
          <cell r="C38" t="str">
            <v>Clover</v>
          </cell>
          <cell r="D38">
            <v>80</v>
          </cell>
          <cell r="E38">
            <v>0.2962956621004566</v>
          </cell>
          <cell r="F38">
            <v>43800</v>
          </cell>
          <cell r="K38" t="str">
            <v>Active</v>
          </cell>
          <cell r="L38">
            <v>42676.605555555558</v>
          </cell>
          <cell r="M38">
            <v>5.0000000000000001E-3</v>
          </cell>
          <cell r="N38" t="str">
            <v>Prior Year</v>
          </cell>
        </row>
        <row r="39">
          <cell r="A39" t="str">
            <v>Faraday XII Solar</v>
          </cell>
          <cell r="B39" t="str">
            <v>QF - 323 - UT - Solar</v>
          </cell>
          <cell r="C39" t="str">
            <v>Clover</v>
          </cell>
          <cell r="D39">
            <v>80</v>
          </cell>
          <cell r="E39">
            <v>0.2962956621004566</v>
          </cell>
          <cell r="F39">
            <v>43800</v>
          </cell>
          <cell r="K39" t="str">
            <v>Active</v>
          </cell>
          <cell r="L39">
            <v>42676.605555555558</v>
          </cell>
          <cell r="M39">
            <v>5.0000000000000001E-3</v>
          </cell>
          <cell r="N39" t="str">
            <v>Prior Year</v>
          </cell>
        </row>
        <row r="40">
          <cell r="A40" t="str">
            <v>Faraday XIV Solar</v>
          </cell>
          <cell r="B40" t="str">
            <v>QF - 325 - UT - Solar</v>
          </cell>
          <cell r="C40" t="str">
            <v>Clover</v>
          </cell>
          <cell r="D40">
            <v>80</v>
          </cell>
          <cell r="E40">
            <v>0.2962956621004566</v>
          </cell>
          <cell r="F40">
            <v>43800</v>
          </cell>
          <cell r="K40" t="str">
            <v>Active</v>
          </cell>
          <cell r="L40">
            <v>42676.605555555558</v>
          </cell>
          <cell r="M40">
            <v>5.0000000000000001E-3</v>
          </cell>
          <cell r="N40" t="str">
            <v>Prior Year</v>
          </cell>
        </row>
        <row r="41">
          <cell r="A41" t="str">
            <v>Glen Canyon B Solar</v>
          </cell>
          <cell r="B41" t="str">
            <v>QF - 326 - UT - Solar</v>
          </cell>
          <cell r="C41" t="str">
            <v>PP-GC</v>
          </cell>
          <cell r="D41">
            <v>21</v>
          </cell>
          <cell r="E41">
            <v>0.3490215264187867</v>
          </cell>
          <cell r="F41">
            <v>43800</v>
          </cell>
          <cell r="K41" t="str">
            <v>Active</v>
          </cell>
          <cell r="L41">
            <v>42684</v>
          </cell>
          <cell r="M41">
            <v>5.0000000000000001E-3</v>
          </cell>
          <cell r="N41" t="str">
            <v>Prior Year</v>
          </cell>
        </row>
        <row r="42">
          <cell r="A42" t="str">
            <v>Hornet PV2 Solar</v>
          </cell>
          <cell r="B42" t="str">
            <v>QF - 327 - OR - Solar</v>
          </cell>
          <cell r="C42" t="str">
            <v>West Main</v>
          </cell>
          <cell r="D42">
            <v>8</v>
          </cell>
          <cell r="E42">
            <v>0.28451753710045663</v>
          </cell>
          <cell r="F42">
            <v>43435</v>
          </cell>
          <cell r="K42" t="str">
            <v>Active</v>
          </cell>
          <cell r="L42">
            <v>42692.344444444447</v>
          </cell>
          <cell r="M42">
            <v>5.0000000000000001E-3</v>
          </cell>
          <cell r="N42" t="str">
            <v>Prior Year</v>
          </cell>
        </row>
        <row r="43">
          <cell r="A43" t="str">
            <v>Hornet PV1-3 Solar</v>
          </cell>
          <cell r="B43" t="str">
            <v>QF - 328 - OR - Solar</v>
          </cell>
          <cell r="C43" t="str">
            <v>West Main</v>
          </cell>
          <cell r="D43">
            <v>46</v>
          </cell>
          <cell r="E43">
            <v>0.28746024171133611</v>
          </cell>
          <cell r="F43">
            <v>43435</v>
          </cell>
          <cell r="K43" t="str">
            <v>Active</v>
          </cell>
          <cell r="L43">
            <v>42692.344444444447</v>
          </cell>
          <cell r="M43">
            <v>5.0000000000000001E-3</v>
          </cell>
          <cell r="N43" t="str">
            <v>Prior Year</v>
          </cell>
        </row>
        <row r="44">
          <cell r="A44" t="str">
            <v>Cove Mtn Solar</v>
          </cell>
          <cell r="B44" t="str">
            <v>QF - 336 - UT - Solar</v>
          </cell>
          <cell r="C44" t="str">
            <v>Utah South</v>
          </cell>
          <cell r="D44">
            <v>58</v>
          </cell>
          <cell r="E44">
            <v>0.33892497244528419</v>
          </cell>
          <cell r="F44">
            <v>43282</v>
          </cell>
          <cell r="K44" t="str">
            <v>Active</v>
          </cell>
          <cell r="L44">
            <v>42703.375</v>
          </cell>
          <cell r="M44">
            <v>5.0000000000000001E-3</v>
          </cell>
          <cell r="N44" t="str">
            <v>Prior Year</v>
          </cell>
        </row>
        <row r="45">
          <cell r="A45" t="str">
            <v>Shoshoni PV1 Solar</v>
          </cell>
          <cell r="B45" t="str">
            <v>QF - 337 - WY - Solar</v>
          </cell>
          <cell r="C45" t="str">
            <v>Wyoming Northeast</v>
          </cell>
          <cell r="D45">
            <v>13.33</v>
          </cell>
          <cell r="E45">
            <v>0.26666769432084048</v>
          </cell>
          <cell r="F45">
            <v>43313</v>
          </cell>
          <cell r="K45" t="str">
            <v>Active</v>
          </cell>
          <cell r="L45">
            <v>42706.356249999997</v>
          </cell>
          <cell r="M45">
            <v>5.0000000000000001E-3</v>
          </cell>
          <cell r="N45" t="str">
            <v>Prior Year</v>
          </cell>
        </row>
        <row r="46">
          <cell r="A46" t="str">
            <v>Elk Mtn Wind</v>
          </cell>
          <cell r="B46" t="str">
            <v>QF - 339 - WY - Wind</v>
          </cell>
          <cell r="C46" t="str">
            <v>Wyoming Northeast</v>
          </cell>
          <cell r="D46">
            <v>75.900000000000006</v>
          </cell>
          <cell r="E46">
            <v>0.46942022969420227</v>
          </cell>
          <cell r="F46">
            <v>43374</v>
          </cell>
          <cell r="K46" t="str">
            <v>Active</v>
          </cell>
          <cell r="L46">
            <v>42713.580555555556</v>
          </cell>
          <cell r="M46">
            <v>0</v>
          </cell>
          <cell r="N46" t="str">
            <v>First Year</v>
          </cell>
        </row>
        <row r="47">
          <cell r="A47" t="str">
            <v>Homestead I Solar</v>
          </cell>
          <cell r="B47" t="str">
            <v>QF - 340 - WY - Solar</v>
          </cell>
          <cell r="C47" t="str">
            <v>Wyoming Northeast</v>
          </cell>
          <cell r="D47">
            <v>80</v>
          </cell>
          <cell r="E47">
            <v>0.27384703196347032</v>
          </cell>
          <cell r="F47">
            <v>43617</v>
          </cell>
          <cell r="K47" t="str">
            <v>Active</v>
          </cell>
          <cell r="L47">
            <v>42719.606944444444</v>
          </cell>
          <cell r="M47">
            <v>7.0000000000000001E-3</v>
          </cell>
          <cell r="N47" t="str">
            <v>Prior Year</v>
          </cell>
        </row>
        <row r="48">
          <cell r="A48" t="str">
            <v>Graphite Solar</v>
          </cell>
          <cell r="B48" t="str">
            <v>QF - 341 - UT - Solar</v>
          </cell>
          <cell r="C48" t="str">
            <v>Utah North</v>
          </cell>
          <cell r="D48">
            <v>80</v>
          </cell>
          <cell r="E48">
            <v>0.301488299086758</v>
          </cell>
          <cell r="F48">
            <v>43405</v>
          </cell>
          <cell r="K48" t="str">
            <v>Active</v>
          </cell>
          <cell r="L48">
            <v>42720.652777777781</v>
          </cell>
          <cell r="M48">
            <v>5.0000000000000001E-3</v>
          </cell>
          <cell r="N48" t="str">
            <v>Prior Year</v>
          </cell>
        </row>
        <row r="49">
          <cell r="A49" t="str">
            <v>Sheep Dip Solar</v>
          </cell>
          <cell r="B49" t="str">
            <v>QF - 342 - UT - Solar</v>
          </cell>
          <cell r="C49" t="str">
            <v>Utah North</v>
          </cell>
          <cell r="D49">
            <v>80</v>
          </cell>
          <cell r="E49">
            <v>0.28941152968036532</v>
          </cell>
          <cell r="F49">
            <v>43435</v>
          </cell>
          <cell r="K49" t="str">
            <v>Active</v>
          </cell>
          <cell r="L49">
            <v>42724.4375</v>
          </cell>
          <cell r="M49">
            <v>5.0000000000000001E-3</v>
          </cell>
          <cell r="N49" t="str">
            <v>Prior Year</v>
          </cell>
        </row>
        <row r="50">
          <cell r="A50" t="str">
            <v>Green River I Solar</v>
          </cell>
          <cell r="B50" t="str">
            <v>QF - 343 - UT - Solar</v>
          </cell>
          <cell r="C50" t="str">
            <v>Utah South</v>
          </cell>
          <cell r="D50">
            <v>80</v>
          </cell>
          <cell r="E50">
            <v>0.31296501569634705</v>
          </cell>
          <cell r="F50">
            <v>43922</v>
          </cell>
          <cell r="K50" t="str">
            <v>Active</v>
          </cell>
          <cell r="L50">
            <v>42725.349305555559</v>
          </cell>
          <cell r="M50">
            <v>5.0000000000000001E-3</v>
          </cell>
          <cell r="N50" t="str">
            <v>Prior Year</v>
          </cell>
        </row>
        <row r="51">
          <cell r="A51" t="str">
            <v>Green River II Solar</v>
          </cell>
          <cell r="B51" t="str">
            <v>QF - 344 - UT - Solar</v>
          </cell>
          <cell r="C51" t="str">
            <v>Utah South</v>
          </cell>
          <cell r="D51">
            <v>80</v>
          </cell>
          <cell r="E51">
            <v>0.31296501569634705</v>
          </cell>
          <cell r="F51">
            <v>43922</v>
          </cell>
          <cell r="K51" t="str">
            <v>Active</v>
          </cell>
          <cell r="L51">
            <v>42725.349305555559</v>
          </cell>
          <cell r="M51">
            <v>5.0000000000000001E-3</v>
          </cell>
          <cell r="N51" t="str">
            <v>Prior Year</v>
          </cell>
        </row>
        <row r="52">
          <cell r="A52" t="str">
            <v>Green River III Solar</v>
          </cell>
          <cell r="B52" t="str">
            <v>QF - 345 - UT - Solar</v>
          </cell>
          <cell r="C52" t="str">
            <v>Utah South</v>
          </cell>
          <cell r="D52">
            <v>80</v>
          </cell>
          <cell r="E52">
            <v>0.31296501569634705</v>
          </cell>
          <cell r="F52">
            <v>43922</v>
          </cell>
          <cell r="K52" t="str">
            <v>Active</v>
          </cell>
          <cell r="L52">
            <v>42725.349305555559</v>
          </cell>
          <cell r="M52">
            <v>5.0000000000000001E-3</v>
          </cell>
          <cell r="N52" t="str">
            <v>Prior Year</v>
          </cell>
        </row>
        <row r="53">
          <cell r="A53" t="str">
            <v>Green River IV Solar</v>
          </cell>
          <cell r="B53" t="str">
            <v>QF - 346 - UT - Solar</v>
          </cell>
          <cell r="C53" t="str">
            <v>Utah South</v>
          </cell>
          <cell r="D53">
            <v>80</v>
          </cell>
          <cell r="E53">
            <v>0.31296501569634705</v>
          </cell>
          <cell r="F53">
            <v>43922</v>
          </cell>
          <cell r="K53" t="str">
            <v>Active</v>
          </cell>
          <cell r="L53">
            <v>42725.349305555559</v>
          </cell>
          <cell r="M53">
            <v>5.0000000000000001E-3</v>
          </cell>
          <cell r="N53" t="str">
            <v>Prior Year</v>
          </cell>
        </row>
        <row r="54">
          <cell r="A54" t="str">
            <v>Green River V Solar</v>
          </cell>
          <cell r="B54" t="str">
            <v>QF - 347 - UT - Solar</v>
          </cell>
          <cell r="C54" t="str">
            <v>Utah South</v>
          </cell>
          <cell r="D54">
            <v>80</v>
          </cell>
          <cell r="E54">
            <v>0.31296501569634705</v>
          </cell>
          <cell r="F54">
            <v>43922</v>
          </cell>
          <cell r="K54" t="str">
            <v>Active</v>
          </cell>
          <cell r="L54">
            <v>42725.349305555559</v>
          </cell>
          <cell r="M54">
            <v>5.0000000000000001E-3</v>
          </cell>
          <cell r="N54" t="str">
            <v>Prior Year</v>
          </cell>
        </row>
        <row r="55">
          <cell r="A55" t="str">
            <v>Homestead II Solar</v>
          </cell>
          <cell r="B55" t="str">
            <v>QF - 348 - WY - Solar</v>
          </cell>
          <cell r="C55" t="str">
            <v>Wyoming Northeast</v>
          </cell>
          <cell r="D55">
            <v>80</v>
          </cell>
          <cell r="E55">
            <v>0.27302226027397258</v>
          </cell>
          <cell r="F55">
            <v>43800</v>
          </cell>
          <cell r="K55" t="str">
            <v>Active</v>
          </cell>
          <cell r="L55">
            <v>42726.347916666666</v>
          </cell>
          <cell r="M55">
            <v>7.0000000000000001E-3</v>
          </cell>
          <cell r="N55" t="str">
            <v>Prior Year</v>
          </cell>
        </row>
        <row r="56">
          <cell r="A56" t="str">
            <v>Homestead III Solar</v>
          </cell>
          <cell r="B56" t="str">
            <v>QF - 349 - WY - Solar</v>
          </cell>
          <cell r="C56" t="str">
            <v>Wyoming Northeast</v>
          </cell>
          <cell r="D56">
            <v>80</v>
          </cell>
          <cell r="E56">
            <v>0.2703581621004566</v>
          </cell>
          <cell r="F56">
            <v>43800</v>
          </cell>
          <cell r="K56" t="str">
            <v>Active</v>
          </cell>
          <cell r="L56">
            <v>42726.347916666666</v>
          </cell>
          <cell r="M56">
            <v>7.0000000000000001E-3</v>
          </cell>
          <cell r="N56" t="str">
            <v>Prior Year</v>
          </cell>
        </row>
        <row r="57">
          <cell r="A57" t="str">
            <v>Glen Canyon C Solar</v>
          </cell>
          <cell r="B57" t="str">
            <v>QF - 350 - UT - Solar</v>
          </cell>
          <cell r="C57" t="str">
            <v>PP-GC</v>
          </cell>
          <cell r="D57">
            <v>59</v>
          </cell>
          <cell r="E57">
            <v>0.34871720455073135</v>
          </cell>
          <cell r="F57">
            <v>43800</v>
          </cell>
          <cell r="K57" t="str">
            <v>Active</v>
          </cell>
          <cell r="L57">
            <v>42726.586111111108</v>
          </cell>
          <cell r="M57">
            <v>5.0000000000000001E-3</v>
          </cell>
          <cell r="N57" t="str">
            <v>Prior Year</v>
          </cell>
        </row>
        <row r="58">
          <cell r="A58" t="str">
            <v>Rimrock Solar</v>
          </cell>
          <cell r="B58" t="str">
            <v>QF - 351 - OR - Solar</v>
          </cell>
          <cell r="C58" t="str">
            <v>Central Oregon</v>
          </cell>
          <cell r="D58">
            <v>55</v>
          </cell>
          <cell r="E58">
            <v>0.28014736405147361</v>
          </cell>
          <cell r="F58">
            <v>43466</v>
          </cell>
          <cell r="K58" t="str">
            <v>Active</v>
          </cell>
          <cell r="L58">
            <v>42738.710416666669</v>
          </cell>
          <cell r="M58">
            <v>5.0000000000000001E-3</v>
          </cell>
          <cell r="N58" t="str">
            <v>First Year</v>
          </cell>
        </row>
        <row r="59">
          <cell r="A59" t="str">
            <v>Ponderosa V29</v>
          </cell>
          <cell r="B59" t="str">
            <v>QF - 352 - OR - Solar</v>
          </cell>
          <cell r="C59" t="str">
            <v>Central Oregon</v>
          </cell>
          <cell r="D59">
            <v>34</v>
          </cell>
          <cell r="E59">
            <v>0.29430844077356971</v>
          </cell>
          <cell r="F59">
            <v>43101</v>
          </cell>
          <cell r="K59" t="str">
            <v>Internal</v>
          </cell>
          <cell r="L59">
            <v>42741</v>
          </cell>
          <cell r="M59">
            <v>2.5000000000000001E-3</v>
          </cell>
          <cell r="N59" t="str">
            <v>Prior Year</v>
          </cell>
        </row>
        <row r="60">
          <cell r="A60" t="str">
            <v>Ponderosa V30</v>
          </cell>
          <cell r="B60" t="str">
            <v>QF - 353 - OR - Solar</v>
          </cell>
          <cell r="C60" t="str">
            <v>Central Oregon</v>
          </cell>
          <cell r="D60">
            <v>34</v>
          </cell>
          <cell r="E60">
            <v>0.29430844077356971</v>
          </cell>
          <cell r="F60">
            <v>43831</v>
          </cell>
          <cell r="K60" t="str">
            <v>Internal</v>
          </cell>
          <cell r="L60">
            <v>42741</v>
          </cell>
          <cell r="M60">
            <v>2.5000000000000001E-3</v>
          </cell>
          <cell r="N60" t="str">
            <v>Prior Year</v>
          </cell>
        </row>
        <row r="61">
          <cell r="A61" t="str">
            <v>Ponderosa V32</v>
          </cell>
          <cell r="B61" t="str">
            <v>QF - 354 - OR - Solar</v>
          </cell>
          <cell r="C61" t="str">
            <v>Central Oregon</v>
          </cell>
          <cell r="D61">
            <v>34</v>
          </cell>
          <cell r="E61">
            <v>0.29809016250335751</v>
          </cell>
          <cell r="F61">
            <v>43101</v>
          </cell>
          <cell r="K61" t="str">
            <v>Internal</v>
          </cell>
          <cell r="L61">
            <v>42741</v>
          </cell>
          <cell r="M61">
            <v>5.0000000000000001E-3</v>
          </cell>
          <cell r="N61" t="str">
            <v>Prior Year</v>
          </cell>
        </row>
        <row r="62">
          <cell r="A62" t="str">
            <v>Ponderosa V33</v>
          </cell>
          <cell r="B62" t="str">
            <v>QF - 355 - OR - Solar</v>
          </cell>
          <cell r="C62" t="str">
            <v>Central Oregon</v>
          </cell>
          <cell r="D62">
            <v>34</v>
          </cell>
          <cell r="E62">
            <v>0.29809016250335751</v>
          </cell>
          <cell r="F62">
            <v>43831</v>
          </cell>
          <cell r="K62" t="str">
            <v>Internal</v>
          </cell>
          <cell r="L62">
            <v>42741</v>
          </cell>
          <cell r="M62">
            <v>5.0000000000000001E-3</v>
          </cell>
          <cell r="N62" t="str">
            <v>Prior Year</v>
          </cell>
        </row>
        <row r="63">
          <cell r="A63" t="str">
            <v>Sigurd Solar</v>
          </cell>
          <cell r="B63" t="str">
            <v>QF - 356 - UT - Solar</v>
          </cell>
          <cell r="C63" t="str">
            <v>Utah South</v>
          </cell>
          <cell r="D63">
            <v>80</v>
          </cell>
          <cell r="E63">
            <v>0.29963184931506848</v>
          </cell>
          <cell r="F63">
            <v>43435</v>
          </cell>
          <cell r="K63" t="str">
            <v>Active</v>
          </cell>
          <cell r="L63">
            <v>42760.725694444445</v>
          </cell>
          <cell r="M63">
            <v>5.0000000000000001E-3</v>
          </cell>
          <cell r="N63" t="str">
            <v>Prior Year</v>
          </cell>
        </row>
        <row r="64">
          <cell r="A64" t="str">
            <v>Clover Creek Solar</v>
          </cell>
          <cell r="B64" t="str">
            <v>QF - 357 - UT - Solar</v>
          </cell>
          <cell r="C64" t="str">
            <v>Clover</v>
          </cell>
          <cell r="D64">
            <v>80</v>
          </cell>
          <cell r="E64">
            <v>0.27895262557077627</v>
          </cell>
          <cell r="F64">
            <v>43922</v>
          </cell>
          <cell r="K64" t="str">
            <v>Active</v>
          </cell>
          <cell r="L64">
            <v>42762.306250000001</v>
          </cell>
          <cell r="M64">
            <v>5.0000000000000001E-3</v>
          </cell>
          <cell r="N64" t="str">
            <v>Prior Year</v>
          </cell>
        </row>
        <row r="65">
          <cell r="A65" t="str">
            <v>Goshen Valley I Solar</v>
          </cell>
          <cell r="B65" t="str">
            <v>QF - 358 - UT - Solar</v>
          </cell>
          <cell r="C65" t="str">
            <v>Clover</v>
          </cell>
          <cell r="D65">
            <v>80</v>
          </cell>
          <cell r="E65">
            <v>0.2965884703196347</v>
          </cell>
          <cell r="F65">
            <v>43800</v>
          </cell>
          <cell r="K65" t="str">
            <v>Active</v>
          </cell>
          <cell r="L65">
            <v>42774.469444444447</v>
          </cell>
          <cell r="M65">
            <v>5.0000000000000001E-3</v>
          </cell>
          <cell r="N65" t="str">
            <v>Prior Year</v>
          </cell>
        </row>
        <row r="66">
          <cell r="A66" t="str">
            <v>Goshen Valley II Solar</v>
          </cell>
          <cell r="B66" t="str">
            <v>QF - 359 - UT - Solar</v>
          </cell>
          <cell r="C66" t="str">
            <v>Clover</v>
          </cell>
          <cell r="D66">
            <v>80</v>
          </cell>
          <cell r="E66">
            <v>0.2965884703196347</v>
          </cell>
          <cell r="F66">
            <v>43800</v>
          </cell>
          <cell r="K66" t="str">
            <v>Active</v>
          </cell>
          <cell r="L66">
            <v>42774.469444444447</v>
          </cell>
          <cell r="M66">
            <v>5.0000000000000001E-3</v>
          </cell>
          <cell r="N66" t="str">
            <v>Prior Year</v>
          </cell>
        </row>
        <row r="67">
          <cell r="A67" t="str">
            <v>Goshen Valley III Solar</v>
          </cell>
          <cell r="B67" t="str">
            <v>QF - 360 - UT - Solar</v>
          </cell>
          <cell r="C67" t="str">
            <v>Clover</v>
          </cell>
          <cell r="D67">
            <v>80</v>
          </cell>
          <cell r="E67">
            <v>0.2965884703196347</v>
          </cell>
          <cell r="F67">
            <v>43800</v>
          </cell>
          <cell r="K67" t="str">
            <v>Active</v>
          </cell>
          <cell r="L67">
            <v>42774.469444444447</v>
          </cell>
          <cell r="M67">
            <v>5.0000000000000001E-3</v>
          </cell>
          <cell r="N67" t="str">
            <v>Prior Year</v>
          </cell>
        </row>
        <row r="68">
          <cell r="A68" t="str">
            <v>Goshen Valley IV Solar</v>
          </cell>
          <cell r="B68" t="str">
            <v>QF - 361 - UT - Solar</v>
          </cell>
          <cell r="C68" t="str">
            <v>Clover</v>
          </cell>
          <cell r="D68">
            <v>80</v>
          </cell>
          <cell r="E68">
            <v>0.2965884703196347</v>
          </cell>
          <cell r="F68">
            <v>43800</v>
          </cell>
          <cell r="K68" t="str">
            <v>Active</v>
          </cell>
          <cell r="L68">
            <v>42774.469444444447</v>
          </cell>
          <cell r="M68">
            <v>5.0000000000000001E-3</v>
          </cell>
          <cell r="N68" t="str">
            <v>Prior Year</v>
          </cell>
        </row>
        <row r="69">
          <cell r="A69" t="str">
            <v>Goshen Valley V Solar</v>
          </cell>
          <cell r="B69" t="str">
            <v>QF - 362 - UT - Solar</v>
          </cell>
          <cell r="C69" t="str">
            <v>Clover</v>
          </cell>
          <cell r="D69">
            <v>80</v>
          </cell>
          <cell r="E69">
            <v>0.2965884703196347</v>
          </cell>
          <cell r="F69">
            <v>43800</v>
          </cell>
          <cell r="K69" t="str">
            <v>Active</v>
          </cell>
          <cell r="L69">
            <v>42774.469444444447</v>
          </cell>
          <cell r="M69">
            <v>5.0000000000000001E-3</v>
          </cell>
          <cell r="N69" t="str">
            <v>Prior Year</v>
          </cell>
        </row>
        <row r="70">
          <cell r="A70" t="str">
            <v>Goshen Valley VI Solar</v>
          </cell>
          <cell r="B70" t="str">
            <v>QF - 363 - UT - Solar</v>
          </cell>
          <cell r="C70" t="str">
            <v>Clover</v>
          </cell>
          <cell r="D70">
            <v>80</v>
          </cell>
          <cell r="E70">
            <v>0.2965884703196347</v>
          </cell>
          <cell r="F70">
            <v>43800</v>
          </cell>
          <cell r="K70" t="str">
            <v>Active</v>
          </cell>
          <cell r="L70">
            <v>42774.469444444447</v>
          </cell>
          <cell r="M70">
            <v>5.0000000000000001E-3</v>
          </cell>
          <cell r="N70" t="str">
            <v>Prior Year</v>
          </cell>
        </row>
        <row r="71">
          <cell r="A71" t="str">
            <v>Goshen Valley VII Solar</v>
          </cell>
          <cell r="B71" t="str">
            <v>QF - 364 - UT - Solar</v>
          </cell>
          <cell r="C71" t="str">
            <v>Clover</v>
          </cell>
          <cell r="D71">
            <v>80</v>
          </cell>
          <cell r="E71">
            <v>0.2965884703196347</v>
          </cell>
          <cell r="F71">
            <v>43800</v>
          </cell>
          <cell r="K71" t="str">
            <v>Active</v>
          </cell>
          <cell r="L71">
            <v>42774.469444444447</v>
          </cell>
          <cell r="M71">
            <v>5.0000000000000001E-3</v>
          </cell>
          <cell r="N71" t="str">
            <v>Prior Year</v>
          </cell>
        </row>
        <row r="72">
          <cell r="A72" t="str">
            <v>Skysol Solar</v>
          </cell>
          <cell r="B72" t="str">
            <v>QF - 254 - OR - Solar</v>
          </cell>
          <cell r="C72" t="str">
            <v>West Main</v>
          </cell>
          <cell r="D72">
            <v>55</v>
          </cell>
          <cell r="E72">
            <v>0.24561402833410492</v>
          </cell>
          <cell r="F72">
            <v>44196</v>
          </cell>
          <cell r="K72" t="str">
            <v>Active</v>
          </cell>
          <cell r="L72">
            <v>42774.688888888886</v>
          </cell>
          <cell r="M72">
            <v>5.0000000000000001E-3</v>
          </cell>
          <cell r="N72" t="str">
            <v>Prior Year</v>
          </cell>
        </row>
        <row r="73">
          <cell r="A73" t="str">
            <v>Echo Divide Wind</v>
          </cell>
          <cell r="B73" t="str">
            <v>QF - 365 - UT - Wind</v>
          </cell>
          <cell r="C73" t="str">
            <v>Utah North</v>
          </cell>
          <cell r="D73">
            <v>80</v>
          </cell>
          <cell r="E73">
            <v>0.31355450913242011</v>
          </cell>
          <cell r="F73">
            <v>43466</v>
          </cell>
          <cell r="K73" t="str">
            <v>Active</v>
          </cell>
          <cell r="L73">
            <v>42779.411111111112</v>
          </cell>
          <cell r="M73">
            <v>0</v>
          </cell>
          <cell r="N73" t="str">
            <v>Prior Year</v>
          </cell>
        </row>
        <row r="74">
          <cell r="A74" t="str">
            <v>2016.Q4 UT Compliance Filing</v>
          </cell>
          <cell r="B74" t="str">
            <v>QF -  - UT - Thermal</v>
          </cell>
          <cell r="C74" t="str">
            <v>Utah North</v>
          </cell>
          <cell r="D74">
            <v>100</v>
          </cell>
          <cell r="E74">
            <v>0.85</v>
          </cell>
          <cell r="F74">
            <v>43101</v>
          </cell>
          <cell r="K74" t="str">
            <v>Active</v>
          </cell>
          <cell r="L74">
            <v>42675</v>
          </cell>
          <cell r="M74">
            <v>0</v>
          </cell>
          <cell r="N74" t="str">
            <v>Prior Year</v>
          </cell>
        </row>
        <row r="75">
          <cell r="A75" t="str">
            <v>Monticello Wind</v>
          </cell>
          <cell r="B75" t="str">
            <v>QF -  - UT - Wind</v>
          </cell>
          <cell r="C75" t="str">
            <v>Utah South</v>
          </cell>
          <cell r="D75">
            <v>79.2</v>
          </cell>
          <cell r="E75">
            <v>0.33818493150684931</v>
          </cell>
          <cell r="F75">
            <v>44196</v>
          </cell>
          <cell r="K75" t="str">
            <v>Active</v>
          </cell>
          <cell r="L75" t="str">
            <v>complete</v>
          </cell>
          <cell r="M75">
            <v>0</v>
          </cell>
          <cell r="N75" t="str">
            <v>Prior Year</v>
          </cell>
        </row>
        <row r="76">
          <cell r="A76" t="str">
            <v>Oneida Spin Res. Valuation</v>
          </cell>
          <cell r="B76" t="str">
            <v>QF -  - UT - 0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K76" t="str">
            <v>Internal</v>
          </cell>
          <cell r="L76">
            <v>0</v>
          </cell>
          <cell r="M76">
            <v>0</v>
          </cell>
          <cell r="N76" t="str">
            <v>Prior Year</v>
          </cell>
        </row>
        <row r="77">
          <cell r="A77" t="str">
            <v>Klamath Falls TOU Irrigation Pilot</v>
          </cell>
          <cell r="B77" t="str">
            <v>QF -  - OR - Hydro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K77" t="str">
            <v>Internal</v>
          </cell>
          <cell r="L77" t="str">
            <v>complete</v>
          </cell>
          <cell r="M77">
            <v>0</v>
          </cell>
          <cell r="N77" t="str">
            <v>Prior Year</v>
          </cell>
        </row>
        <row r="78">
          <cell r="A78" t="str">
            <v>Dinosolar 4 Solar</v>
          </cell>
          <cell r="B78" t="str">
            <v>QF - 372 - WY - Solar</v>
          </cell>
          <cell r="C78" t="str">
            <v>Wyoming Northeast</v>
          </cell>
          <cell r="D78">
            <v>40</v>
          </cell>
          <cell r="E78">
            <v>0.27404965753424659</v>
          </cell>
          <cell r="F78">
            <v>43646</v>
          </cell>
          <cell r="K78" t="str">
            <v>Active</v>
          </cell>
          <cell r="L78">
            <v>42797.583333333336</v>
          </cell>
          <cell r="M78">
            <v>5.0000000000000001E-3</v>
          </cell>
          <cell r="N78" t="str">
            <v>Prior Year</v>
          </cell>
        </row>
        <row r="79">
          <cell r="A79" t="str">
            <v>Prineville Solar</v>
          </cell>
          <cell r="B79" t="str">
            <v>QF - 380 - OR - Solar</v>
          </cell>
          <cell r="C79" t="str">
            <v>Central Oregon</v>
          </cell>
          <cell r="D79">
            <v>50</v>
          </cell>
          <cell r="E79">
            <v>0.25810730593607306</v>
          </cell>
          <cell r="F79">
            <v>43466</v>
          </cell>
          <cell r="K79" t="str">
            <v>Active</v>
          </cell>
          <cell r="L79">
            <v>42802.359722222223</v>
          </cell>
          <cell r="M79">
            <v>5.0000000000000001E-3</v>
          </cell>
          <cell r="N79" t="str">
            <v>Prior Year</v>
          </cell>
        </row>
        <row r="80">
          <cell r="A80" t="str">
            <v>Linkville Solar</v>
          </cell>
          <cell r="B80" t="str">
            <v>QF - 381 - OR - Solar</v>
          </cell>
          <cell r="C80" t="str">
            <v>West Main</v>
          </cell>
          <cell r="D80">
            <v>80</v>
          </cell>
          <cell r="E80">
            <v>0.29331050228310501</v>
          </cell>
          <cell r="F80">
            <v>44197</v>
          </cell>
          <cell r="K80" t="str">
            <v>Active</v>
          </cell>
          <cell r="L80">
            <v>42802.359722222223</v>
          </cell>
          <cell r="M80">
            <v>5.0000000000000001E-3</v>
          </cell>
          <cell r="N80" t="str">
            <v>Prior Year</v>
          </cell>
        </row>
        <row r="81">
          <cell r="A81" t="str">
            <v>Abajo Solar</v>
          </cell>
          <cell r="B81" t="str">
            <v>QF - 382 - UT - Solar</v>
          </cell>
          <cell r="C81" t="str">
            <v>Utah South</v>
          </cell>
          <cell r="D81">
            <v>80</v>
          </cell>
          <cell r="E81">
            <v>0.31495005707762558</v>
          </cell>
          <cell r="F81">
            <v>43983</v>
          </cell>
          <cell r="K81" t="str">
            <v>Active</v>
          </cell>
          <cell r="L81">
            <v>42803.359722222223</v>
          </cell>
          <cell r="M81">
            <v>5.0000000000000001E-3</v>
          </cell>
          <cell r="N81" t="str">
            <v>Prior Year</v>
          </cell>
        </row>
        <row r="82">
          <cell r="A82" t="str">
            <v>Christmas Valley Solar PV3-A</v>
          </cell>
          <cell r="B82" t="str">
            <v>QF - 383 - OR - Solar</v>
          </cell>
          <cell r="C82" t="str">
            <v>Central Oregon</v>
          </cell>
          <cell r="D82">
            <v>80</v>
          </cell>
          <cell r="E82">
            <v>0.28007577197488581</v>
          </cell>
          <cell r="F82">
            <v>43800</v>
          </cell>
          <cell r="K82" t="str">
            <v>Active</v>
          </cell>
          <cell r="L82">
            <v>42807.359722222223</v>
          </cell>
          <cell r="M82">
            <v>5.0000000000000001E-3</v>
          </cell>
          <cell r="N82" t="str">
            <v>Prior Year</v>
          </cell>
        </row>
        <row r="83">
          <cell r="A83" t="str">
            <v>Christmas Valley Solar PV3-B</v>
          </cell>
          <cell r="B83" t="str">
            <v>QF - 384 - OR - Solar</v>
          </cell>
          <cell r="C83" t="str">
            <v>Central Oregon</v>
          </cell>
          <cell r="D83">
            <v>80</v>
          </cell>
          <cell r="E83">
            <v>0.28007577197488581</v>
          </cell>
          <cell r="F83">
            <v>43800</v>
          </cell>
          <cell r="K83" t="str">
            <v>Active</v>
          </cell>
          <cell r="L83">
            <v>42807.359722222223</v>
          </cell>
          <cell r="M83">
            <v>5.0000000000000001E-3</v>
          </cell>
          <cell r="N83" t="str">
            <v>Prior Year</v>
          </cell>
        </row>
        <row r="84">
          <cell r="A84" t="str">
            <v>Christmas Valley Solar PV3-C</v>
          </cell>
          <cell r="B84" t="str">
            <v>QF - 385 - OR - Solar</v>
          </cell>
          <cell r="C84" t="str">
            <v>Central Oregon</v>
          </cell>
          <cell r="D84">
            <v>80</v>
          </cell>
          <cell r="E84">
            <v>0.28007577197488581</v>
          </cell>
          <cell r="F84">
            <v>43800</v>
          </cell>
          <cell r="K84" t="str">
            <v>Active</v>
          </cell>
          <cell r="L84">
            <v>42807.359722222223</v>
          </cell>
          <cell r="M84">
            <v>5.0000000000000001E-3</v>
          </cell>
          <cell r="N84" t="str">
            <v>Prior Year</v>
          </cell>
        </row>
        <row r="85">
          <cell r="A85" t="str">
            <v>Intermountain Solar</v>
          </cell>
          <cell r="B85" t="str">
            <v>QF - 386 - UT - Solar</v>
          </cell>
          <cell r="C85" t="str">
            <v>Clover</v>
          </cell>
          <cell r="D85">
            <v>80</v>
          </cell>
          <cell r="E85">
            <v>0.30816067351598175</v>
          </cell>
          <cell r="F85">
            <v>44012</v>
          </cell>
          <cell r="K85" t="str">
            <v>Active</v>
          </cell>
          <cell r="L85">
            <v>42807.359722222223</v>
          </cell>
          <cell r="M85">
            <v>5.0000000000000001E-3</v>
          </cell>
          <cell r="N85" t="str">
            <v>Prior Year</v>
          </cell>
        </row>
        <row r="86">
          <cell r="A86" t="str">
            <v>Tooele Solar</v>
          </cell>
          <cell r="B86" t="str">
            <v>QF - 387 - UT - Solar</v>
          </cell>
          <cell r="C86" t="str">
            <v>Clover</v>
          </cell>
          <cell r="D86">
            <v>80</v>
          </cell>
          <cell r="E86">
            <v>0.2962956621004566</v>
          </cell>
          <cell r="F86">
            <v>43800</v>
          </cell>
          <cell r="K86" t="str">
            <v>Active</v>
          </cell>
          <cell r="L86">
            <v>42807.359722222223</v>
          </cell>
          <cell r="M86">
            <v>5.0000000000000001E-3</v>
          </cell>
          <cell r="N86" t="str">
            <v>Prior Year</v>
          </cell>
        </row>
        <row r="87">
          <cell r="A87" t="str">
            <v>Graphite Solar w Battery</v>
          </cell>
          <cell r="B87" t="str">
            <v>QF - 388 - UT - Solar</v>
          </cell>
          <cell r="C87" t="str">
            <v>Utah North</v>
          </cell>
          <cell r="D87">
            <v>80</v>
          </cell>
          <cell r="E87">
            <v>0.27972031963470317</v>
          </cell>
          <cell r="F87">
            <v>43770</v>
          </cell>
          <cell r="K87" t="str">
            <v>Active</v>
          </cell>
          <cell r="L87">
            <v>42822</v>
          </cell>
          <cell r="M87">
            <v>5.0000000000000001E-3</v>
          </cell>
          <cell r="N87" t="str">
            <v>Prior Year</v>
          </cell>
        </row>
        <row r="88">
          <cell r="A88" t="str">
            <v>Settler Wind</v>
          </cell>
          <cell r="B88" t="str">
            <v>QF - 389 - WY - Wind</v>
          </cell>
          <cell r="C88" t="str">
            <v>Wyoming Northeast</v>
          </cell>
          <cell r="D88">
            <v>79.400000000000006</v>
          </cell>
          <cell r="E88">
            <v>0.41568470147107878</v>
          </cell>
          <cell r="F88">
            <v>43466</v>
          </cell>
          <cell r="K88" t="str">
            <v>Active</v>
          </cell>
          <cell r="L88">
            <v>42821.595833333333</v>
          </cell>
          <cell r="M88">
            <v>0</v>
          </cell>
          <cell r="N88">
            <v>0</v>
          </cell>
        </row>
        <row r="89">
          <cell r="A89" t="str">
            <v>Caiman Solar</v>
          </cell>
          <cell r="B89" t="str">
            <v>QF - 390 - WY - Solar</v>
          </cell>
          <cell r="C89">
            <v>0</v>
          </cell>
          <cell r="D89">
            <v>20</v>
          </cell>
          <cell r="E89">
            <v>0.26893835616438355</v>
          </cell>
          <cell r="F89">
            <v>43435</v>
          </cell>
          <cell r="K89" t="str">
            <v>Active</v>
          </cell>
          <cell r="L89">
            <v>42825.699305555558</v>
          </cell>
          <cell r="M89">
            <v>0</v>
          </cell>
          <cell r="N89">
            <v>0</v>
          </cell>
        </row>
        <row r="90">
          <cell r="A90" t="str">
            <v>Raptor Solar</v>
          </cell>
          <cell r="B90" t="str">
            <v>QF - 391 - WY - Solar</v>
          </cell>
          <cell r="C90">
            <v>0</v>
          </cell>
          <cell r="D90">
            <v>20</v>
          </cell>
          <cell r="E90">
            <v>0.27686244292237444</v>
          </cell>
          <cell r="F90">
            <v>43435</v>
          </cell>
          <cell r="K90" t="str">
            <v>Active</v>
          </cell>
          <cell r="L90">
            <v>42825.675000000003</v>
          </cell>
          <cell r="M90">
            <v>0</v>
          </cell>
          <cell r="N90">
            <v>0</v>
          </cell>
        </row>
        <row r="91">
          <cell r="A91" t="str">
            <v>Parowan Solar</v>
          </cell>
          <cell r="B91" t="str">
            <v>QF - 392 - UT - Solar</v>
          </cell>
          <cell r="C91">
            <v>0</v>
          </cell>
          <cell r="D91">
            <v>58</v>
          </cell>
          <cell r="E91">
            <v>0.29307786175405448</v>
          </cell>
          <cell r="F91">
            <v>0</v>
          </cell>
          <cell r="K91" t="str">
            <v>Active</v>
          </cell>
          <cell r="L91">
            <v>0</v>
          </cell>
          <cell r="M91">
            <v>0</v>
          </cell>
          <cell r="N91">
            <v>0</v>
          </cell>
        </row>
        <row r="92">
          <cell r="A92" t="str">
            <v>Lakeview PV1 Solar</v>
          </cell>
          <cell r="B92" t="str">
            <v>QF - 393 - OR - Solar</v>
          </cell>
          <cell r="C92" t="str">
            <v>West Main</v>
          </cell>
          <cell r="D92">
            <v>50</v>
          </cell>
          <cell r="E92">
            <v>0.28627853881278537</v>
          </cell>
          <cell r="F92">
            <v>43435</v>
          </cell>
          <cell r="K92" t="str">
            <v>Active</v>
          </cell>
          <cell r="L92">
            <v>42837.368055555555</v>
          </cell>
          <cell r="M92">
            <v>5.0000000000000001E-3</v>
          </cell>
          <cell r="N92" t="str">
            <v>Prior Year</v>
          </cell>
        </row>
        <row r="93">
          <cell r="A93" t="str">
            <v xml:space="preserve">West Valley </v>
          </cell>
          <cell r="B93" t="str">
            <v>QF -  - UT - SCCT</v>
          </cell>
          <cell r="C93" t="str">
            <v>Utah North</v>
          </cell>
          <cell r="D93">
            <v>120</v>
          </cell>
          <cell r="E93">
            <v>0.95</v>
          </cell>
          <cell r="F93">
            <v>0</v>
          </cell>
          <cell r="K93" t="str">
            <v>Active</v>
          </cell>
          <cell r="L93">
            <v>0</v>
          </cell>
          <cell r="M93">
            <v>0</v>
          </cell>
          <cell r="N93">
            <v>0</v>
          </cell>
        </row>
        <row r="94">
          <cell r="A94" t="str">
            <v>Anticline Wind</v>
          </cell>
          <cell r="B94" t="str">
            <v>QF - 394 - WY - Wind</v>
          </cell>
          <cell r="C94" t="str">
            <v>Wyoming Northeast</v>
          </cell>
          <cell r="D94">
            <v>80</v>
          </cell>
          <cell r="E94">
            <v>0.52088470319634705</v>
          </cell>
          <cell r="F94">
            <v>43830</v>
          </cell>
          <cell r="K94" t="str">
            <v>Active</v>
          </cell>
          <cell r="L94">
            <v>42842.602083333331</v>
          </cell>
          <cell r="M94">
            <v>0</v>
          </cell>
          <cell r="N94">
            <v>0</v>
          </cell>
        </row>
        <row r="95">
          <cell r="A95">
            <v>0</v>
          </cell>
          <cell r="B95">
            <v>0</v>
          </cell>
          <cell r="D95">
            <v>0</v>
          </cell>
          <cell r="E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A96">
            <v>0</v>
          </cell>
          <cell r="B96">
            <v>0</v>
          </cell>
          <cell r="D96">
            <v>0</v>
          </cell>
          <cell r="E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A97">
            <v>0</v>
          </cell>
          <cell r="B97">
            <v>0</v>
          </cell>
          <cell r="D97">
            <v>0</v>
          </cell>
          <cell r="E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A98">
            <v>0</v>
          </cell>
          <cell r="B98">
            <v>0</v>
          </cell>
          <cell r="D98">
            <v>0</v>
          </cell>
          <cell r="E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A99" t="str">
            <v>Utah 2017.Q1</v>
          </cell>
          <cell r="B99" t="str">
            <v>Avoided Cost Resource</v>
          </cell>
          <cell r="C99" t="str">
            <v>Utah North</v>
          </cell>
          <cell r="D99">
            <v>100</v>
          </cell>
          <cell r="E99">
            <v>0.85</v>
          </cell>
          <cell r="F99">
            <v>43101</v>
          </cell>
          <cell r="K99" t="str">
            <v>Utah 2017.Q1</v>
          </cell>
          <cell r="L99">
            <v>42842.602083333331</v>
          </cell>
          <cell r="M99">
            <v>0</v>
          </cell>
          <cell r="N99" t="str">
            <v>First Year</v>
          </cell>
        </row>
        <row r="100">
          <cell r="A100">
            <v>0</v>
          </cell>
          <cell r="B100">
            <v>0</v>
          </cell>
          <cell r="D100">
            <v>0</v>
          </cell>
          <cell r="E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A101">
            <v>0</v>
          </cell>
          <cell r="B101">
            <v>0</v>
          </cell>
          <cell r="D101">
            <v>0</v>
          </cell>
          <cell r="E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A102">
            <v>0</v>
          </cell>
          <cell r="B102">
            <v>0</v>
          </cell>
          <cell r="D102">
            <v>0</v>
          </cell>
          <cell r="E102">
            <v>0</v>
          </cell>
          <cell r="L102">
            <v>0</v>
          </cell>
          <cell r="M102">
            <v>0</v>
          </cell>
          <cell r="N102">
            <v>0</v>
          </cell>
        </row>
      </sheetData>
      <sheetData sheetId="2">
        <row r="5">
          <cell r="D5">
            <v>12.64</v>
          </cell>
        </row>
        <row r="6">
          <cell r="D6">
            <v>12.64</v>
          </cell>
        </row>
        <row r="7">
          <cell r="D7">
            <v>12.64</v>
          </cell>
        </row>
        <row r="8">
          <cell r="D8">
            <v>12.64</v>
          </cell>
        </row>
        <row r="30">
          <cell r="D30">
            <v>12.64</v>
          </cell>
        </row>
        <row r="31">
          <cell r="D31">
            <v>12.64</v>
          </cell>
        </row>
        <row r="32">
          <cell r="D32">
            <v>12.64</v>
          </cell>
        </row>
        <row r="33">
          <cell r="D33">
            <v>25.92</v>
          </cell>
        </row>
        <row r="34">
          <cell r="D34">
            <v>40.58</v>
          </cell>
        </row>
        <row r="35">
          <cell r="D35">
            <v>11.93</v>
          </cell>
        </row>
        <row r="36">
          <cell r="D36">
            <v>11.93</v>
          </cell>
        </row>
        <row r="37">
          <cell r="D37">
            <v>25.92</v>
          </cell>
        </row>
        <row r="38">
          <cell r="D38">
            <v>25.92</v>
          </cell>
        </row>
        <row r="39">
          <cell r="D39">
            <v>25.92</v>
          </cell>
        </row>
        <row r="40">
          <cell r="D40">
            <v>44.69</v>
          </cell>
        </row>
        <row r="41">
          <cell r="D41">
            <v>47.74</v>
          </cell>
        </row>
        <row r="42">
          <cell r="D42">
            <v>47.74</v>
          </cell>
        </row>
        <row r="43">
          <cell r="D43">
            <v>47.74</v>
          </cell>
        </row>
        <row r="44">
          <cell r="D44">
            <v>9.5500000000000007</v>
          </cell>
        </row>
        <row r="45">
          <cell r="D45">
            <v>17.899999999999999</v>
          </cell>
        </row>
        <row r="46">
          <cell r="D46">
            <v>47.74</v>
          </cell>
        </row>
        <row r="47">
          <cell r="D47">
            <v>12.64</v>
          </cell>
        </row>
        <row r="48">
          <cell r="D48">
            <v>12.64</v>
          </cell>
        </row>
        <row r="49">
          <cell r="D49">
            <v>12.64</v>
          </cell>
        </row>
        <row r="50">
          <cell r="D50">
            <v>6.32</v>
          </cell>
        </row>
        <row r="51">
          <cell r="D51">
            <v>11.65</v>
          </cell>
        </row>
        <row r="52">
          <cell r="D52">
            <v>47.74</v>
          </cell>
        </row>
        <row r="53">
          <cell r="D53">
            <v>47.74</v>
          </cell>
        </row>
        <row r="54">
          <cell r="D54">
            <v>47.74</v>
          </cell>
        </row>
        <row r="55">
          <cell r="D55">
            <v>47.74</v>
          </cell>
        </row>
        <row r="56">
          <cell r="D56">
            <v>47.74</v>
          </cell>
        </row>
        <row r="57">
          <cell r="D57">
            <v>47.74</v>
          </cell>
        </row>
        <row r="58">
          <cell r="D58">
            <v>47.74</v>
          </cell>
        </row>
        <row r="59">
          <cell r="D59">
            <v>12.53</v>
          </cell>
        </row>
        <row r="60">
          <cell r="D60">
            <v>5.18</v>
          </cell>
        </row>
        <row r="61">
          <cell r="D61">
            <v>29.81</v>
          </cell>
        </row>
        <row r="62">
          <cell r="D62">
            <v>34.61</v>
          </cell>
        </row>
        <row r="63">
          <cell r="D63">
            <v>7.95</v>
          </cell>
        </row>
        <row r="64">
          <cell r="D64">
            <v>11.99</v>
          </cell>
        </row>
        <row r="65">
          <cell r="D65">
            <v>47.74</v>
          </cell>
        </row>
        <row r="66">
          <cell r="D66">
            <v>47.74</v>
          </cell>
        </row>
        <row r="67">
          <cell r="D67">
            <v>47.74</v>
          </cell>
        </row>
        <row r="68">
          <cell r="D68">
            <v>47.74</v>
          </cell>
        </row>
        <row r="69">
          <cell r="D69">
            <v>3.58</v>
          </cell>
        </row>
        <row r="70">
          <cell r="D70">
            <v>35.64</v>
          </cell>
        </row>
        <row r="71">
          <cell r="D71">
            <v>47.74</v>
          </cell>
        </row>
        <row r="72">
          <cell r="D72">
            <v>47.74</v>
          </cell>
        </row>
        <row r="73">
          <cell r="D73">
            <v>47.74</v>
          </cell>
        </row>
        <row r="74">
          <cell r="D74">
            <v>47.74</v>
          </cell>
        </row>
        <row r="75">
          <cell r="D75">
            <v>47.74</v>
          </cell>
        </row>
        <row r="76">
          <cell r="D76">
            <v>47.74</v>
          </cell>
        </row>
        <row r="77">
          <cell r="D77">
            <v>47.74</v>
          </cell>
        </row>
        <row r="78">
          <cell r="D78">
            <v>47.74</v>
          </cell>
        </row>
        <row r="79">
          <cell r="D79">
            <v>47.74</v>
          </cell>
        </row>
        <row r="80">
          <cell r="D80">
            <v>35.64</v>
          </cell>
        </row>
        <row r="81">
          <cell r="D81">
            <v>12.64</v>
          </cell>
        </row>
        <row r="82">
          <cell r="D82">
            <v>23.87</v>
          </cell>
        </row>
        <row r="83">
          <cell r="D83">
            <v>32.4</v>
          </cell>
        </row>
        <row r="84">
          <cell r="D84">
            <v>51.84</v>
          </cell>
        </row>
        <row r="85">
          <cell r="D85">
            <v>47.74</v>
          </cell>
        </row>
        <row r="86">
          <cell r="D86">
            <v>51.84</v>
          </cell>
        </row>
        <row r="87">
          <cell r="D87">
            <v>51.84</v>
          </cell>
        </row>
        <row r="88">
          <cell r="D88">
            <v>51.84</v>
          </cell>
        </row>
        <row r="89">
          <cell r="D89">
            <v>47.74</v>
          </cell>
        </row>
        <row r="90">
          <cell r="D90">
            <v>47.74</v>
          </cell>
        </row>
      </sheetData>
      <sheetData sheetId="3"/>
      <sheetData sheetId="4"/>
      <sheetData sheetId="5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Data"/>
      <sheetName val="NPC Version Log"/>
      <sheetName val="Summary"/>
      <sheetName val="Profile"/>
      <sheetName val="Delta"/>
      <sheetName val="L&amp;R"/>
      <sheetName val="Base"/>
      <sheetName val="Check LTC"/>
      <sheetName val="Thermal Derates"/>
      <sheetName val="GRID Hydro Gen Peak"/>
      <sheetName val="GRID Load Peak"/>
      <sheetName val="GRID LTC Availability Min"/>
      <sheetName val="GRID LTC Availability Peak"/>
      <sheetName val="GRID LTC Dispatch Peak"/>
      <sheetName val="GRID Nameplate"/>
      <sheetName val="GRID Plant Outage Peak"/>
      <sheetName val="GRID ResReq Margin Peak"/>
      <sheetName val="GRID ResReq NoSpin Peak"/>
      <sheetName val="GRID ResReq Spin Peak"/>
      <sheetName val="GRID STF Purchases Peak"/>
      <sheetName val="GRID STF Sales Peak"/>
      <sheetName val="GRID Thermal Avail Peak"/>
      <sheetName val="GRID Hydro Generation (MWH)"/>
      <sheetName val="GRID Load (MWH)"/>
      <sheetName val="GRID LTC Availability (MWH)"/>
      <sheetName val="GRID LTC Dispatch (MWH)"/>
      <sheetName val="GRID Plant Outage (MWH)"/>
      <sheetName val="GRID Ready Res (MWH)"/>
      <sheetName val="GRID ResReq Margin (MWH)"/>
      <sheetName val="GRID Spinning Res (MWH)"/>
      <sheetName val="GRID STF Purchases (MWH)"/>
      <sheetName val="GRID STF Sales (MWH)"/>
      <sheetName val="GRID Thermal Availability (MWH)"/>
      <sheetName val="MacroBuilder"/>
      <sheetName val="on off peak hours"/>
    </sheetNames>
    <sheetDataSet>
      <sheetData sheetId="0">
        <row r="7">
          <cell r="D7" t="str">
            <v>Ut Sch 37 - 05a - Base Case _2013 05 10 (Plants) (L&amp;R)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5">
          <cell r="C15">
            <v>40909</v>
          </cell>
          <cell r="D15">
            <v>40940</v>
          </cell>
          <cell r="E15">
            <v>40969</v>
          </cell>
          <cell r="F15">
            <v>41000</v>
          </cell>
          <cell r="G15">
            <v>41030</v>
          </cell>
          <cell r="H15">
            <v>41061</v>
          </cell>
          <cell r="I15">
            <v>41091</v>
          </cell>
          <cell r="J15">
            <v>41122</v>
          </cell>
          <cell r="K15">
            <v>41153</v>
          </cell>
          <cell r="L15">
            <v>41183</v>
          </cell>
          <cell r="M15">
            <v>41214</v>
          </cell>
          <cell r="N15">
            <v>41244</v>
          </cell>
          <cell r="O15">
            <v>41275</v>
          </cell>
          <cell r="P15">
            <v>41306</v>
          </cell>
          <cell r="Q15">
            <v>41334</v>
          </cell>
          <cell r="R15">
            <v>41365</v>
          </cell>
          <cell r="S15">
            <v>41395</v>
          </cell>
          <cell r="T15">
            <v>41426</v>
          </cell>
          <cell r="U15">
            <v>41456</v>
          </cell>
          <cell r="V15">
            <v>41487</v>
          </cell>
          <cell r="W15">
            <v>41518</v>
          </cell>
          <cell r="X15">
            <v>41548</v>
          </cell>
          <cell r="Y15">
            <v>41579</v>
          </cell>
          <cell r="Z15">
            <v>41609</v>
          </cell>
          <cell r="AA15">
            <v>41640</v>
          </cell>
          <cell r="AB15">
            <v>41671</v>
          </cell>
          <cell r="AC15">
            <v>41699</v>
          </cell>
          <cell r="AD15">
            <v>41730</v>
          </cell>
          <cell r="AE15">
            <v>41760</v>
          </cell>
          <cell r="AF15">
            <v>41791</v>
          </cell>
          <cell r="AG15">
            <v>41821</v>
          </cell>
          <cell r="AH15">
            <v>41852</v>
          </cell>
          <cell r="AI15">
            <v>41883</v>
          </cell>
          <cell r="AJ15">
            <v>41913</v>
          </cell>
          <cell r="AK15">
            <v>41944</v>
          </cell>
          <cell r="AL15">
            <v>41974</v>
          </cell>
          <cell r="AM15">
            <v>42005</v>
          </cell>
          <cell r="AN15">
            <v>42036</v>
          </cell>
          <cell r="AO15">
            <v>42064</v>
          </cell>
          <cell r="AP15">
            <v>42095</v>
          </cell>
          <cell r="AQ15">
            <v>42125</v>
          </cell>
          <cell r="AR15">
            <v>42156</v>
          </cell>
          <cell r="AS15">
            <v>42186</v>
          </cell>
          <cell r="AT15">
            <v>42217</v>
          </cell>
          <cell r="AU15">
            <v>42248</v>
          </cell>
          <cell r="AV15">
            <v>42278</v>
          </cell>
          <cell r="AW15">
            <v>42309</v>
          </cell>
          <cell r="AX15">
            <v>42339</v>
          </cell>
          <cell r="AY15">
            <v>42370</v>
          </cell>
          <cell r="AZ15">
            <v>42401</v>
          </cell>
          <cell r="BA15">
            <v>42430</v>
          </cell>
          <cell r="BB15">
            <v>42461</v>
          </cell>
          <cell r="BC15">
            <v>42491</v>
          </cell>
          <cell r="BD15">
            <v>42522</v>
          </cell>
          <cell r="BE15">
            <v>42552</v>
          </cell>
          <cell r="BF15">
            <v>42583</v>
          </cell>
          <cell r="BG15">
            <v>42614</v>
          </cell>
          <cell r="BH15">
            <v>42644</v>
          </cell>
          <cell r="BI15">
            <v>42675</v>
          </cell>
          <cell r="BJ15">
            <v>42705</v>
          </cell>
          <cell r="BK15">
            <v>42736</v>
          </cell>
          <cell r="BL15">
            <v>42767</v>
          </cell>
          <cell r="BM15">
            <v>42795</v>
          </cell>
          <cell r="BN15">
            <v>42826</v>
          </cell>
          <cell r="BO15">
            <v>42856</v>
          </cell>
          <cell r="BP15">
            <v>42887</v>
          </cell>
          <cell r="BQ15">
            <v>42917</v>
          </cell>
          <cell r="BR15">
            <v>42948</v>
          </cell>
          <cell r="BS15">
            <v>42979</v>
          </cell>
          <cell r="BT15">
            <v>43009</v>
          </cell>
          <cell r="BU15">
            <v>43040</v>
          </cell>
          <cell r="BV15">
            <v>43070</v>
          </cell>
          <cell r="BW15">
            <v>43101</v>
          </cell>
          <cell r="BX15">
            <v>43132</v>
          </cell>
          <cell r="BY15">
            <v>43160</v>
          </cell>
          <cell r="BZ15">
            <v>43191</v>
          </cell>
          <cell r="CA15">
            <v>43221</v>
          </cell>
          <cell r="CB15">
            <v>43252</v>
          </cell>
          <cell r="CC15">
            <v>43282</v>
          </cell>
          <cell r="CD15">
            <v>43313</v>
          </cell>
          <cell r="CE15">
            <v>43344</v>
          </cell>
          <cell r="CF15">
            <v>43374</v>
          </cell>
          <cell r="CG15">
            <v>43405</v>
          </cell>
          <cell r="CH15">
            <v>43435</v>
          </cell>
          <cell r="CI15">
            <v>43466</v>
          </cell>
          <cell r="CJ15">
            <v>43497</v>
          </cell>
          <cell r="CK15">
            <v>43525</v>
          </cell>
          <cell r="CL15">
            <v>43556</v>
          </cell>
          <cell r="CM15">
            <v>43586</v>
          </cell>
          <cell r="CN15">
            <v>43617</v>
          </cell>
          <cell r="CO15">
            <v>43647</v>
          </cell>
          <cell r="CP15">
            <v>43678</v>
          </cell>
          <cell r="CQ15">
            <v>43709</v>
          </cell>
          <cell r="CR15">
            <v>43739</v>
          </cell>
          <cell r="CS15">
            <v>43770</v>
          </cell>
          <cell r="CT15">
            <v>43800</v>
          </cell>
          <cell r="CU15">
            <v>43831</v>
          </cell>
          <cell r="CV15">
            <v>43862</v>
          </cell>
          <cell r="CW15">
            <v>43891</v>
          </cell>
          <cell r="CX15">
            <v>43922</v>
          </cell>
          <cell r="CY15">
            <v>43952</v>
          </cell>
          <cell r="CZ15">
            <v>43983</v>
          </cell>
          <cell r="DA15">
            <v>44013</v>
          </cell>
          <cell r="DB15">
            <v>44044</v>
          </cell>
          <cell r="DC15">
            <v>44075</v>
          </cell>
          <cell r="DD15">
            <v>44105</v>
          </cell>
          <cell r="DE15">
            <v>44136</v>
          </cell>
          <cell r="DF15">
            <v>44166</v>
          </cell>
          <cell r="DG15">
            <v>44197</v>
          </cell>
          <cell r="DH15">
            <v>44228</v>
          </cell>
          <cell r="DI15">
            <v>44256</v>
          </cell>
          <cell r="DJ15">
            <v>44287</v>
          </cell>
          <cell r="DK15">
            <v>44317</v>
          </cell>
          <cell r="DL15">
            <v>44348</v>
          </cell>
          <cell r="DM15">
            <v>44378</v>
          </cell>
          <cell r="DN15">
            <v>44409</v>
          </cell>
          <cell r="DO15">
            <v>44440</v>
          </cell>
          <cell r="DP15">
            <v>44470</v>
          </cell>
          <cell r="DQ15">
            <v>44501</v>
          </cell>
          <cell r="DR15">
            <v>44531</v>
          </cell>
          <cell r="DS15">
            <v>44562</v>
          </cell>
          <cell r="DT15">
            <v>44593</v>
          </cell>
          <cell r="DU15">
            <v>44621</v>
          </cell>
          <cell r="DV15">
            <v>44652</v>
          </cell>
          <cell r="DW15">
            <v>44682</v>
          </cell>
          <cell r="DX15">
            <v>44713</v>
          </cell>
          <cell r="DY15">
            <v>44743</v>
          </cell>
          <cell r="DZ15">
            <v>44774</v>
          </cell>
          <cell r="EA15">
            <v>44805</v>
          </cell>
          <cell r="EB15">
            <v>44835</v>
          </cell>
          <cell r="EC15">
            <v>44866</v>
          </cell>
          <cell r="ED15">
            <v>44896</v>
          </cell>
        </row>
        <row r="16">
          <cell r="C16">
            <v>400</v>
          </cell>
          <cell r="D16">
            <v>400</v>
          </cell>
          <cell r="E16">
            <v>432</v>
          </cell>
          <cell r="F16">
            <v>400</v>
          </cell>
          <cell r="G16">
            <v>416</v>
          </cell>
          <cell r="H16">
            <v>416</v>
          </cell>
          <cell r="I16">
            <v>400</v>
          </cell>
          <cell r="J16">
            <v>432</v>
          </cell>
          <cell r="K16">
            <v>384</v>
          </cell>
          <cell r="L16">
            <v>432</v>
          </cell>
          <cell r="M16">
            <v>400</v>
          </cell>
          <cell r="N16">
            <v>400</v>
          </cell>
          <cell r="O16">
            <v>416</v>
          </cell>
          <cell r="P16">
            <v>384</v>
          </cell>
          <cell r="Q16">
            <v>416</v>
          </cell>
          <cell r="R16">
            <v>416</v>
          </cell>
          <cell r="S16">
            <v>416</v>
          </cell>
          <cell r="T16">
            <v>400</v>
          </cell>
          <cell r="U16">
            <v>416</v>
          </cell>
          <cell r="V16">
            <v>432</v>
          </cell>
          <cell r="W16">
            <v>384</v>
          </cell>
          <cell r="X16">
            <v>432</v>
          </cell>
          <cell r="Y16">
            <v>400</v>
          </cell>
          <cell r="Z16">
            <v>400</v>
          </cell>
          <cell r="AA16">
            <v>416</v>
          </cell>
          <cell r="AB16">
            <v>384</v>
          </cell>
          <cell r="AC16">
            <v>416</v>
          </cell>
          <cell r="AD16">
            <v>416</v>
          </cell>
          <cell r="AE16">
            <v>416</v>
          </cell>
          <cell r="AF16">
            <v>400</v>
          </cell>
          <cell r="AG16">
            <v>416</v>
          </cell>
          <cell r="AH16">
            <v>416</v>
          </cell>
          <cell r="AI16">
            <v>400</v>
          </cell>
          <cell r="AJ16">
            <v>432</v>
          </cell>
          <cell r="AK16">
            <v>384</v>
          </cell>
          <cell r="AL16">
            <v>416</v>
          </cell>
          <cell r="AM16">
            <v>416</v>
          </cell>
          <cell r="AN16">
            <v>384</v>
          </cell>
          <cell r="AO16">
            <v>416</v>
          </cell>
          <cell r="AP16">
            <v>416</v>
          </cell>
          <cell r="AQ16">
            <v>400</v>
          </cell>
          <cell r="AR16">
            <v>416</v>
          </cell>
          <cell r="AS16">
            <v>416</v>
          </cell>
          <cell r="AT16">
            <v>416</v>
          </cell>
          <cell r="AU16">
            <v>400</v>
          </cell>
          <cell r="AV16">
            <v>432</v>
          </cell>
          <cell r="AW16">
            <v>384</v>
          </cell>
          <cell r="AX16">
            <v>416</v>
          </cell>
          <cell r="AY16">
            <v>400</v>
          </cell>
          <cell r="AZ16">
            <v>400</v>
          </cell>
          <cell r="BA16">
            <v>432</v>
          </cell>
          <cell r="BB16">
            <v>416</v>
          </cell>
          <cell r="BC16">
            <v>400</v>
          </cell>
          <cell r="BD16">
            <v>416</v>
          </cell>
          <cell r="BE16">
            <v>400</v>
          </cell>
          <cell r="BF16">
            <v>432</v>
          </cell>
          <cell r="BG16">
            <v>400</v>
          </cell>
          <cell r="BH16">
            <v>416</v>
          </cell>
          <cell r="BI16">
            <v>400</v>
          </cell>
          <cell r="BJ16">
            <v>416</v>
          </cell>
          <cell r="BK16">
            <v>400</v>
          </cell>
          <cell r="BL16">
            <v>384</v>
          </cell>
          <cell r="BM16">
            <v>432</v>
          </cell>
          <cell r="BN16">
            <v>400</v>
          </cell>
          <cell r="BO16">
            <v>416</v>
          </cell>
          <cell r="BP16">
            <v>416</v>
          </cell>
          <cell r="BQ16">
            <v>400</v>
          </cell>
          <cell r="BR16">
            <v>432</v>
          </cell>
          <cell r="BS16">
            <v>400</v>
          </cell>
          <cell r="BT16">
            <v>416</v>
          </cell>
          <cell r="BU16">
            <v>400</v>
          </cell>
          <cell r="BV16">
            <v>400</v>
          </cell>
          <cell r="BW16">
            <v>416</v>
          </cell>
          <cell r="BX16">
            <v>384</v>
          </cell>
          <cell r="BY16">
            <v>432</v>
          </cell>
          <cell r="BZ16">
            <v>400</v>
          </cell>
          <cell r="CA16">
            <v>416</v>
          </cell>
          <cell r="CB16">
            <v>416</v>
          </cell>
          <cell r="CC16">
            <v>400</v>
          </cell>
          <cell r="CD16">
            <v>432</v>
          </cell>
          <cell r="CE16">
            <v>384</v>
          </cell>
          <cell r="CF16">
            <v>432</v>
          </cell>
          <cell r="CG16">
            <v>400</v>
          </cell>
          <cell r="CH16">
            <v>400</v>
          </cell>
          <cell r="CI16">
            <v>416</v>
          </cell>
          <cell r="CJ16">
            <v>384</v>
          </cell>
          <cell r="CK16">
            <v>416</v>
          </cell>
          <cell r="CL16">
            <v>416</v>
          </cell>
          <cell r="CM16">
            <v>416</v>
          </cell>
          <cell r="CN16">
            <v>400</v>
          </cell>
          <cell r="CO16">
            <v>416</v>
          </cell>
          <cell r="CP16">
            <v>432</v>
          </cell>
          <cell r="CQ16">
            <v>384</v>
          </cell>
          <cell r="CR16">
            <v>432</v>
          </cell>
          <cell r="CS16">
            <v>400</v>
          </cell>
          <cell r="CT16">
            <v>400</v>
          </cell>
          <cell r="CU16">
            <v>416</v>
          </cell>
          <cell r="CV16">
            <v>400</v>
          </cell>
          <cell r="CW16">
            <v>416</v>
          </cell>
          <cell r="CX16">
            <v>416</v>
          </cell>
          <cell r="CY16">
            <v>400</v>
          </cell>
          <cell r="CZ16">
            <v>416</v>
          </cell>
          <cell r="DA16">
            <v>416</v>
          </cell>
          <cell r="DB16">
            <v>416</v>
          </cell>
          <cell r="DC16">
            <v>400</v>
          </cell>
          <cell r="DD16">
            <v>432</v>
          </cell>
          <cell r="DE16">
            <v>384</v>
          </cell>
          <cell r="DF16">
            <v>416</v>
          </cell>
          <cell r="DG16">
            <v>400</v>
          </cell>
          <cell r="DH16">
            <v>384</v>
          </cell>
          <cell r="DI16">
            <v>432</v>
          </cell>
          <cell r="DJ16">
            <v>416</v>
          </cell>
          <cell r="DK16">
            <v>400</v>
          </cell>
          <cell r="DL16">
            <v>416</v>
          </cell>
          <cell r="DM16">
            <v>416</v>
          </cell>
          <cell r="DN16">
            <v>416</v>
          </cell>
          <cell r="DO16">
            <v>400</v>
          </cell>
          <cell r="DP16">
            <v>416</v>
          </cell>
          <cell r="DQ16">
            <v>400</v>
          </cell>
          <cell r="DR16">
            <v>416</v>
          </cell>
          <cell r="DS16">
            <v>400</v>
          </cell>
          <cell r="DT16">
            <v>384</v>
          </cell>
          <cell r="DU16">
            <v>432</v>
          </cell>
          <cell r="DV16">
            <v>416</v>
          </cell>
          <cell r="DW16">
            <v>400</v>
          </cell>
          <cell r="DX16">
            <v>416</v>
          </cell>
          <cell r="DY16">
            <v>400</v>
          </cell>
          <cell r="DZ16">
            <v>432</v>
          </cell>
          <cell r="EA16">
            <v>400</v>
          </cell>
          <cell r="EB16">
            <v>416</v>
          </cell>
          <cell r="EC16">
            <v>400</v>
          </cell>
          <cell r="ED16">
            <v>416</v>
          </cell>
        </row>
        <row r="17">
          <cell r="C17">
            <v>344</v>
          </cell>
          <cell r="D17">
            <v>296</v>
          </cell>
          <cell r="E17">
            <v>312</v>
          </cell>
          <cell r="F17">
            <v>320</v>
          </cell>
          <cell r="G17">
            <v>328</v>
          </cell>
          <cell r="H17">
            <v>304</v>
          </cell>
          <cell r="I17">
            <v>344</v>
          </cell>
          <cell r="J17">
            <v>312</v>
          </cell>
          <cell r="K17">
            <v>336</v>
          </cell>
          <cell r="L17">
            <v>312</v>
          </cell>
          <cell r="M17">
            <v>320</v>
          </cell>
          <cell r="N17">
            <v>344</v>
          </cell>
          <cell r="O17">
            <v>328</v>
          </cell>
          <cell r="P17">
            <v>288</v>
          </cell>
          <cell r="Q17">
            <v>328</v>
          </cell>
          <cell r="R17">
            <v>304</v>
          </cell>
          <cell r="S17">
            <v>328</v>
          </cell>
          <cell r="T17">
            <v>320</v>
          </cell>
          <cell r="U17">
            <v>328</v>
          </cell>
          <cell r="V17">
            <v>312</v>
          </cell>
          <cell r="W17">
            <v>336</v>
          </cell>
          <cell r="X17">
            <v>312</v>
          </cell>
          <cell r="Y17">
            <v>320</v>
          </cell>
          <cell r="Z17">
            <v>344</v>
          </cell>
          <cell r="AA17">
            <v>328</v>
          </cell>
          <cell r="AB17">
            <v>288</v>
          </cell>
          <cell r="AC17">
            <v>328</v>
          </cell>
          <cell r="AD17">
            <v>304</v>
          </cell>
          <cell r="AE17">
            <v>328</v>
          </cell>
          <cell r="AF17">
            <v>320</v>
          </cell>
          <cell r="AG17">
            <v>328</v>
          </cell>
          <cell r="AH17">
            <v>328</v>
          </cell>
          <cell r="AI17">
            <v>320</v>
          </cell>
          <cell r="AJ17">
            <v>312</v>
          </cell>
          <cell r="AK17">
            <v>336</v>
          </cell>
          <cell r="AL17">
            <v>328</v>
          </cell>
          <cell r="AM17">
            <v>328</v>
          </cell>
          <cell r="AN17">
            <v>288</v>
          </cell>
          <cell r="AO17">
            <v>328</v>
          </cell>
          <cell r="AP17">
            <v>304</v>
          </cell>
          <cell r="AQ17">
            <v>344</v>
          </cell>
          <cell r="AR17">
            <v>304</v>
          </cell>
          <cell r="AS17">
            <v>328</v>
          </cell>
          <cell r="AT17">
            <v>328</v>
          </cell>
          <cell r="AU17">
            <v>320</v>
          </cell>
          <cell r="AV17">
            <v>312</v>
          </cell>
          <cell r="AW17">
            <v>336</v>
          </cell>
          <cell r="AX17">
            <v>328</v>
          </cell>
          <cell r="AY17">
            <v>344</v>
          </cell>
          <cell r="AZ17">
            <v>296</v>
          </cell>
          <cell r="BA17">
            <v>312</v>
          </cell>
          <cell r="BB17">
            <v>304</v>
          </cell>
          <cell r="BC17">
            <v>344</v>
          </cell>
          <cell r="BD17">
            <v>304</v>
          </cell>
          <cell r="BE17">
            <v>344</v>
          </cell>
          <cell r="BF17">
            <v>312</v>
          </cell>
          <cell r="BG17">
            <v>320</v>
          </cell>
          <cell r="BH17">
            <v>328</v>
          </cell>
          <cell r="BI17">
            <v>320</v>
          </cell>
          <cell r="BJ17">
            <v>328</v>
          </cell>
          <cell r="BK17">
            <v>344</v>
          </cell>
          <cell r="BL17">
            <v>288</v>
          </cell>
          <cell r="BM17">
            <v>312</v>
          </cell>
          <cell r="BN17">
            <v>320</v>
          </cell>
          <cell r="BO17">
            <v>328</v>
          </cell>
          <cell r="BP17">
            <v>304</v>
          </cell>
          <cell r="BQ17">
            <v>344</v>
          </cell>
          <cell r="BR17">
            <v>312</v>
          </cell>
          <cell r="BS17">
            <v>320</v>
          </cell>
          <cell r="BT17">
            <v>328</v>
          </cell>
          <cell r="BU17">
            <v>320</v>
          </cell>
          <cell r="BV17">
            <v>344</v>
          </cell>
          <cell r="BW17">
            <v>328</v>
          </cell>
          <cell r="BX17">
            <v>288</v>
          </cell>
          <cell r="BY17">
            <v>312</v>
          </cell>
          <cell r="BZ17">
            <v>320</v>
          </cell>
          <cell r="CA17">
            <v>328</v>
          </cell>
          <cell r="CB17">
            <v>304</v>
          </cell>
          <cell r="CC17">
            <v>344</v>
          </cell>
          <cell r="CD17">
            <v>312</v>
          </cell>
          <cell r="CE17">
            <v>336</v>
          </cell>
          <cell r="CF17">
            <v>312</v>
          </cell>
          <cell r="CG17">
            <v>320</v>
          </cell>
          <cell r="CH17">
            <v>344</v>
          </cell>
          <cell r="CI17">
            <v>328</v>
          </cell>
          <cell r="CJ17">
            <v>288</v>
          </cell>
          <cell r="CK17">
            <v>328</v>
          </cell>
          <cell r="CL17">
            <v>304</v>
          </cell>
          <cell r="CM17">
            <v>328</v>
          </cell>
          <cell r="CN17">
            <v>320</v>
          </cell>
          <cell r="CO17">
            <v>328</v>
          </cell>
          <cell r="CP17">
            <v>312</v>
          </cell>
          <cell r="CQ17">
            <v>336</v>
          </cell>
          <cell r="CR17">
            <v>312</v>
          </cell>
          <cell r="CS17">
            <v>320</v>
          </cell>
          <cell r="CT17">
            <v>344</v>
          </cell>
          <cell r="CU17">
            <v>328</v>
          </cell>
          <cell r="CV17">
            <v>296</v>
          </cell>
          <cell r="CW17">
            <v>328</v>
          </cell>
          <cell r="CX17">
            <v>304</v>
          </cell>
          <cell r="CY17">
            <v>344</v>
          </cell>
          <cell r="CZ17">
            <v>304</v>
          </cell>
          <cell r="DA17">
            <v>328</v>
          </cell>
          <cell r="DB17">
            <v>328</v>
          </cell>
          <cell r="DC17">
            <v>320</v>
          </cell>
          <cell r="DD17">
            <v>312</v>
          </cell>
          <cell r="DE17">
            <v>336</v>
          </cell>
          <cell r="DF17">
            <v>328</v>
          </cell>
          <cell r="DG17">
            <v>344</v>
          </cell>
          <cell r="DH17">
            <v>288</v>
          </cell>
          <cell r="DI17">
            <v>312</v>
          </cell>
          <cell r="DJ17">
            <v>304</v>
          </cell>
          <cell r="DK17">
            <v>344</v>
          </cell>
          <cell r="DL17">
            <v>304</v>
          </cell>
          <cell r="DM17">
            <v>328</v>
          </cell>
          <cell r="DN17">
            <v>328</v>
          </cell>
          <cell r="DO17">
            <v>320</v>
          </cell>
          <cell r="DP17">
            <v>328</v>
          </cell>
          <cell r="DQ17">
            <v>320</v>
          </cell>
          <cell r="DR17">
            <v>328</v>
          </cell>
          <cell r="DS17">
            <v>344</v>
          </cell>
          <cell r="DT17">
            <v>288</v>
          </cell>
          <cell r="DU17">
            <v>312</v>
          </cell>
          <cell r="DV17">
            <v>304</v>
          </cell>
          <cell r="DW17">
            <v>344</v>
          </cell>
          <cell r="DX17">
            <v>304</v>
          </cell>
          <cell r="DY17">
            <v>344</v>
          </cell>
          <cell r="DZ17">
            <v>312</v>
          </cell>
          <cell r="EA17">
            <v>320</v>
          </cell>
          <cell r="EB17">
            <v>328</v>
          </cell>
          <cell r="EC17">
            <v>320</v>
          </cell>
          <cell r="ED17">
            <v>328</v>
          </cell>
        </row>
        <row r="18">
          <cell r="C18">
            <v>744</v>
          </cell>
          <cell r="D18">
            <v>696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  <cell r="AA18">
            <v>744</v>
          </cell>
          <cell r="AB18">
            <v>672</v>
          </cell>
          <cell r="AC18">
            <v>744</v>
          </cell>
          <cell r="AD18">
            <v>720</v>
          </cell>
          <cell r="AE18">
            <v>744</v>
          </cell>
          <cell r="AF18">
            <v>720</v>
          </cell>
          <cell r="AG18">
            <v>744</v>
          </cell>
          <cell r="AH18">
            <v>744</v>
          </cell>
          <cell r="AI18">
            <v>720</v>
          </cell>
          <cell r="AJ18">
            <v>744</v>
          </cell>
          <cell r="AK18">
            <v>720</v>
          </cell>
          <cell r="AL18">
            <v>744</v>
          </cell>
          <cell r="AM18">
            <v>744</v>
          </cell>
          <cell r="AN18">
            <v>672</v>
          </cell>
          <cell r="AO18">
            <v>744</v>
          </cell>
          <cell r="AP18">
            <v>720</v>
          </cell>
          <cell r="AQ18">
            <v>744</v>
          </cell>
          <cell r="AR18">
            <v>720</v>
          </cell>
          <cell r="AS18">
            <v>744</v>
          </cell>
          <cell r="AT18">
            <v>744</v>
          </cell>
          <cell r="AU18">
            <v>720</v>
          </cell>
          <cell r="AV18">
            <v>744</v>
          </cell>
          <cell r="AW18">
            <v>720</v>
          </cell>
          <cell r="AX18">
            <v>744</v>
          </cell>
          <cell r="AY18">
            <v>744</v>
          </cell>
          <cell r="AZ18">
            <v>696</v>
          </cell>
          <cell r="BA18">
            <v>744</v>
          </cell>
          <cell r="BB18">
            <v>720</v>
          </cell>
          <cell r="BC18">
            <v>744</v>
          </cell>
          <cell r="BD18">
            <v>720</v>
          </cell>
          <cell r="BE18">
            <v>744</v>
          </cell>
          <cell r="BF18">
            <v>744</v>
          </cell>
          <cell r="BG18">
            <v>720</v>
          </cell>
          <cell r="BH18">
            <v>744</v>
          </cell>
          <cell r="BI18">
            <v>720</v>
          </cell>
          <cell r="BJ18">
            <v>744</v>
          </cell>
          <cell r="BK18">
            <v>744</v>
          </cell>
          <cell r="BL18">
            <v>672</v>
          </cell>
          <cell r="BM18">
            <v>744</v>
          </cell>
          <cell r="BN18">
            <v>720</v>
          </cell>
          <cell r="BO18">
            <v>744</v>
          </cell>
          <cell r="BP18">
            <v>720</v>
          </cell>
          <cell r="BQ18">
            <v>744</v>
          </cell>
          <cell r="BR18">
            <v>744</v>
          </cell>
          <cell r="BS18">
            <v>720</v>
          </cell>
          <cell r="BT18">
            <v>744</v>
          </cell>
          <cell r="BU18">
            <v>720</v>
          </cell>
          <cell r="BV18">
            <v>744</v>
          </cell>
          <cell r="BW18">
            <v>744</v>
          </cell>
          <cell r="BX18">
            <v>672</v>
          </cell>
          <cell r="BY18">
            <v>744</v>
          </cell>
          <cell r="BZ18">
            <v>720</v>
          </cell>
          <cell r="CA18">
            <v>744</v>
          </cell>
          <cell r="CB18">
            <v>720</v>
          </cell>
          <cell r="CC18">
            <v>744</v>
          </cell>
          <cell r="CD18">
            <v>744</v>
          </cell>
          <cell r="CE18">
            <v>720</v>
          </cell>
          <cell r="CF18">
            <v>744</v>
          </cell>
          <cell r="CG18">
            <v>720</v>
          </cell>
          <cell r="CH18">
            <v>744</v>
          </cell>
          <cell r="CI18">
            <v>744</v>
          </cell>
          <cell r="CJ18">
            <v>672</v>
          </cell>
          <cell r="CK18">
            <v>744</v>
          </cell>
          <cell r="CL18">
            <v>720</v>
          </cell>
          <cell r="CM18">
            <v>744</v>
          </cell>
          <cell r="CN18">
            <v>720</v>
          </cell>
          <cell r="CO18">
            <v>744</v>
          </cell>
          <cell r="CP18">
            <v>744</v>
          </cell>
          <cell r="CQ18">
            <v>720</v>
          </cell>
          <cell r="CR18">
            <v>744</v>
          </cell>
          <cell r="CS18">
            <v>720</v>
          </cell>
          <cell r="CT18">
            <v>744</v>
          </cell>
          <cell r="CU18">
            <v>744</v>
          </cell>
          <cell r="CV18">
            <v>696</v>
          </cell>
          <cell r="CW18">
            <v>744</v>
          </cell>
          <cell r="CX18">
            <v>720</v>
          </cell>
          <cell r="CY18">
            <v>744</v>
          </cell>
          <cell r="CZ18">
            <v>720</v>
          </cell>
          <cell r="DA18">
            <v>744</v>
          </cell>
          <cell r="DB18">
            <v>744</v>
          </cell>
          <cell r="DC18">
            <v>720</v>
          </cell>
          <cell r="DD18">
            <v>744</v>
          </cell>
          <cell r="DE18">
            <v>720</v>
          </cell>
          <cell r="DF18">
            <v>744</v>
          </cell>
          <cell r="DG18">
            <v>744</v>
          </cell>
          <cell r="DH18">
            <v>672</v>
          </cell>
          <cell r="DI18">
            <v>744</v>
          </cell>
          <cell r="DJ18">
            <v>720</v>
          </cell>
          <cell r="DK18">
            <v>744</v>
          </cell>
          <cell r="DL18">
            <v>720</v>
          </cell>
          <cell r="DM18">
            <v>744</v>
          </cell>
          <cell r="DN18">
            <v>744</v>
          </cell>
          <cell r="DO18">
            <v>720</v>
          </cell>
          <cell r="DP18">
            <v>744</v>
          </cell>
          <cell r="DQ18">
            <v>720</v>
          </cell>
          <cell r="DR18">
            <v>744</v>
          </cell>
          <cell r="DS18">
            <v>744</v>
          </cell>
          <cell r="DT18">
            <v>672</v>
          </cell>
          <cell r="DU18">
            <v>744</v>
          </cell>
          <cell r="DV18">
            <v>720</v>
          </cell>
          <cell r="DW18">
            <v>744</v>
          </cell>
          <cell r="DX18">
            <v>720</v>
          </cell>
          <cell r="DY18">
            <v>744</v>
          </cell>
          <cell r="DZ18">
            <v>744</v>
          </cell>
          <cell r="EA18">
            <v>720</v>
          </cell>
          <cell r="EB18">
            <v>744</v>
          </cell>
          <cell r="EC18">
            <v>720</v>
          </cell>
          <cell r="ED18">
            <v>744</v>
          </cell>
        </row>
        <row r="19">
          <cell r="C19">
            <v>344</v>
          </cell>
          <cell r="D19">
            <v>296</v>
          </cell>
          <cell r="E19">
            <v>311</v>
          </cell>
          <cell r="F19">
            <v>320</v>
          </cell>
          <cell r="G19">
            <v>328</v>
          </cell>
          <cell r="H19">
            <v>304</v>
          </cell>
          <cell r="I19">
            <v>344</v>
          </cell>
          <cell r="J19">
            <v>312</v>
          </cell>
          <cell r="K19">
            <v>336</v>
          </cell>
          <cell r="L19">
            <v>312</v>
          </cell>
          <cell r="M19">
            <v>321</v>
          </cell>
          <cell r="N19">
            <v>344</v>
          </cell>
          <cell r="O19">
            <v>328</v>
          </cell>
          <cell r="P19">
            <v>288</v>
          </cell>
          <cell r="Q19">
            <v>327</v>
          </cell>
          <cell r="R19">
            <v>304</v>
          </cell>
          <cell r="S19">
            <v>328</v>
          </cell>
          <cell r="T19">
            <v>320</v>
          </cell>
          <cell r="U19">
            <v>328</v>
          </cell>
          <cell r="V19">
            <v>312</v>
          </cell>
          <cell r="W19">
            <v>336</v>
          </cell>
          <cell r="X19">
            <v>312</v>
          </cell>
          <cell r="Y19">
            <v>321</v>
          </cell>
          <cell r="Z19">
            <v>344</v>
          </cell>
          <cell r="AA19">
            <v>328</v>
          </cell>
          <cell r="AB19">
            <v>288</v>
          </cell>
          <cell r="AC19">
            <v>327</v>
          </cell>
          <cell r="AD19">
            <v>304</v>
          </cell>
          <cell r="AE19">
            <v>328</v>
          </cell>
          <cell r="AF19">
            <v>320</v>
          </cell>
          <cell r="AG19">
            <v>328</v>
          </cell>
          <cell r="AH19">
            <v>328</v>
          </cell>
          <cell r="AI19">
            <v>320</v>
          </cell>
          <cell r="AJ19">
            <v>312</v>
          </cell>
          <cell r="AK19">
            <v>337</v>
          </cell>
          <cell r="AL19">
            <v>328</v>
          </cell>
          <cell r="AM19">
            <v>328</v>
          </cell>
          <cell r="AN19">
            <v>288</v>
          </cell>
          <cell r="AO19">
            <v>327</v>
          </cell>
          <cell r="AP19">
            <v>304</v>
          </cell>
          <cell r="AQ19">
            <v>344</v>
          </cell>
          <cell r="AR19">
            <v>304</v>
          </cell>
          <cell r="AS19">
            <v>328</v>
          </cell>
          <cell r="AT19">
            <v>328</v>
          </cell>
          <cell r="AU19">
            <v>320</v>
          </cell>
          <cell r="AV19">
            <v>312</v>
          </cell>
          <cell r="AW19">
            <v>337</v>
          </cell>
          <cell r="AX19">
            <v>328</v>
          </cell>
          <cell r="AY19">
            <v>344</v>
          </cell>
          <cell r="AZ19">
            <v>296</v>
          </cell>
          <cell r="BA19">
            <v>311</v>
          </cell>
          <cell r="BB19">
            <v>304</v>
          </cell>
          <cell r="BC19">
            <v>344</v>
          </cell>
          <cell r="BD19">
            <v>304</v>
          </cell>
          <cell r="BE19">
            <v>344</v>
          </cell>
          <cell r="BF19">
            <v>312</v>
          </cell>
          <cell r="BG19">
            <v>320</v>
          </cell>
          <cell r="BH19">
            <v>328</v>
          </cell>
          <cell r="BI19">
            <v>321</v>
          </cell>
          <cell r="BJ19">
            <v>328</v>
          </cell>
          <cell r="BK19">
            <v>344</v>
          </cell>
          <cell r="BL19">
            <v>288</v>
          </cell>
          <cell r="BM19">
            <v>311</v>
          </cell>
          <cell r="BN19">
            <v>320</v>
          </cell>
          <cell r="BO19">
            <v>328</v>
          </cell>
          <cell r="BP19">
            <v>304</v>
          </cell>
          <cell r="BQ19">
            <v>344</v>
          </cell>
          <cell r="BR19">
            <v>312</v>
          </cell>
          <cell r="BS19">
            <v>320</v>
          </cell>
          <cell r="BT19">
            <v>328</v>
          </cell>
          <cell r="BU19">
            <v>321</v>
          </cell>
          <cell r="BV19">
            <v>344</v>
          </cell>
          <cell r="BW19">
            <v>328</v>
          </cell>
          <cell r="BX19">
            <v>288</v>
          </cell>
          <cell r="BY19">
            <v>311</v>
          </cell>
          <cell r="BZ19">
            <v>320</v>
          </cell>
          <cell r="CA19">
            <v>328</v>
          </cell>
          <cell r="CB19">
            <v>304</v>
          </cell>
          <cell r="CC19">
            <v>344</v>
          </cell>
          <cell r="CD19">
            <v>312</v>
          </cell>
          <cell r="CE19">
            <v>336</v>
          </cell>
          <cell r="CF19">
            <v>312</v>
          </cell>
          <cell r="CG19">
            <v>321</v>
          </cell>
          <cell r="CH19">
            <v>344</v>
          </cell>
          <cell r="CI19">
            <v>328</v>
          </cell>
          <cell r="CJ19">
            <v>288</v>
          </cell>
          <cell r="CK19">
            <v>327</v>
          </cell>
          <cell r="CL19">
            <v>304</v>
          </cell>
          <cell r="CM19">
            <v>328</v>
          </cell>
          <cell r="CN19">
            <v>320</v>
          </cell>
          <cell r="CO19">
            <v>328</v>
          </cell>
          <cell r="CP19">
            <v>312</v>
          </cell>
          <cell r="CQ19">
            <v>336</v>
          </cell>
          <cell r="CR19">
            <v>312</v>
          </cell>
          <cell r="CS19">
            <v>321</v>
          </cell>
          <cell r="CT19">
            <v>344</v>
          </cell>
          <cell r="CU19">
            <v>328</v>
          </cell>
          <cell r="CV19">
            <v>296</v>
          </cell>
          <cell r="CW19">
            <v>327</v>
          </cell>
          <cell r="CX19">
            <v>304</v>
          </cell>
          <cell r="CY19">
            <v>344</v>
          </cell>
          <cell r="CZ19">
            <v>304</v>
          </cell>
          <cell r="DA19">
            <v>328</v>
          </cell>
          <cell r="DB19">
            <v>328</v>
          </cell>
          <cell r="DC19">
            <v>320</v>
          </cell>
          <cell r="DD19">
            <v>312</v>
          </cell>
          <cell r="DE19">
            <v>337</v>
          </cell>
          <cell r="DF19">
            <v>328</v>
          </cell>
          <cell r="DG19">
            <v>344</v>
          </cell>
          <cell r="DH19">
            <v>288</v>
          </cell>
          <cell r="DI19">
            <v>311</v>
          </cell>
          <cell r="DJ19">
            <v>304</v>
          </cell>
          <cell r="DK19">
            <v>344</v>
          </cell>
          <cell r="DL19">
            <v>304</v>
          </cell>
          <cell r="DM19">
            <v>328</v>
          </cell>
          <cell r="DN19">
            <v>328</v>
          </cell>
          <cell r="DO19">
            <v>320</v>
          </cell>
          <cell r="DP19">
            <v>328</v>
          </cell>
          <cell r="DQ19">
            <v>321</v>
          </cell>
          <cell r="DR19">
            <v>328</v>
          </cell>
          <cell r="DS19">
            <v>344</v>
          </cell>
          <cell r="DT19">
            <v>288</v>
          </cell>
          <cell r="DU19">
            <v>311</v>
          </cell>
          <cell r="DV19">
            <v>304</v>
          </cell>
          <cell r="DW19">
            <v>344</v>
          </cell>
          <cell r="DX19">
            <v>304</v>
          </cell>
          <cell r="DY19">
            <v>344</v>
          </cell>
          <cell r="DZ19">
            <v>312</v>
          </cell>
          <cell r="EA19">
            <v>320</v>
          </cell>
          <cell r="EB19">
            <v>328</v>
          </cell>
          <cell r="EC19">
            <v>321</v>
          </cell>
          <cell r="ED19">
            <v>328</v>
          </cell>
        </row>
        <row r="20">
          <cell r="C20">
            <v>744</v>
          </cell>
          <cell r="D20">
            <v>696</v>
          </cell>
          <cell r="E20">
            <v>743</v>
          </cell>
          <cell r="F20">
            <v>720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744</v>
          </cell>
          <cell r="M20">
            <v>721</v>
          </cell>
          <cell r="N20">
            <v>744</v>
          </cell>
          <cell r="O20">
            <v>744</v>
          </cell>
          <cell r="P20">
            <v>672</v>
          </cell>
          <cell r="Q20">
            <v>743</v>
          </cell>
          <cell r="R20">
            <v>720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744</v>
          </cell>
          <cell r="Y20">
            <v>721</v>
          </cell>
          <cell r="Z20">
            <v>744</v>
          </cell>
          <cell r="AA20">
            <v>744</v>
          </cell>
          <cell r="AB20">
            <v>672</v>
          </cell>
          <cell r="AC20">
            <v>743</v>
          </cell>
          <cell r="AD20">
            <v>720</v>
          </cell>
          <cell r="AE20">
            <v>744</v>
          </cell>
          <cell r="AF20">
            <v>720</v>
          </cell>
          <cell r="AG20">
            <v>744</v>
          </cell>
          <cell r="AH20">
            <v>744</v>
          </cell>
          <cell r="AI20">
            <v>720</v>
          </cell>
          <cell r="AJ20">
            <v>744</v>
          </cell>
          <cell r="AK20">
            <v>721</v>
          </cell>
          <cell r="AL20">
            <v>744</v>
          </cell>
          <cell r="AM20">
            <v>744</v>
          </cell>
          <cell r="AN20">
            <v>672</v>
          </cell>
          <cell r="AO20">
            <v>743</v>
          </cell>
          <cell r="AP20">
            <v>720</v>
          </cell>
          <cell r="AQ20">
            <v>744</v>
          </cell>
          <cell r="AR20">
            <v>720</v>
          </cell>
          <cell r="AS20">
            <v>744</v>
          </cell>
          <cell r="AT20">
            <v>744</v>
          </cell>
          <cell r="AU20">
            <v>720</v>
          </cell>
          <cell r="AV20">
            <v>744</v>
          </cell>
          <cell r="AW20">
            <v>721</v>
          </cell>
          <cell r="AX20">
            <v>744</v>
          </cell>
          <cell r="AY20">
            <v>744</v>
          </cell>
          <cell r="AZ20">
            <v>696</v>
          </cell>
          <cell r="BA20">
            <v>743</v>
          </cell>
          <cell r="BB20">
            <v>720</v>
          </cell>
          <cell r="BC20">
            <v>744</v>
          </cell>
          <cell r="BD20">
            <v>720</v>
          </cell>
          <cell r="BE20">
            <v>744</v>
          </cell>
          <cell r="BF20">
            <v>744</v>
          </cell>
          <cell r="BG20">
            <v>720</v>
          </cell>
          <cell r="BH20">
            <v>744</v>
          </cell>
          <cell r="BI20">
            <v>721</v>
          </cell>
          <cell r="BJ20">
            <v>744</v>
          </cell>
          <cell r="BK20">
            <v>744</v>
          </cell>
          <cell r="BL20">
            <v>672</v>
          </cell>
          <cell r="BM20">
            <v>743</v>
          </cell>
          <cell r="BN20">
            <v>720</v>
          </cell>
          <cell r="BO20">
            <v>744</v>
          </cell>
          <cell r="BP20">
            <v>720</v>
          </cell>
          <cell r="BQ20">
            <v>744</v>
          </cell>
          <cell r="BR20">
            <v>744</v>
          </cell>
          <cell r="BS20">
            <v>720</v>
          </cell>
          <cell r="BT20">
            <v>744</v>
          </cell>
          <cell r="BU20">
            <v>721</v>
          </cell>
          <cell r="BV20">
            <v>744</v>
          </cell>
          <cell r="BW20">
            <v>744</v>
          </cell>
          <cell r="BX20">
            <v>672</v>
          </cell>
          <cell r="BY20">
            <v>743</v>
          </cell>
          <cell r="BZ20">
            <v>720</v>
          </cell>
          <cell r="CA20">
            <v>744</v>
          </cell>
          <cell r="CB20">
            <v>720</v>
          </cell>
          <cell r="CC20">
            <v>744</v>
          </cell>
          <cell r="CD20">
            <v>744</v>
          </cell>
          <cell r="CE20">
            <v>720</v>
          </cell>
          <cell r="CF20">
            <v>744</v>
          </cell>
          <cell r="CG20">
            <v>721</v>
          </cell>
          <cell r="CH20">
            <v>744</v>
          </cell>
          <cell r="CI20">
            <v>744</v>
          </cell>
          <cell r="CJ20">
            <v>672</v>
          </cell>
          <cell r="CK20">
            <v>743</v>
          </cell>
          <cell r="CL20">
            <v>720</v>
          </cell>
          <cell r="CM20">
            <v>744</v>
          </cell>
          <cell r="CN20">
            <v>720</v>
          </cell>
          <cell r="CO20">
            <v>744</v>
          </cell>
          <cell r="CP20">
            <v>744</v>
          </cell>
          <cell r="CQ20">
            <v>720</v>
          </cell>
          <cell r="CR20">
            <v>744</v>
          </cell>
          <cell r="CS20">
            <v>721</v>
          </cell>
          <cell r="CT20">
            <v>744</v>
          </cell>
          <cell r="CU20">
            <v>744</v>
          </cell>
          <cell r="CV20">
            <v>696</v>
          </cell>
          <cell r="CW20">
            <v>743</v>
          </cell>
          <cell r="CX20">
            <v>720</v>
          </cell>
          <cell r="CY20">
            <v>744</v>
          </cell>
          <cell r="CZ20">
            <v>720</v>
          </cell>
          <cell r="DA20">
            <v>744</v>
          </cell>
          <cell r="DB20">
            <v>744</v>
          </cell>
          <cell r="DC20">
            <v>720</v>
          </cell>
          <cell r="DD20">
            <v>744</v>
          </cell>
          <cell r="DE20">
            <v>721</v>
          </cell>
          <cell r="DF20">
            <v>744</v>
          </cell>
          <cell r="DG20">
            <v>744</v>
          </cell>
          <cell r="DH20">
            <v>672</v>
          </cell>
          <cell r="DI20">
            <v>743</v>
          </cell>
          <cell r="DJ20">
            <v>720</v>
          </cell>
          <cell r="DK20">
            <v>744</v>
          </cell>
          <cell r="DL20">
            <v>720</v>
          </cell>
          <cell r="DM20">
            <v>744</v>
          </cell>
          <cell r="DN20">
            <v>744</v>
          </cell>
          <cell r="DO20">
            <v>720</v>
          </cell>
          <cell r="DP20">
            <v>744</v>
          </cell>
          <cell r="DQ20">
            <v>721</v>
          </cell>
          <cell r="DR20">
            <v>744</v>
          </cell>
          <cell r="DS20">
            <v>744</v>
          </cell>
          <cell r="DT20">
            <v>672</v>
          </cell>
          <cell r="DU20">
            <v>743</v>
          </cell>
          <cell r="DV20">
            <v>720</v>
          </cell>
          <cell r="DW20">
            <v>744</v>
          </cell>
          <cell r="DX20">
            <v>720</v>
          </cell>
          <cell r="DY20">
            <v>744</v>
          </cell>
          <cell r="DZ20">
            <v>744</v>
          </cell>
          <cell r="EA20">
            <v>720</v>
          </cell>
          <cell r="EB20">
            <v>744</v>
          </cell>
          <cell r="EC20">
            <v>721</v>
          </cell>
          <cell r="ED20">
            <v>744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09F91-D89D-4FF2-938F-FDF05020BFC1}">
  <dimension ref="A1:W175"/>
  <sheetViews>
    <sheetView view="pageBreakPreview" zoomScale="60" zoomScaleNormal="60" zoomScalePageLayoutView="50" workbookViewId="0">
      <selection activeCell="E30" sqref="E30"/>
    </sheetView>
  </sheetViews>
  <sheetFormatPr defaultColWidth="10.6640625" defaultRowHeight="15" outlineLevelRow="1" x14ac:dyDescent="0.25"/>
  <cols>
    <col min="1" max="1" width="12.33203125" style="6" customWidth="1"/>
    <col min="2" max="2" width="61" style="6" customWidth="1"/>
    <col min="3" max="3" width="14.83203125" style="6" hidden="1" customWidth="1"/>
    <col min="4" max="5" width="14.83203125" style="6" customWidth="1"/>
    <col min="6" max="6" width="15.6640625" style="6" customWidth="1"/>
    <col min="7" max="22" width="14.83203125" style="6" customWidth="1"/>
    <col min="23" max="23" width="24" style="6" customWidth="1"/>
    <col min="24" max="16384" width="10.6640625" style="6"/>
  </cols>
  <sheetData>
    <row r="1" spans="1:23" ht="15.75" x14ac:dyDescent="0.25">
      <c r="B1" s="315" t="s">
        <v>14</v>
      </c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</row>
    <row r="2" spans="1:23" ht="15.75" x14ac:dyDescent="0.25">
      <c r="A2" s="225"/>
      <c r="B2" s="315" t="s">
        <v>154</v>
      </c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</row>
    <row r="3" spans="1:23" ht="15.75" x14ac:dyDescent="0.25">
      <c r="B3" s="315" t="s">
        <v>155</v>
      </c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15"/>
      <c r="W3" s="315"/>
    </row>
    <row r="4" spans="1:23" x14ac:dyDescent="0.25">
      <c r="B4" s="226"/>
    </row>
    <row r="5" spans="1:23" x14ac:dyDescent="0.25">
      <c r="B5" s="227" t="s">
        <v>156</v>
      </c>
      <c r="C5" s="228">
        <v>2021</v>
      </c>
      <c r="D5" s="228">
        <v>2022</v>
      </c>
      <c r="E5" s="228">
        <v>2023</v>
      </c>
      <c r="F5" s="228">
        <v>2024</v>
      </c>
      <c r="G5" s="228">
        <v>2025</v>
      </c>
      <c r="H5" s="228">
        <v>2026</v>
      </c>
      <c r="I5" s="228">
        <v>2027</v>
      </c>
      <c r="J5" s="228">
        <v>2028</v>
      </c>
      <c r="K5" s="228">
        <v>2029</v>
      </c>
      <c r="L5" s="228">
        <v>2030</v>
      </c>
      <c r="M5" s="228">
        <v>2031</v>
      </c>
      <c r="N5" s="228">
        <v>2032</v>
      </c>
      <c r="O5" s="228">
        <v>2033</v>
      </c>
      <c r="P5" s="228">
        <v>2034</v>
      </c>
      <c r="Q5" s="228">
        <v>2035</v>
      </c>
      <c r="R5" s="228">
        <v>2036</v>
      </c>
      <c r="S5" s="228">
        <v>2037</v>
      </c>
      <c r="T5" s="228">
        <v>2038</v>
      </c>
      <c r="U5" s="228">
        <v>2039</v>
      </c>
      <c r="V5" s="228">
        <v>2040</v>
      </c>
      <c r="W5" s="228" t="s">
        <v>157</v>
      </c>
    </row>
    <row r="6" spans="1:23" x14ac:dyDescent="0.25">
      <c r="A6" s="229" t="s">
        <v>36</v>
      </c>
      <c r="B6" s="230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</row>
    <row r="7" spans="1:23" x14ac:dyDescent="0.25">
      <c r="A7" s="229"/>
      <c r="B7" s="232" t="s">
        <v>158</v>
      </c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33"/>
      <c r="W7" s="234"/>
    </row>
    <row r="8" spans="1:23" x14ac:dyDescent="0.25">
      <c r="A8" s="229"/>
      <c r="B8" s="235" t="s">
        <v>159</v>
      </c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</row>
    <row r="9" spans="1:23" x14ac:dyDescent="0.25">
      <c r="A9" s="229"/>
      <c r="B9" s="236" t="s">
        <v>160</v>
      </c>
      <c r="C9" s="231">
        <v>0</v>
      </c>
      <c r="D9" s="231">
        <v>0</v>
      </c>
      <c r="E9" s="231">
        <v>0</v>
      </c>
      <c r="F9" s="231">
        <v>0</v>
      </c>
      <c r="G9" s="231">
        <v>0</v>
      </c>
      <c r="H9" s="231">
        <v>-82.325599999999994</v>
      </c>
      <c r="I9" s="231">
        <v>0</v>
      </c>
      <c r="J9" s="231">
        <v>0</v>
      </c>
      <c r="K9" s="231">
        <v>0</v>
      </c>
      <c r="L9" s="231">
        <v>0</v>
      </c>
      <c r="M9" s="231">
        <v>0</v>
      </c>
      <c r="N9" s="231">
        <v>0</v>
      </c>
      <c r="O9" s="231">
        <v>0</v>
      </c>
      <c r="P9" s="231">
        <v>0</v>
      </c>
      <c r="Q9" s="231">
        <v>0</v>
      </c>
      <c r="R9" s="231">
        <v>0</v>
      </c>
      <c r="S9" s="231">
        <v>0</v>
      </c>
      <c r="T9" s="231">
        <v>0</v>
      </c>
      <c r="U9" s="231">
        <v>0</v>
      </c>
      <c r="V9" s="231">
        <v>0</v>
      </c>
      <c r="W9" s="231">
        <v>-82.325599999999994</v>
      </c>
    </row>
    <row r="10" spans="1:23" x14ac:dyDescent="0.25">
      <c r="A10" s="229"/>
      <c r="B10" s="236" t="s">
        <v>161</v>
      </c>
      <c r="C10" s="231">
        <v>0</v>
      </c>
      <c r="D10" s="231">
        <v>0</v>
      </c>
      <c r="E10" s="231">
        <v>0</v>
      </c>
      <c r="F10" s="231">
        <v>0</v>
      </c>
      <c r="G10" s="231">
        <v>0</v>
      </c>
      <c r="H10" s="231">
        <v>0</v>
      </c>
      <c r="I10" s="231">
        <v>0</v>
      </c>
      <c r="J10" s="231">
        <v>0</v>
      </c>
      <c r="K10" s="231">
        <v>-79.048000000000002</v>
      </c>
      <c r="L10" s="231">
        <v>0</v>
      </c>
      <c r="M10" s="231">
        <v>0</v>
      </c>
      <c r="N10" s="231">
        <v>0</v>
      </c>
      <c r="O10" s="231">
        <v>0</v>
      </c>
      <c r="P10" s="231">
        <v>0</v>
      </c>
      <c r="Q10" s="231">
        <v>0</v>
      </c>
      <c r="R10" s="231">
        <v>0</v>
      </c>
      <c r="S10" s="231">
        <v>0</v>
      </c>
      <c r="T10" s="231">
        <v>0</v>
      </c>
      <c r="U10" s="231">
        <v>0</v>
      </c>
      <c r="V10" s="231">
        <v>0</v>
      </c>
      <c r="W10" s="231">
        <v>-79.048000000000002</v>
      </c>
    </row>
    <row r="11" spans="1:23" x14ac:dyDescent="0.25">
      <c r="A11" s="229"/>
      <c r="B11" s="236" t="s">
        <v>68</v>
      </c>
      <c r="C11" s="231">
        <v>0</v>
      </c>
      <c r="D11" s="231">
        <v>0</v>
      </c>
      <c r="E11" s="231">
        <v>0</v>
      </c>
      <c r="F11" s="231">
        <v>0</v>
      </c>
      <c r="G11" s="231">
        <v>0</v>
      </c>
      <c r="H11" s="231">
        <v>0</v>
      </c>
      <c r="I11" s="231">
        <v>0</v>
      </c>
      <c r="J11" s="231">
        <v>-99</v>
      </c>
      <c r="K11" s="231">
        <v>0</v>
      </c>
      <c r="L11" s="231">
        <v>0</v>
      </c>
      <c r="M11" s="231">
        <v>0</v>
      </c>
      <c r="N11" s="231">
        <v>0</v>
      </c>
      <c r="O11" s="231">
        <v>0</v>
      </c>
      <c r="P11" s="231">
        <v>0</v>
      </c>
      <c r="Q11" s="231">
        <v>0</v>
      </c>
      <c r="R11" s="231">
        <v>0</v>
      </c>
      <c r="S11" s="231">
        <v>0</v>
      </c>
      <c r="T11" s="231">
        <v>0</v>
      </c>
      <c r="U11" s="231">
        <v>0</v>
      </c>
      <c r="V11" s="231">
        <v>0</v>
      </c>
      <c r="W11" s="231">
        <v>-99</v>
      </c>
    </row>
    <row r="12" spans="1:23" x14ac:dyDescent="0.25">
      <c r="A12" s="229"/>
      <c r="B12" s="236" t="s">
        <v>69</v>
      </c>
      <c r="C12" s="231">
        <v>0</v>
      </c>
      <c r="D12" s="231">
        <v>0</v>
      </c>
      <c r="E12" s="231">
        <v>0</v>
      </c>
      <c r="F12" s="231">
        <v>0</v>
      </c>
      <c r="G12" s="231">
        <v>0</v>
      </c>
      <c r="H12" s="231">
        <v>0</v>
      </c>
      <c r="I12" s="231">
        <v>0</v>
      </c>
      <c r="J12" s="231">
        <v>-106</v>
      </c>
      <c r="K12" s="231">
        <v>0</v>
      </c>
      <c r="L12" s="231">
        <v>0</v>
      </c>
      <c r="M12" s="231">
        <v>0</v>
      </c>
      <c r="N12" s="231">
        <v>0</v>
      </c>
      <c r="O12" s="231">
        <v>0</v>
      </c>
      <c r="P12" s="231">
        <v>0</v>
      </c>
      <c r="Q12" s="231">
        <v>0</v>
      </c>
      <c r="R12" s="231">
        <v>0</v>
      </c>
      <c r="S12" s="231">
        <v>0</v>
      </c>
      <c r="T12" s="231">
        <v>0</v>
      </c>
      <c r="U12" s="231">
        <v>0</v>
      </c>
      <c r="V12" s="231">
        <v>0</v>
      </c>
      <c r="W12" s="231">
        <v>-106</v>
      </c>
    </row>
    <row r="13" spans="1:23" x14ac:dyDescent="0.25">
      <c r="A13" s="229"/>
      <c r="B13" s="236" t="s">
        <v>70</v>
      </c>
      <c r="C13" s="231">
        <v>0</v>
      </c>
      <c r="D13" s="231">
        <v>0</v>
      </c>
      <c r="E13" s="231">
        <v>0</v>
      </c>
      <c r="F13" s="231">
        <v>0</v>
      </c>
      <c r="G13" s="231">
        <v>0</v>
      </c>
      <c r="H13" s="231">
        <v>0</v>
      </c>
      <c r="I13" s="231">
        <v>0</v>
      </c>
      <c r="J13" s="231">
        <v>-220</v>
      </c>
      <c r="K13" s="231">
        <v>0</v>
      </c>
      <c r="L13" s="231">
        <v>0</v>
      </c>
      <c r="M13" s="231">
        <v>0</v>
      </c>
      <c r="N13" s="231">
        <v>0</v>
      </c>
      <c r="O13" s="231">
        <v>0</v>
      </c>
      <c r="P13" s="231">
        <v>0</v>
      </c>
      <c r="Q13" s="231">
        <v>0</v>
      </c>
      <c r="R13" s="231">
        <v>0</v>
      </c>
      <c r="S13" s="231">
        <v>0</v>
      </c>
      <c r="T13" s="231">
        <v>0</v>
      </c>
      <c r="U13" s="231">
        <v>0</v>
      </c>
      <c r="V13" s="231">
        <v>0</v>
      </c>
      <c r="W13" s="231">
        <v>-220</v>
      </c>
    </row>
    <row r="14" spans="1:23" x14ac:dyDescent="0.25">
      <c r="A14" s="229"/>
      <c r="B14" s="236" t="s">
        <v>71</v>
      </c>
      <c r="C14" s="231">
        <v>0</v>
      </c>
      <c r="D14" s="231">
        <v>0</v>
      </c>
      <c r="E14" s="231">
        <v>0</v>
      </c>
      <c r="F14" s="231">
        <v>0</v>
      </c>
      <c r="G14" s="231">
        <v>0</v>
      </c>
      <c r="H14" s="231">
        <v>0</v>
      </c>
      <c r="I14" s="231">
        <v>0</v>
      </c>
      <c r="J14" s="231">
        <v>-330</v>
      </c>
      <c r="K14" s="231">
        <v>0</v>
      </c>
      <c r="L14" s="231">
        <v>0</v>
      </c>
      <c r="M14" s="231">
        <v>0</v>
      </c>
      <c r="N14" s="231">
        <v>0</v>
      </c>
      <c r="O14" s="231">
        <v>0</v>
      </c>
      <c r="P14" s="231">
        <v>0</v>
      </c>
      <c r="Q14" s="231">
        <v>0</v>
      </c>
      <c r="R14" s="231">
        <v>0</v>
      </c>
      <c r="S14" s="231">
        <v>0</v>
      </c>
      <c r="T14" s="231">
        <v>0</v>
      </c>
      <c r="U14" s="231">
        <v>0</v>
      </c>
      <c r="V14" s="231">
        <v>0</v>
      </c>
      <c r="W14" s="231">
        <v>-330</v>
      </c>
    </row>
    <row r="15" spans="1:23" x14ac:dyDescent="0.25">
      <c r="A15" s="229"/>
      <c r="B15" s="236" t="s">
        <v>66</v>
      </c>
      <c r="C15" s="231">
        <v>0</v>
      </c>
      <c r="D15" s="231">
        <v>0</v>
      </c>
      <c r="E15" s="231">
        <v>0</v>
      </c>
      <c r="F15" s="231">
        <v>0</v>
      </c>
      <c r="G15" s="231">
        <v>0</v>
      </c>
      <c r="H15" s="231">
        <v>0</v>
      </c>
      <c r="I15" s="231">
        <v>0</v>
      </c>
      <c r="J15" s="231">
        <v>0</v>
      </c>
      <c r="K15" s="231">
        <v>-43.854999999999997</v>
      </c>
      <c r="L15" s="231">
        <v>0</v>
      </c>
      <c r="M15" s="231">
        <v>0</v>
      </c>
      <c r="N15" s="231">
        <v>0</v>
      </c>
      <c r="O15" s="231">
        <v>0</v>
      </c>
      <c r="P15" s="231">
        <v>0</v>
      </c>
      <c r="Q15" s="231">
        <v>0</v>
      </c>
      <c r="R15" s="231">
        <v>0</v>
      </c>
      <c r="S15" s="231">
        <v>0</v>
      </c>
      <c r="T15" s="231">
        <v>0</v>
      </c>
      <c r="U15" s="231">
        <v>0</v>
      </c>
      <c r="V15" s="231">
        <v>0</v>
      </c>
      <c r="W15" s="231">
        <v>-43.854999999999997</v>
      </c>
    </row>
    <row r="16" spans="1:23" x14ac:dyDescent="0.25">
      <c r="A16" s="229"/>
      <c r="B16" s="236" t="s">
        <v>67</v>
      </c>
      <c r="C16" s="231">
        <v>0</v>
      </c>
      <c r="D16" s="231">
        <v>0</v>
      </c>
      <c r="E16" s="231">
        <v>0</v>
      </c>
      <c r="F16" s="231">
        <v>0</v>
      </c>
      <c r="G16" s="231">
        <v>0</v>
      </c>
      <c r="H16" s="231">
        <v>0</v>
      </c>
      <c r="I16" s="231">
        <v>0</v>
      </c>
      <c r="J16" s="231">
        <v>-33.012</v>
      </c>
      <c r="K16" s="231">
        <v>0</v>
      </c>
      <c r="L16" s="231">
        <v>0</v>
      </c>
      <c r="M16" s="231">
        <v>0</v>
      </c>
      <c r="N16" s="231">
        <v>0</v>
      </c>
      <c r="O16" s="231">
        <v>0</v>
      </c>
      <c r="P16" s="231">
        <v>0</v>
      </c>
      <c r="Q16" s="231">
        <v>0</v>
      </c>
      <c r="R16" s="231">
        <v>0</v>
      </c>
      <c r="S16" s="231">
        <v>0</v>
      </c>
      <c r="T16" s="231">
        <v>0</v>
      </c>
      <c r="U16" s="231">
        <v>0</v>
      </c>
      <c r="V16" s="231">
        <v>0</v>
      </c>
      <c r="W16" s="231">
        <v>-33.012</v>
      </c>
    </row>
    <row r="17" spans="1:23" x14ac:dyDescent="0.25">
      <c r="A17" s="229"/>
      <c r="B17" s="236" t="s">
        <v>114</v>
      </c>
      <c r="C17" s="231">
        <v>0</v>
      </c>
      <c r="D17" s="231">
        <v>0</v>
      </c>
      <c r="E17" s="231">
        <v>0</v>
      </c>
      <c r="F17" s="231">
        <v>0</v>
      </c>
      <c r="G17" s="231">
        <v>0</v>
      </c>
      <c r="H17" s="231">
        <v>0</v>
      </c>
      <c r="I17" s="231">
        <v>0</v>
      </c>
      <c r="J17" s="231">
        <v>0</v>
      </c>
      <c r="K17" s="231">
        <v>0</v>
      </c>
      <c r="L17" s="231">
        <v>0</v>
      </c>
      <c r="M17" s="231">
        <v>0</v>
      </c>
      <c r="N17" s="231">
        <v>0</v>
      </c>
      <c r="O17" s="231">
        <v>0</v>
      </c>
      <c r="P17" s="231">
        <v>0</v>
      </c>
      <c r="Q17" s="231">
        <v>0</v>
      </c>
      <c r="R17" s="231">
        <v>0</v>
      </c>
      <c r="S17" s="231">
        <v>-459</v>
      </c>
      <c r="T17" s="231">
        <v>0</v>
      </c>
      <c r="U17" s="231">
        <v>0</v>
      </c>
      <c r="V17" s="231">
        <v>0</v>
      </c>
      <c r="W17" s="231">
        <v>-459</v>
      </c>
    </row>
    <row r="18" spans="1:23" x14ac:dyDescent="0.25">
      <c r="A18" s="229"/>
      <c r="B18" s="236" t="s">
        <v>115</v>
      </c>
      <c r="C18" s="231">
        <v>0</v>
      </c>
      <c r="D18" s="231">
        <v>0</v>
      </c>
      <c r="E18" s="231">
        <v>0</v>
      </c>
      <c r="F18" s="231">
        <v>0</v>
      </c>
      <c r="G18" s="231">
        <v>0</v>
      </c>
      <c r="H18" s="231">
        <v>0</v>
      </c>
      <c r="I18" s="231">
        <v>0</v>
      </c>
      <c r="J18" s="231">
        <v>0</v>
      </c>
      <c r="K18" s="231">
        <v>0</v>
      </c>
      <c r="L18" s="231">
        <v>0</v>
      </c>
      <c r="M18" s="231">
        <v>0</v>
      </c>
      <c r="N18" s="231">
        <v>0</v>
      </c>
      <c r="O18" s="231">
        <v>0</v>
      </c>
      <c r="P18" s="231">
        <v>0</v>
      </c>
      <c r="Q18" s="231">
        <v>0</v>
      </c>
      <c r="R18" s="231">
        <v>0</v>
      </c>
      <c r="S18" s="231">
        <v>-450</v>
      </c>
      <c r="T18" s="231">
        <v>0</v>
      </c>
      <c r="U18" s="231">
        <v>0</v>
      </c>
      <c r="V18" s="231">
        <v>0</v>
      </c>
      <c r="W18" s="231">
        <v>-450</v>
      </c>
    </row>
    <row r="19" spans="1:23" ht="15.75" thickBot="1" x14ac:dyDescent="0.3">
      <c r="A19" s="229"/>
      <c r="B19" s="236" t="s">
        <v>162</v>
      </c>
      <c r="C19" s="231">
        <v>0</v>
      </c>
      <c r="D19" s="231">
        <v>0</v>
      </c>
      <c r="E19" s="231">
        <v>0</v>
      </c>
      <c r="F19" s="231">
        <v>0</v>
      </c>
      <c r="G19" s="231">
        <v>0</v>
      </c>
      <c r="H19" s="231">
        <v>0</v>
      </c>
      <c r="I19" s="231">
        <v>0</v>
      </c>
      <c r="J19" s="231">
        <v>0</v>
      </c>
      <c r="K19" s="231">
        <v>0</v>
      </c>
      <c r="L19" s="231">
        <v>0</v>
      </c>
      <c r="M19" s="231">
        <v>0</v>
      </c>
      <c r="N19" s="231">
        <v>0</v>
      </c>
      <c r="O19" s="231">
        <v>0</v>
      </c>
      <c r="P19" s="231">
        <v>0</v>
      </c>
      <c r="Q19" s="231">
        <v>0</v>
      </c>
      <c r="R19" s="231">
        <v>0</v>
      </c>
      <c r="S19" s="231">
        <v>0</v>
      </c>
      <c r="T19" s="231">
        <v>0</v>
      </c>
      <c r="U19" s="231">
        <v>0</v>
      </c>
      <c r="V19" s="231">
        <v>-268</v>
      </c>
      <c r="W19" s="231">
        <v>-268</v>
      </c>
    </row>
    <row r="20" spans="1:23" ht="15.75" thickBot="1" x14ac:dyDescent="0.3">
      <c r="A20" s="229"/>
      <c r="B20" s="237" t="s">
        <v>163</v>
      </c>
      <c r="C20" s="238">
        <v>0</v>
      </c>
      <c r="D20" s="238">
        <v>0</v>
      </c>
      <c r="E20" s="238">
        <v>0</v>
      </c>
      <c r="F20" s="238">
        <v>0</v>
      </c>
      <c r="G20" s="238">
        <v>0</v>
      </c>
      <c r="H20" s="238">
        <v>-82.325599999999994</v>
      </c>
      <c r="I20" s="238">
        <v>0</v>
      </c>
      <c r="J20" s="238">
        <v>-788.01199999999994</v>
      </c>
      <c r="K20" s="238">
        <v>-122.90299999999999</v>
      </c>
      <c r="L20" s="238">
        <v>0</v>
      </c>
      <c r="M20" s="238">
        <v>0</v>
      </c>
      <c r="N20" s="238">
        <v>0</v>
      </c>
      <c r="O20" s="238">
        <v>0</v>
      </c>
      <c r="P20" s="238">
        <v>0</v>
      </c>
      <c r="Q20" s="238">
        <v>0</v>
      </c>
      <c r="R20" s="238">
        <v>0</v>
      </c>
      <c r="S20" s="238">
        <v>-909</v>
      </c>
      <c r="T20" s="238">
        <v>0</v>
      </c>
      <c r="U20" s="238">
        <v>0</v>
      </c>
      <c r="V20" s="238">
        <v>-268</v>
      </c>
      <c r="W20" s="238">
        <v>-2170.2406000000001</v>
      </c>
    </row>
    <row r="21" spans="1:23" x14ac:dyDescent="0.25">
      <c r="A21" s="229"/>
      <c r="B21" s="235" t="s">
        <v>164</v>
      </c>
      <c r="C21" s="231"/>
      <c r="D21" s="231"/>
      <c r="E21" s="231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</row>
    <row r="22" spans="1:23" x14ac:dyDescent="0.25">
      <c r="A22" s="229"/>
      <c r="B22" s="236" t="s">
        <v>165</v>
      </c>
      <c r="C22" s="231">
        <v>0</v>
      </c>
      <c r="D22" s="231">
        <v>0</v>
      </c>
      <c r="E22" s="231">
        <v>0</v>
      </c>
      <c r="F22" s="231">
        <v>0</v>
      </c>
      <c r="G22" s="231">
        <v>0</v>
      </c>
      <c r="H22" s="231">
        <v>-156</v>
      </c>
      <c r="I22" s="231">
        <v>0</v>
      </c>
      <c r="J22" s="231">
        <v>0</v>
      </c>
      <c r="K22" s="231">
        <v>0</v>
      </c>
      <c r="L22" s="231">
        <v>0</v>
      </c>
      <c r="M22" s="231">
        <v>0</v>
      </c>
      <c r="N22" s="231">
        <v>0</v>
      </c>
      <c r="O22" s="231">
        <v>0</v>
      </c>
      <c r="P22" s="231">
        <v>0</v>
      </c>
      <c r="Q22" s="231">
        <v>0</v>
      </c>
      <c r="R22" s="231">
        <v>0</v>
      </c>
      <c r="S22" s="231">
        <v>0</v>
      </c>
      <c r="T22" s="231">
        <v>0</v>
      </c>
      <c r="U22" s="231">
        <v>0</v>
      </c>
      <c r="V22" s="231">
        <v>0</v>
      </c>
      <c r="W22" s="231">
        <v>-156</v>
      </c>
    </row>
    <row r="23" spans="1:23" ht="15.75" thickBot="1" x14ac:dyDescent="0.3">
      <c r="A23" s="229"/>
      <c r="B23" s="236" t="s">
        <v>166</v>
      </c>
      <c r="C23" s="231">
        <v>0</v>
      </c>
      <c r="D23" s="231">
        <v>0</v>
      </c>
      <c r="E23" s="231">
        <v>0</v>
      </c>
      <c r="F23" s="231">
        <v>0</v>
      </c>
      <c r="G23" s="231">
        <v>0</v>
      </c>
      <c r="H23" s="231">
        <v>-201</v>
      </c>
      <c r="I23" s="231">
        <v>0</v>
      </c>
      <c r="J23" s="231">
        <v>0</v>
      </c>
      <c r="K23" s="231">
        <v>0</v>
      </c>
      <c r="L23" s="231">
        <v>0</v>
      </c>
      <c r="M23" s="231">
        <v>0</v>
      </c>
      <c r="N23" s="231">
        <v>0</v>
      </c>
      <c r="O23" s="231">
        <v>0</v>
      </c>
      <c r="P23" s="231">
        <v>0</v>
      </c>
      <c r="Q23" s="231">
        <v>0</v>
      </c>
      <c r="R23" s="231">
        <v>0</v>
      </c>
      <c r="S23" s="231">
        <v>0</v>
      </c>
      <c r="T23" s="231">
        <v>0</v>
      </c>
      <c r="U23" s="231">
        <v>0</v>
      </c>
      <c r="V23" s="231">
        <v>0</v>
      </c>
      <c r="W23" s="231">
        <v>-201</v>
      </c>
    </row>
    <row r="24" spans="1:23" ht="15.75" thickBot="1" x14ac:dyDescent="0.3">
      <c r="A24" s="229"/>
      <c r="B24" s="237" t="s">
        <v>167</v>
      </c>
      <c r="C24" s="238">
        <v>0</v>
      </c>
      <c r="D24" s="238">
        <v>0</v>
      </c>
      <c r="E24" s="238">
        <v>0</v>
      </c>
      <c r="F24" s="238">
        <v>0</v>
      </c>
      <c r="G24" s="238">
        <v>0</v>
      </c>
      <c r="H24" s="238">
        <v>-357</v>
      </c>
      <c r="I24" s="238">
        <v>0</v>
      </c>
      <c r="J24" s="238">
        <v>0</v>
      </c>
      <c r="K24" s="238">
        <v>0</v>
      </c>
      <c r="L24" s="238">
        <v>0</v>
      </c>
      <c r="M24" s="238">
        <v>0</v>
      </c>
      <c r="N24" s="238">
        <v>0</v>
      </c>
      <c r="O24" s="238">
        <v>0</v>
      </c>
      <c r="P24" s="238">
        <v>0</v>
      </c>
      <c r="Q24" s="238">
        <v>0</v>
      </c>
      <c r="R24" s="238">
        <v>0</v>
      </c>
      <c r="S24" s="238">
        <v>0</v>
      </c>
      <c r="T24" s="238">
        <v>0</v>
      </c>
      <c r="U24" s="238">
        <v>0</v>
      </c>
      <c r="V24" s="238">
        <v>0</v>
      </c>
      <c r="W24" s="238">
        <v>-357</v>
      </c>
    </row>
    <row r="25" spans="1:23" x14ac:dyDescent="0.25">
      <c r="A25" s="229"/>
      <c r="B25" s="235" t="s">
        <v>168</v>
      </c>
      <c r="C25" s="231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</row>
    <row r="26" spans="1:23" x14ac:dyDescent="0.25">
      <c r="A26" s="229"/>
      <c r="B26" s="236" t="s">
        <v>169</v>
      </c>
      <c r="C26" s="231">
        <v>0</v>
      </c>
      <c r="D26" s="231">
        <v>0</v>
      </c>
      <c r="E26" s="231">
        <v>0</v>
      </c>
      <c r="F26" s="231">
        <v>0</v>
      </c>
      <c r="G26" s="231">
        <v>0</v>
      </c>
      <c r="H26" s="231">
        <v>0</v>
      </c>
      <c r="I26" s="231">
        <v>0</v>
      </c>
      <c r="J26" s="231">
        <v>0</v>
      </c>
      <c r="K26" s="231">
        <v>0</v>
      </c>
      <c r="L26" s="231">
        <v>0</v>
      </c>
      <c r="M26" s="231">
        <v>0</v>
      </c>
      <c r="N26" s="231">
        <v>0</v>
      </c>
      <c r="O26" s="231">
        <v>-64</v>
      </c>
      <c r="P26" s="231">
        <v>0</v>
      </c>
      <c r="Q26" s="231">
        <v>0</v>
      </c>
      <c r="R26" s="231">
        <v>0</v>
      </c>
      <c r="S26" s="231">
        <v>0</v>
      </c>
      <c r="T26" s="231">
        <v>0</v>
      </c>
      <c r="U26" s="231">
        <v>0</v>
      </c>
      <c r="V26" s="231">
        <v>0</v>
      </c>
      <c r="W26" s="231">
        <v>-64</v>
      </c>
    </row>
    <row r="27" spans="1:23" x14ac:dyDescent="0.25">
      <c r="A27" s="229"/>
      <c r="B27" s="236" t="s">
        <v>170</v>
      </c>
      <c r="C27" s="231">
        <v>0</v>
      </c>
      <c r="D27" s="231">
        <v>0</v>
      </c>
      <c r="E27" s="231">
        <v>0</v>
      </c>
      <c r="F27" s="231">
        <v>0</v>
      </c>
      <c r="G27" s="231">
        <v>0</v>
      </c>
      <c r="H27" s="231">
        <v>0</v>
      </c>
      <c r="I27" s="231">
        <v>0</v>
      </c>
      <c r="J27" s="231">
        <v>0</v>
      </c>
      <c r="K27" s="231">
        <v>0</v>
      </c>
      <c r="L27" s="231">
        <v>0</v>
      </c>
      <c r="M27" s="231">
        <v>0</v>
      </c>
      <c r="N27" s="231">
        <v>0</v>
      </c>
      <c r="O27" s="231">
        <v>-69</v>
      </c>
      <c r="P27" s="231">
        <v>0</v>
      </c>
      <c r="Q27" s="231">
        <v>0</v>
      </c>
      <c r="R27" s="231">
        <v>0</v>
      </c>
      <c r="S27" s="231">
        <v>0</v>
      </c>
      <c r="T27" s="231">
        <v>0</v>
      </c>
      <c r="U27" s="231">
        <v>0</v>
      </c>
      <c r="V27" s="231">
        <v>0</v>
      </c>
      <c r="W27" s="231">
        <v>-69</v>
      </c>
    </row>
    <row r="28" spans="1:23" x14ac:dyDescent="0.25">
      <c r="A28" s="229"/>
      <c r="B28" s="236" t="s">
        <v>171</v>
      </c>
      <c r="C28" s="231">
        <v>0</v>
      </c>
      <c r="D28" s="231">
        <v>0</v>
      </c>
      <c r="E28" s="231">
        <v>0</v>
      </c>
      <c r="F28" s="231">
        <v>0</v>
      </c>
      <c r="G28" s="231">
        <v>0</v>
      </c>
      <c r="H28" s="231">
        <v>0</v>
      </c>
      <c r="I28" s="231">
        <v>0</v>
      </c>
      <c r="J28" s="231">
        <v>0</v>
      </c>
      <c r="K28" s="231">
        <v>0</v>
      </c>
      <c r="L28" s="231">
        <v>0</v>
      </c>
      <c r="M28" s="231">
        <v>0</v>
      </c>
      <c r="N28" s="231">
        <v>0</v>
      </c>
      <c r="O28" s="231">
        <v>-104.5</v>
      </c>
      <c r="P28" s="231">
        <v>0</v>
      </c>
      <c r="Q28" s="231">
        <v>0</v>
      </c>
      <c r="R28" s="231">
        <v>0</v>
      </c>
      <c r="S28" s="231">
        <v>0</v>
      </c>
      <c r="T28" s="231">
        <v>0</v>
      </c>
      <c r="U28" s="231">
        <v>0</v>
      </c>
      <c r="V28" s="231">
        <v>0</v>
      </c>
      <c r="W28" s="231">
        <v>-104.5</v>
      </c>
    </row>
    <row r="29" spans="1:23" x14ac:dyDescent="0.25">
      <c r="A29" s="229"/>
      <c r="B29" s="236" t="s">
        <v>172</v>
      </c>
      <c r="C29" s="231">
        <v>0</v>
      </c>
      <c r="D29" s="231">
        <v>0</v>
      </c>
      <c r="E29" s="231">
        <v>0</v>
      </c>
      <c r="F29" s="231">
        <v>0</v>
      </c>
      <c r="G29" s="231">
        <v>0</v>
      </c>
      <c r="H29" s="231">
        <v>0</v>
      </c>
      <c r="I29" s="231">
        <v>0</v>
      </c>
      <c r="J29" s="231">
        <v>0</v>
      </c>
      <c r="K29" s="231">
        <v>0</v>
      </c>
      <c r="L29" s="231">
        <v>0</v>
      </c>
      <c r="M29" s="231">
        <v>0</v>
      </c>
      <c r="N29" s="231">
        <v>0</v>
      </c>
      <c r="O29" s="231">
        <v>-39.6</v>
      </c>
      <c r="P29" s="231">
        <v>0</v>
      </c>
      <c r="Q29" s="231">
        <v>0</v>
      </c>
      <c r="R29" s="231">
        <v>0</v>
      </c>
      <c r="S29" s="231">
        <v>0</v>
      </c>
      <c r="T29" s="231">
        <v>0</v>
      </c>
      <c r="U29" s="231">
        <v>0</v>
      </c>
      <c r="V29" s="231">
        <v>0</v>
      </c>
      <c r="W29" s="231">
        <v>-39.6</v>
      </c>
    </row>
    <row r="30" spans="1:23" x14ac:dyDescent="0.25">
      <c r="A30" s="229"/>
      <c r="B30" s="236" t="s">
        <v>173</v>
      </c>
      <c r="C30" s="231">
        <v>0</v>
      </c>
      <c r="D30" s="231">
        <v>0</v>
      </c>
      <c r="E30" s="231">
        <v>0</v>
      </c>
      <c r="F30" s="231">
        <v>0</v>
      </c>
      <c r="G30" s="231">
        <v>0</v>
      </c>
      <c r="H30" s="231">
        <v>0</v>
      </c>
      <c r="I30" s="231">
        <v>0</v>
      </c>
      <c r="J30" s="231">
        <v>0</v>
      </c>
      <c r="K30" s="231">
        <v>0</v>
      </c>
      <c r="L30" s="231">
        <v>0</v>
      </c>
      <c r="M30" s="231">
        <v>0</v>
      </c>
      <c r="N30" s="231">
        <v>0</v>
      </c>
      <c r="O30" s="231">
        <v>-39.6</v>
      </c>
      <c r="P30" s="231">
        <v>0</v>
      </c>
      <c r="Q30" s="231">
        <v>0</v>
      </c>
      <c r="R30" s="231">
        <v>0</v>
      </c>
      <c r="S30" s="231">
        <v>0</v>
      </c>
      <c r="T30" s="231">
        <v>0</v>
      </c>
      <c r="U30" s="231">
        <v>0</v>
      </c>
      <c r="V30" s="231">
        <v>0</v>
      </c>
      <c r="W30" s="231">
        <v>-39.6</v>
      </c>
    </row>
    <row r="31" spans="1:23" x14ac:dyDescent="0.25">
      <c r="A31" s="229"/>
      <c r="B31" s="236" t="s">
        <v>174</v>
      </c>
      <c r="C31" s="231">
        <v>0</v>
      </c>
      <c r="D31" s="231">
        <v>0</v>
      </c>
      <c r="E31" s="231">
        <v>0</v>
      </c>
      <c r="F31" s="231">
        <v>0</v>
      </c>
      <c r="G31" s="231">
        <v>0</v>
      </c>
      <c r="H31" s="231">
        <v>0</v>
      </c>
      <c r="I31" s="231">
        <v>0</v>
      </c>
      <c r="J31" s="231">
        <v>0</v>
      </c>
      <c r="K31" s="231">
        <v>0</v>
      </c>
      <c r="L31" s="231">
        <v>0</v>
      </c>
      <c r="M31" s="231">
        <v>0</v>
      </c>
      <c r="N31" s="231">
        <v>0</v>
      </c>
      <c r="O31" s="231">
        <v>-39.6</v>
      </c>
      <c r="P31" s="231">
        <v>0</v>
      </c>
      <c r="Q31" s="231">
        <v>0</v>
      </c>
      <c r="R31" s="231">
        <v>0</v>
      </c>
      <c r="S31" s="231">
        <v>0</v>
      </c>
      <c r="T31" s="231">
        <v>0</v>
      </c>
      <c r="U31" s="231">
        <v>0</v>
      </c>
      <c r="V31" s="231">
        <v>0</v>
      </c>
      <c r="W31" s="231">
        <v>-39.6</v>
      </c>
    </row>
    <row r="32" spans="1:23" ht="15.75" thickBot="1" x14ac:dyDescent="0.3">
      <c r="A32" s="229"/>
      <c r="B32" s="236" t="s">
        <v>175</v>
      </c>
      <c r="C32" s="231">
        <v>0</v>
      </c>
      <c r="D32" s="231">
        <v>0</v>
      </c>
      <c r="E32" s="231">
        <v>0</v>
      </c>
      <c r="F32" s="231">
        <v>0</v>
      </c>
      <c r="G32" s="231">
        <v>0</v>
      </c>
      <c r="H32" s="231">
        <v>0</v>
      </c>
      <c r="I32" s="231">
        <v>0</v>
      </c>
      <c r="J32" s="231">
        <v>0</v>
      </c>
      <c r="K32" s="231">
        <v>0</v>
      </c>
      <c r="L32" s="231">
        <v>-247</v>
      </c>
      <c r="M32" s="231">
        <v>0</v>
      </c>
      <c r="N32" s="231">
        <v>0</v>
      </c>
      <c r="O32" s="231">
        <v>0</v>
      </c>
      <c r="P32" s="231">
        <v>0</v>
      </c>
      <c r="Q32" s="231">
        <v>0</v>
      </c>
      <c r="R32" s="231">
        <v>0</v>
      </c>
      <c r="S32" s="231">
        <v>0</v>
      </c>
      <c r="T32" s="231">
        <v>0</v>
      </c>
      <c r="U32" s="231">
        <v>0</v>
      </c>
      <c r="V32" s="231">
        <v>0</v>
      </c>
      <c r="W32" s="231">
        <v>-247</v>
      </c>
    </row>
    <row r="33" spans="1:23" ht="15.75" thickBot="1" x14ac:dyDescent="0.3">
      <c r="A33" s="229"/>
      <c r="B33" s="237" t="s">
        <v>176</v>
      </c>
      <c r="C33" s="238">
        <v>0</v>
      </c>
      <c r="D33" s="238">
        <v>0</v>
      </c>
      <c r="E33" s="238">
        <v>0</v>
      </c>
      <c r="F33" s="238">
        <v>0</v>
      </c>
      <c r="G33" s="238">
        <v>0</v>
      </c>
      <c r="H33" s="238">
        <v>0</v>
      </c>
      <c r="I33" s="238">
        <v>0</v>
      </c>
      <c r="J33" s="238">
        <v>0</v>
      </c>
      <c r="K33" s="238">
        <v>0</v>
      </c>
      <c r="L33" s="238">
        <v>-247</v>
      </c>
      <c r="M33" s="238">
        <v>0</v>
      </c>
      <c r="N33" s="238">
        <v>0</v>
      </c>
      <c r="O33" s="238">
        <v>-356.30000000000007</v>
      </c>
      <c r="P33" s="238">
        <v>0</v>
      </c>
      <c r="Q33" s="238">
        <v>0</v>
      </c>
      <c r="R33" s="238">
        <v>0</v>
      </c>
      <c r="S33" s="238">
        <v>0</v>
      </c>
      <c r="T33" s="238">
        <v>0</v>
      </c>
      <c r="U33" s="238">
        <v>0</v>
      </c>
      <c r="V33" s="238">
        <v>0</v>
      </c>
      <c r="W33" s="238">
        <v>-603.30000000000007</v>
      </c>
    </row>
    <row r="34" spans="1:23" ht="15.75" thickBot="1" x14ac:dyDescent="0.3">
      <c r="A34" s="229"/>
      <c r="B34" s="239" t="s">
        <v>177</v>
      </c>
      <c r="C34" s="240">
        <v>0</v>
      </c>
      <c r="D34" s="241">
        <v>0</v>
      </c>
      <c r="E34" s="241">
        <v>0</v>
      </c>
      <c r="F34" s="241">
        <v>0</v>
      </c>
      <c r="G34" s="241">
        <v>0</v>
      </c>
      <c r="H34" s="241">
        <v>-439.32560000000001</v>
      </c>
      <c r="I34" s="241">
        <v>0</v>
      </c>
      <c r="J34" s="241">
        <v>-788.01199999999994</v>
      </c>
      <c r="K34" s="241">
        <v>-122.90299999999999</v>
      </c>
      <c r="L34" s="241">
        <v>-247</v>
      </c>
      <c r="M34" s="241">
        <v>0</v>
      </c>
      <c r="N34" s="241">
        <v>0</v>
      </c>
      <c r="O34" s="241">
        <v>-356.30000000000007</v>
      </c>
      <c r="P34" s="241">
        <v>0</v>
      </c>
      <c r="Q34" s="241">
        <v>0</v>
      </c>
      <c r="R34" s="241">
        <v>0</v>
      </c>
      <c r="S34" s="241">
        <v>-909</v>
      </c>
      <c r="T34" s="241">
        <v>0</v>
      </c>
      <c r="U34" s="241">
        <v>0</v>
      </c>
      <c r="V34" s="241">
        <v>-268</v>
      </c>
      <c r="W34" s="241">
        <v>-3130.5405999999998</v>
      </c>
    </row>
    <row r="35" spans="1:23" ht="15.75" thickTop="1" x14ac:dyDescent="0.25">
      <c r="A35" s="229"/>
      <c r="B35" s="242" t="s">
        <v>37</v>
      </c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4"/>
    </row>
    <row r="36" spans="1:23" outlineLevel="1" x14ac:dyDescent="0.25">
      <c r="A36" s="229"/>
      <c r="B36" s="235" t="s">
        <v>178</v>
      </c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</row>
    <row r="37" spans="1:23" outlineLevel="1" x14ac:dyDescent="0.25">
      <c r="A37" s="229"/>
      <c r="B37" s="236" t="s">
        <v>179</v>
      </c>
      <c r="C37" s="231">
        <v>0</v>
      </c>
      <c r="D37" s="231">
        <v>0</v>
      </c>
      <c r="E37" s="231">
        <v>0</v>
      </c>
      <c r="F37" s="231">
        <v>0</v>
      </c>
      <c r="G37" s="231">
        <v>0</v>
      </c>
      <c r="H37" s="231">
        <v>0</v>
      </c>
      <c r="I37" s="231">
        <v>0</v>
      </c>
      <c r="J37" s="231">
        <v>0</v>
      </c>
      <c r="K37" s="231">
        <v>0</v>
      </c>
      <c r="L37" s="231">
        <v>0</v>
      </c>
      <c r="M37" s="231">
        <v>412.21984680000003</v>
      </c>
      <c r="N37" s="231">
        <v>0</v>
      </c>
      <c r="O37" s="231">
        <v>0</v>
      </c>
      <c r="P37" s="231">
        <v>0</v>
      </c>
      <c r="Q37" s="231">
        <v>0</v>
      </c>
      <c r="R37" s="231">
        <v>0</v>
      </c>
      <c r="S37" s="231">
        <v>0</v>
      </c>
      <c r="T37" s="231">
        <v>0</v>
      </c>
      <c r="U37" s="231">
        <v>0</v>
      </c>
      <c r="V37" s="231">
        <v>0</v>
      </c>
      <c r="W37" s="231">
        <v>412.21984680000003</v>
      </c>
    </row>
    <row r="38" spans="1:23" ht="15.75" outlineLevel="1" thickBot="1" x14ac:dyDescent="0.3">
      <c r="A38" s="229"/>
      <c r="B38" s="236" t="s">
        <v>180</v>
      </c>
      <c r="C38" s="231">
        <v>0</v>
      </c>
      <c r="D38" s="231">
        <v>0</v>
      </c>
      <c r="E38" s="231">
        <v>0</v>
      </c>
      <c r="F38" s="231">
        <v>0</v>
      </c>
      <c r="G38" s="231">
        <v>0</v>
      </c>
      <c r="H38" s="231">
        <v>0</v>
      </c>
      <c r="I38" s="231">
        <v>0</v>
      </c>
      <c r="J38" s="231">
        <v>0</v>
      </c>
      <c r="K38" s="231">
        <v>0</v>
      </c>
      <c r="L38" s="231">
        <v>0</v>
      </c>
      <c r="M38" s="231">
        <v>0</v>
      </c>
      <c r="N38" s="231">
        <v>0</v>
      </c>
      <c r="O38" s="231">
        <v>0</v>
      </c>
      <c r="P38" s="231">
        <v>0</v>
      </c>
      <c r="Q38" s="231">
        <v>0</v>
      </c>
      <c r="R38" s="231">
        <v>0</v>
      </c>
      <c r="S38" s="245">
        <v>206.10992340000001</v>
      </c>
      <c r="T38" s="231">
        <v>0</v>
      </c>
      <c r="U38" s="231">
        <v>0</v>
      </c>
      <c r="V38" s="231">
        <v>0</v>
      </c>
      <c r="W38" s="231">
        <v>206.10992340000001</v>
      </c>
    </row>
    <row r="39" spans="1:23" ht="15.75" thickBot="1" x14ac:dyDescent="0.3">
      <c r="A39" s="229"/>
      <c r="B39" s="237" t="s">
        <v>181</v>
      </c>
      <c r="C39" s="238">
        <v>0</v>
      </c>
      <c r="D39" s="238">
        <v>0</v>
      </c>
      <c r="E39" s="238">
        <v>0</v>
      </c>
      <c r="F39" s="238">
        <v>0</v>
      </c>
      <c r="G39" s="238">
        <v>0</v>
      </c>
      <c r="H39" s="238">
        <v>0</v>
      </c>
      <c r="I39" s="238">
        <v>0</v>
      </c>
      <c r="J39" s="238">
        <v>0</v>
      </c>
      <c r="K39" s="238">
        <v>0</v>
      </c>
      <c r="L39" s="238">
        <v>0</v>
      </c>
      <c r="M39" s="238">
        <v>412.21984680000003</v>
      </c>
      <c r="N39" s="238">
        <v>0</v>
      </c>
      <c r="O39" s="238">
        <v>0</v>
      </c>
      <c r="P39" s="238">
        <v>0</v>
      </c>
      <c r="Q39" s="238">
        <v>0</v>
      </c>
      <c r="R39" s="238">
        <v>0</v>
      </c>
      <c r="S39" s="238">
        <v>206.10992340000001</v>
      </c>
      <c r="T39" s="238">
        <v>0</v>
      </c>
      <c r="U39" s="238">
        <v>0</v>
      </c>
      <c r="V39" s="238">
        <v>0</v>
      </c>
      <c r="W39" s="238">
        <v>618.32977019999998</v>
      </c>
    </row>
    <row r="40" spans="1:23" x14ac:dyDescent="0.25">
      <c r="A40" s="229"/>
      <c r="B40" s="235" t="s">
        <v>182</v>
      </c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</row>
    <row r="41" spans="1:23" ht="15.75" thickBot="1" x14ac:dyDescent="0.3">
      <c r="A41" s="229"/>
      <c r="B41" s="236" t="s">
        <v>183</v>
      </c>
      <c r="C41" s="231">
        <v>0</v>
      </c>
      <c r="D41" s="231">
        <v>0</v>
      </c>
      <c r="E41" s="231">
        <v>0</v>
      </c>
      <c r="F41" s="231">
        <v>0</v>
      </c>
      <c r="G41" s="231">
        <v>0</v>
      </c>
      <c r="H41" s="231">
        <v>0</v>
      </c>
      <c r="I41" s="231">
        <v>0</v>
      </c>
      <c r="J41" s="231">
        <v>345</v>
      </c>
      <c r="K41" s="231">
        <v>0</v>
      </c>
      <c r="L41" s="231">
        <v>0</v>
      </c>
      <c r="M41" s="231">
        <v>0</v>
      </c>
      <c r="N41" s="231">
        <v>0</v>
      </c>
      <c r="O41" s="231">
        <v>0</v>
      </c>
      <c r="P41" s="231">
        <v>0</v>
      </c>
      <c r="Q41" s="231">
        <v>0</v>
      </c>
      <c r="R41" s="231">
        <v>0</v>
      </c>
      <c r="S41" s="231">
        <v>0</v>
      </c>
      <c r="T41" s="231">
        <v>0</v>
      </c>
      <c r="U41" s="231">
        <v>0</v>
      </c>
      <c r="V41" s="231">
        <v>0</v>
      </c>
      <c r="W41" s="231">
        <v>345</v>
      </c>
    </row>
    <row r="42" spans="1:23" ht="15.75" thickBot="1" x14ac:dyDescent="0.3">
      <c r="A42" s="229"/>
      <c r="B42" s="237" t="s">
        <v>184</v>
      </c>
      <c r="C42" s="238">
        <v>0</v>
      </c>
      <c r="D42" s="238">
        <v>0</v>
      </c>
      <c r="E42" s="238">
        <v>0</v>
      </c>
      <c r="F42" s="238">
        <v>0</v>
      </c>
      <c r="G42" s="238">
        <v>0</v>
      </c>
      <c r="H42" s="238">
        <v>0</v>
      </c>
      <c r="I42" s="238">
        <v>0</v>
      </c>
      <c r="J42" s="238">
        <v>345</v>
      </c>
      <c r="K42" s="238">
        <v>0</v>
      </c>
      <c r="L42" s="238">
        <v>0</v>
      </c>
      <c r="M42" s="238">
        <v>0</v>
      </c>
      <c r="N42" s="238">
        <v>0</v>
      </c>
      <c r="O42" s="238">
        <v>0</v>
      </c>
      <c r="P42" s="238">
        <v>0</v>
      </c>
      <c r="Q42" s="238">
        <v>0</v>
      </c>
      <c r="R42" s="238">
        <v>0</v>
      </c>
      <c r="S42" s="238">
        <v>0</v>
      </c>
      <c r="T42" s="238">
        <v>0</v>
      </c>
      <c r="U42" s="238">
        <v>0</v>
      </c>
      <c r="V42" s="238">
        <v>0</v>
      </c>
      <c r="W42" s="238">
        <v>345</v>
      </c>
    </row>
    <row r="43" spans="1:23" x14ac:dyDescent="0.25">
      <c r="A43" s="229"/>
      <c r="B43" s="235" t="s">
        <v>185</v>
      </c>
      <c r="C43" s="231"/>
      <c r="D43" s="231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  <c r="R43" s="231"/>
      <c r="S43" s="231"/>
      <c r="T43" s="231"/>
      <c r="U43" s="231"/>
      <c r="V43" s="231"/>
      <c r="W43" s="231"/>
    </row>
    <row r="44" spans="1:23" ht="15.75" thickBot="1" x14ac:dyDescent="0.3">
      <c r="A44" s="229"/>
      <c r="B44" s="236" t="s">
        <v>186</v>
      </c>
      <c r="C44" s="231">
        <v>0</v>
      </c>
      <c r="D44" s="231">
        <v>0</v>
      </c>
      <c r="E44" s="231">
        <v>0</v>
      </c>
      <c r="F44" s="231">
        <v>0</v>
      </c>
      <c r="G44" s="231">
        <v>0</v>
      </c>
      <c r="H44" s="231">
        <v>0</v>
      </c>
      <c r="I44" s="231">
        <v>0</v>
      </c>
      <c r="J44" s="231">
        <v>155</v>
      </c>
      <c r="K44" s="231">
        <v>0</v>
      </c>
      <c r="L44" s="231">
        <v>0</v>
      </c>
      <c r="M44" s="231">
        <v>0</v>
      </c>
      <c r="N44" s="231">
        <v>0</v>
      </c>
      <c r="O44" s="231">
        <v>0</v>
      </c>
      <c r="P44" s="231">
        <v>0</v>
      </c>
      <c r="Q44" s="231">
        <v>0</v>
      </c>
      <c r="R44" s="231">
        <v>0</v>
      </c>
      <c r="S44" s="231">
        <v>0</v>
      </c>
      <c r="T44" s="231">
        <v>0</v>
      </c>
      <c r="U44" s="231">
        <v>0</v>
      </c>
      <c r="V44" s="231">
        <v>0</v>
      </c>
      <c r="W44" s="231">
        <v>155</v>
      </c>
    </row>
    <row r="45" spans="1:23" ht="15.75" thickBot="1" x14ac:dyDescent="0.3">
      <c r="A45" s="229"/>
      <c r="B45" s="237" t="s">
        <v>187</v>
      </c>
      <c r="C45" s="238">
        <v>0</v>
      </c>
      <c r="D45" s="238">
        <v>0</v>
      </c>
      <c r="E45" s="238">
        <v>0</v>
      </c>
      <c r="F45" s="238">
        <v>0</v>
      </c>
      <c r="G45" s="238">
        <v>0</v>
      </c>
      <c r="H45" s="238">
        <v>0</v>
      </c>
      <c r="I45" s="238">
        <v>0</v>
      </c>
      <c r="J45" s="238">
        <v>155</v>
      </c>
      <c r="K45" s="238">
        <v>0</v>
      </c>
      <c r="L45" s="238">
        <v>0</v>
      </c>
      <c r="M45" s="238">
        <v>0</v>
      </c>
      <c r="N45" s="238">
        <v>0</v>
      </c>
      <c r="O45" s="238">
        <v>0</v>
      </c>
      <c r="P45" s="238">
        <v>0</v>
      </c>
      <c r="Q45" s="238">
        <v>0</v>
      </c>
      <c r="R45" s="238">
        <v>0</v>
      </c>
      <c r="S45" s="238">
        <v>0</v>
      </c>
      <c r="T45" s="238">
        <v>0</v>
      </c>
      <c r="U45" s="238">
        <v>0</v>
      </c>
      <c r="V45" s="238">
        <v>0</v>
      </c>
      <c r="W45" s="238">
        <v>155</v>
      </c>
    </row>
    <row r="46" spans="1:23" x14ac:dyDescent="0.25">
      <c r="A46" s="229"/>
      <c r="B46" s="235" t="s">
        <v>188</v>
      </c>
      <c r="C46" s="231"/>
      <c r="D46" s="231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31"/>
      <c r="S46" s="231"/>
      <c r="T46" s="231"/>
      <c r="U46" s="231"/>
      <c r="V46" s="231"/>
      <c r="W46" s="231"/>
    </row>
    <row r="47" spans="1:23" x14ac:dyDescent="0.25">
      <c r="A47" s="229"/>
      <c r="B47" s="236" t="s">
        <v>189</v>
      </c>
      <c r="C47" s="231">
        <v>0</v>
      </c>
      <c r="D47" s="231">
        <v>0</v>
      </c>
      <c r="E47" s="231">
        <v>0</v>
      </c>
      <c r="F47" s="231">
        <v>0</v>
      </c>
      <c r="G47" s="231">
        <v>0</v>
      </c>
      <c r="H47" s="231">
        <v>0</v>
      </c>
      <c r="I47" s="231">
        <v>0</v>
      </c>
      <c r="J47" s="231">
        <v>255</v>
      </c>
      <c r="K47" s="231">
        <v>81.589033999999998</v>
      </c>
      <c r="L47" s="245">
        <v>207.62696600000001</v>
      </c>
      <c r="M47" s="231">
        <v>0</v>
      </c>
      <c r="N47" s="231">
        <v>0</v>
      </c>
      <c r="O47" s="231">
        <v>0</v>
      </c>
      <c r="P47" s="231">
        <v>0</v>
      </c>
      <c r="Q47" s="231">
        <v>0</v>
      </c>
      <c r="R47" s="231">
        <v>0</v>
      </c>
      <c r="S47" s="231">
        <v>0</v>
      </c>
      <c r="T47" s="231">
        <v>0</v>
      </c>
      <c r="U47" s="231">
        <v>0</v>
      </c>
      <c r="V47" s="231">
        <v>268</v>
      </c>
      <c r="W47" s="231">
        <v>812.21600000000001</v>
      </c>
    </row>
    <row r="48" spans="1:23" x14ac:dyDescent="0.25">
      <c r="A48" s="229"/>
      <c r="B48" s="236" t="s">
        <v>190</v>
      </c>
      <c r="C48" s="231">
        <v>0</v>
      </c>
      <c r="D48" s="231">
        <v>0</v>
      </c>
      <c r="E48" s="231">
        <v>0</v>
      </c>
      <c r="F48" s="231">
        <v>151</v>
      </c>
      <c r="G48" s="231">
        <v>0</v>
      </c>
      <c r="H48" s="231">
        <v>0</v>
      </c>
      <c r="I48" s="231">
        <v>0</v>
      </c>
      <c r="J48" s="231">
        <v>0</v>
      </c>
      <c r="K48" s="231">
        <v>0</v>
      </c>
      <c r="L48" s="231">
        <v>0</v>
      </c>
      <c r="M48" s="231">
        <v>0</v>
      </c>
      <c r="N48" s="231">
        <v>0</v>
      </c>
      <c r="O48" s="231">
        <v>0</v>
      </c>
      <c r="P48" s="231">
        <v>0</v>
      </c>
      <c r="Q48" s="231">
        <v>0</v>
      </c>
      <c r="R48" s="231">
        <v>0</v>
      </c>
      <c r="S48" s="231">
        <v>0</v>
      </c>
      <c r="T48" s="231">
        <v>0</v>
      </c>
      <c r="U48" s="231">
        <v>0</v>
      </c>
      <c r="V48" s="231">
        <v>0</v>
      </c>
      <c r="W48" s="231">
        <v>151</v>
      </c>
    </row>
    <row r="49" spans="1:23" ht="15.75" thickBot="1" x14ac:dyDescent="0.3">
      <c r="A49" s="229"/>
      <c r="B49" s="236" t="s">
        <v>191</v>
      </c>
      <c r="C49" s="231">
        <v>0</v>
      </c>
      <c r="D49" s="231">
        <v>0</v>
      </c>
      <c r="E49" s="231">
        <v>0</v>
      </c>
      <c r="F49" s="231">
        <v>0</v>
      </c>
      <c r="G49" s="231">
        <v>1640.9</v>
      </c>
      <c r="H49" s="231">
        <v>0</v>
      </c>
      <c r="I49" s="231">
        <v>0</v>
      </c>
      <c r="J49" s="231">
        <v>0</v>
      </c>
      <c r="K49" s="231">
        <v>0</v>
      </c>
      <c r="L49" s="231">
        <v>0</v>
      </c>
      <c r="M49" s="231">
        <v>0</v>
      </c>
      <c r="N49" s="231">
        <v>0</v>
      </c>
      <c r="O49" s="231">
        <v>0</v>
      </c>
      <c r="P49" s="231">
        <v>0</v>
      </c>
      <c r="Q49" s="231">
        <v>0</v>
      </c>
      <c r="R49" s="231">
        <v>0</v>
      </c>
      <c r="S49" s="231">
        <v>0</v>
      </c>
      <c r="T49" s="231">
        <v>0</v>
      </c>
      <c r="U49" s="231">
        <v>0</v>
      </c>
      <c r="V49" s="231">
        <v>0</v>
      </c>
      <c r="W49" s="231">
        <v>1640.9</v>
      </c>
    </row>
    <row r="50" spans="1:23" ht="15.75" thickBot="1" x14ac:dyDescent="0.3">
      <c r="A50" s="229"/>
      <c r="B50" s="237" t="s">
        <v>192</v>
      </c>
      <c r="C50" s="238">
        <v>0</v>
      </c>
      <c r="D50" s="238">
        <v>0</v>
      </c>
      <c r="E50" s="238">
        <v>0</v>
      </c>
      <c r="F50" s="238">
        <v>151</v>
      </c>
      <c r="G50" s="238">
        <v>1640.9</v>
      </c>
      <c r="H50" s="238">
        <v>0</v>
      </c>
      <c r="I50" s="238">
        <v>0</v>
      </c>
      <c r="J50" s="238">
        <v>255</v>
      </c>
      <c r="K50" s="238">
        <v>81.589033999999998</v>
      </c>
      <c r="L50" s="238">
        <v>207.62696600000001</v>
      </c>
      <c r="M50" s="238">
        <v>0</v>
      </c>
      <c r="N50" s="238">
        <v>0</v>
      </c>
      <c r="O50" s="238">
        <v>0</v>
      </c>
      <c r="P50" s="238">
        <v>0</v>
      </c>
      <c r="Q50" s="238">
        <v>0</v>
      </c>
      <c r="R50" s="238">
        <v>0</v>
      </c>
      <c r="S50" s="238">
        <v>0</v>
      </c>
      <c r="T50" s="238">
        <v>0</v>
      </c>
      <c r="U50" s="238">
        <v>0</v>
      </c>
      <c r="V50" s="238">
        <v>268</v>
      </c>
      <c r="W50" s="238">
        <v>2604.116</v>
      </c>
    </row>
    <row r="51" spans="1:23" x14ac:dyDescent="0.25">
      <c r="A51" s="229"/>
      <c r="B51" s="235" t="s">
        <v>193</v>
      </c>
      <c r="C51" s="231"/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1"/>
      <c r="W51" s="231"/>
    </row>
    <row r="52" spans="1:23" x14ac:dyDescent="0.25">
      <c r="A52" s="229"/>
      <c r="B52" s="236" t="s">
        <v>194</v>
      </c>
      <c r="C52" s="231">
        <v>0</v>
      </c>
      <c r="D52" s="231">
        <v>0</v>
      </c>
      <c r="E52" s="231">
        <v>0</v>
      </c>
      <c r="F52" s="231">
        <v>0</v>
      </c>
      <c r="G52" s="231">
        <v>0</v>
      </c>
      <c r="H52" s="231">
        <v>0</v>
      </c>
      <c r="I52" s="231">
        <v>0</v>
      </c>
      <c r="J52" s="231">
        <v>0</v>
      </c>
      <c r="K52" s="231">
        <v>0</v>
      </c>
      <c r="L52" s="231">
        <v>0</v>
      </c>
      <c r="M52" s="231">
        <v>626</v>
      </c>
      <c r="N52" s="231">
        <v>0</v>
      </c>
      <c r="O52" s="231">
        <v>0</v>
      </c>
      <c r="P52" s="231">
        <v>0</v>
      </c>
      <c r="Q52" s="231">
        <v>0</v>
      </c>
      <c r="R52" s="231">
        <v>0</v>
      </c>
      <c r="S52" s="231">
        <v>0</v>
      </c>
      <c r="T52" s="231">
        <v>0</v>
      </c>
      <c r="U52" s="231">
        <v>0</v>
      </c>
      <c r="V52" s="231">
        <v>0</v>
      </c>
      <c r="W52" s="231">
        <v>626</v>
      </c>
    </row>
    <row r="53" spans="1:23" x14ac:dyDescent="0.25">
      <c r="A53" s="229"/>
      <c r="B53" s="236" t="s">
        <v>195</v>
      </c>
      <c r="C53" s="231">
        <v>0</v>
      </c>
      <c r="D53" s="231">
        <v>0</v>
      </c>
      <c r="E53" s="231">
        <v>0</v>
      </c>
      <c r="F53" s="231">
        <v>0</v>
      </c>
      <c r="G53" s="231">
        <v>0</v>
      </c>
      <c r="H53" s="231">
        <v>0</v>
      </c>
      <c r="I53" s="231">
        <v>0</v>
      </c>
      <c r="J53" s="231">
        <v>0</v>
      </c>
      <c r="K53" s="231">
        <v>0</v>
      </c>
      <c r="L53" s="231">
        <v>0</v>
      </c>
      <c r="M53" s="231">
        <v>0</v>
      </c>
      <c r="N53" s="231">
        <v>1100</v>
      </c>
      <c r="O53" s="231">
        <v>0</v>
      </c>
      <c r="P53" s="231">
        <v>0</v>
      </c>
      <c r="Q53" s="231">
        <v>0</v>
      </c>
      <c r="R53" s="231">
        <v>0</v>
      </c>
      <c r="S53" s="231">
        <v>0</v>
      </c>
      <c r="T53" s="231">
        <v>0</v>
      </c>
      <c r="U53" s="231">
        <v>0</v>
      </c>
      <c r="V53" s="231">
        <v>0</v>
      </c>
      <c r="W53" s="231">
        <v>1100</v>
      </c>
    </row>
    <row r="54" spans="1:23" x14ac:dyDescent="0.25">
      <c r="A54" s="229"/>
      <c r="B54" s="236" t="s">
        <v>196</v>
      </c>
      <c r="C54" s="231">
        <v>0</v>
      </c>
      <c r="D54" s="231">
        <v>0</v>
      </c>
      <c r="E54" s="231">
        <v>0</v>
      </c>
      <c r="F54" s="231">
        <v>0</v>
      </c>
      <c r="G54" s="231">
        <v>0</v>
      </c>
      <c r="H54" s="231">
        <v>0</v>
      </c>
      <c r="I54" s="231">
        <v>0</v>
      </c>
      <c r="J54" s="231">
        <v>0</v>
      </c>
      <c r="K54" s="231">
        <v>0</v>
      </c>
      <c r="L54" s="231">
        <v>0</v>
      </c>
      <c r="M54" s="231">
        <v>0</v>
      </c>
      <c r="N54" s="231">
        <v>0</v>
      </c>
      <c r="O54" s="231">
        <v>0</v>
      </c>
      <c r="P54" s="231">
        <v>0</v>
      </c>
      <c r="Q54" s="231">
        <v>0</v>
      </c>
      <c r="R54" s="231">
        <v>0</v>
      </c>
      <c r="S54" s="231">
        <v>702</v>
      </c>
      <c r="T54" s="231">
        <v>0</v>
      </c>
      <c r="U54" s="231">
        <v>0</v>
      </c>
      <c r="V54" s="231">
        <v>0</v>
      </c>
      <c r="W54" s="231">
        <v>702</v>
      </c>
    </row>
    <row r="55" spans="1:23" x14ac:dyDescent="0.25">
      <c r="A55" s="229"/>
      <c r="B55" s="236" t="s">
        <v>197</v>
      </c>
      <c r="C55" s="231">
        <v>0</v>
      </c>
      <c r="D55" s="231">
        <v>0</v>
      </c>
      <c r="E55" s="231">
        <v>0</v>
      </c>
      <c r="F55" s="231">
        <v>45</v>
      </c>
      <c r="G55" s="231">
        <v>0</v>
      </c>
      <c r="H55" s="231">
        <v>0</v>
      </c>
      <c r="I55" s="231">
        <v>0</v>
      </c>
      <c r="J55" s="231">
        <v>0</v>
      </c>
      <c r="K55" s="231">
        <v>0</v>
      </c>
      <c r="L55" s="231">
        <v>0</v>
      </c>
      <c r="M55" s="231">
        <v>0</v>
      </c>
      <c r="N55" s="231">
        <v>0</v>
      </c>
      <c r="O55" s="231">
        <v>0</v>
      </c>
      <c r="P55" s="231">
        <v>0</v>
      </c>
      <c r="Q55" s="231">
        <v>0</v>
      </c>
      <c r="R55" s="231">
        <v>0</v>
      </c>
      <c r="S55" s="231">
        <v>0</v>
      </c>
      <c r="T55" s="231">
        <v>0</v>
      </c>
      <c r="U55" s="231">
        <v>0</v>
      </c>
      <c r="V55" s="231">
        <v>0</v>
      </c>
      <c r="W55" s="231">
        <v>45</v>
      </c>
    </row>
    <row r="56" spans="1:23" ht="15.75" thickBot="1" x14ac:dyDescent="0.3">
      <c r="A56" s="229"/>
      <c r="B56" s="236" t="s">
        <v>198</v>
      </c>
      <c r="C56" s="231">
        <v>0</v>
      </c>
      <c r="D56" s="231">
        <v>0</v>
      </c>
      <c r="E56" s="231">
        <v>0</v>
      </c>
      <c r="F56" s="231">
        <v>300</v>
      </c>
      <c r="G56" s="231">
        <v>595.6</v>
      </c>
      <c r="H56" s="231">
        <v>0</v>
      </c>
      <c r="I56" s="231">
        <v>0</v>
      </c>
      <c r="J56" s="231">
        <v>0</v>
      </c>
      <c r="K56" s="231">
        <v>0</v>
      </c>
      <c r="L56" s="231">
        <v>0</v>
      </c>
      <c r="M56" s="231">
        <v>0</v>
      </c>
      <c r="N56" s="231">
        <v>0</v>
      </c>
      <c r="O56" s="231">
        <v>0</v>
      </c>
      <c r="P56" s="231">
        <v>0</v>
      </c>
      <c r="Q56" s="231">
        <v>0</v>
      </c>
      <c r="R56" s="231">
        <v>0</v>
      </c>
      <c r="S56" s="231">
        <v>0</v>
      </c>
      <c r="T56" s="231">
        <v>0</v>
      </c>
      <c r="U56" s="231">
        <v>0</v>
      </c>
      <c r="V56" s="231">
        <v>0</v>
      </c>
      <c r="W56" s="231">
        <v>895.6</v>
      </c>
    </row>
    <row r="57" spans="1:23" ht="15.75" thickBot="1" x14ac:dyDescent="0.3">
      <c r="A57" s="229"/>
      <c r="B57" s="237" t="s">
        <v>199</v>
      </c>
      <c r="C57" s="238">
        <v>0</v>
      </c>
      <c r="D57" s="238">
        <v>0</v>
      </c>
      <c r="E57" s="238">
        <v>0</v>
      </c>
      <c r="F57" s="238">
        <v>345</v>
      </c>
      <c r="G57" s="238">
        <v>595.6</v>
      </c>
      <c r="H57" s="238">
        <v>0</v>
      </c>
      <c r="I57" s="238">
        <v>0</v>
      </c>
      <c r="J57" s="238">
        <v>0</v>
      </c>
      <c r="K57" s="238">
        <v>0</v>
      </c>
      <c r="L57" s="238">
        <v>0</v>
      </c>
      <c r="M57" s="238">
        <v>626</v>
      </c>
      <c r="N57" s="238">
        <v>1100</v>
      </c>
      <c r="O57" s="238">
        <v>0</v>
      </c>
      <c r="P57" s="238">
        <v>0</v>
      </c>
      <c r="Q57" s="238">
        <v>0</v>
      </c>
      <c r="R57" s="238">
        <v>0</v>
      </c>
      <c r="S57" s="238">
        <v>702</v>
      </c>
      <c r="T57" s="238">
        <v>0</v>
      </c>
      <c r="U57" s="238">
        <v>0</v>
      </c>
      <c r="V57" s="238">
        <v>0</v>
      </c>
      <c r="W57" s="238">
        <v>3368.6</v>
      </c>
    </row>
    <row r="58" spans="1:23" x14ac:dyDescent="0.25">
      <c r="A58" s="229"/>
      <c r="B58" s="235" t="s">
        <v>200</v>
      </c>
      <c r="C58" s="231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  <c r="P58" s="231"/>
      <c r="Q58" s="231"/>
      <c r="R58" s="231"/>
      <c r="S58" s="231"/>
      <c r="T58" s="231"/>
      <c r="U58" s="231"/>
      <c r="V58" s="231"/>
      <c r="W58" s="231"/>
    </row>
    <row r="59" spans="1:23" x14ac:dyDescent="0.25">
      <c r="A59" s="229"/>
      <c r="B59" s="236" t="s">
        <v>201</v>
      </c>
      <c r="C59" s="231">
        <v>0</v>
      </c>
      <c r="D59" s="231">
        <v>0</v>
      </c>
      <c r="E59" s="231">
        <v>0</v>
      </c>
      <c r="F59" s="231">
        <v>0</v>
      </c>
      <c r="G59" s="231">
        <v>0</v>
      </c>
      <c r="H59" s="231">
        <v>0</v>
      </c>
      <c r="I59" s="231">
        <v>0</v>
      </c>
      <c r="J59" s="231">
        <v>0</v>
      </c>
      <c r="K59" s="231">
        <v>500</v>
      </c>
      <c r="L59" s="231">
        <v>0</v>
      </c>
      <c r="M59" s="231">
        <v>0</v>
      </c>
      <c r="N59" s="231">
        <v>0</v>
      </c>
      <c r="O59" s="231">
        <v>0</v>
      </c>
      <c r="P59" s="231">
        <v>0</v>
      </c>
      <c r="Q59" s="231">
        <v>0</v>
      </c>
      <c r="R59" s="231">
        <v>0</v>
      </c>
      <c r="S59" s="231">
        <v>0</v>
      </c>
      <c r="T59" s="231">
        <v>0</v>
      </c>
      <c r="U59" s="231">
        <v>0</v>
      </c>
      <c r="V59" s="231">
        <v>0</v>
      </c>
      <c r="W59" s="231">
        <v>500</v>
      </c>
    </row>
    <row r="60" spans="1:23" ht="15.75" thickBot="1" x14ac:dyDescent="0.3">
      <c r="A60" s="229"/>
      <c r="B60" s="236" t="s">
        <v>202</v>
      </c>
      <c r="C60" s="231">
        <v>0</v>
      </c>
      <c r="D60" s="231">
        <v>0</v>
      </c>
      <c r="E60" s="231">
        <v>0</v>
      </c>
      <c r="F60" s="231">
        <v>200</v>
      </c>
      <c r="G60" s="231">
        <v>0</v>
      </c>
      <c r="H60" s="231">
        <v>0</v>
      </c>
      <c r="I60" s="231">
        <v>0</v>
      </c>
      <c r="J60" s="231">
        <v>0</v>
      </c>
      <c r="K60" s="231">
        <v>0</v>
      </c>
      <c r="L60" s="231">
        <v>0</v>
      </c>
      <c r="M60" s="231">
        <v>0</v>
      </c>
      <c r="N60" s="231">
        <v>0</v>
      </c>
      <c r="O60" s="231">
        <v>0</v>
      </c>
      <c r="P60" s="231">
        <v>0</v>
      </c>
      <c r="Q60" s="231">
        <v>0</v>
      </c>
      <c r="R60" s="231">
        <v>0</v>
      </c>
      <c r="S60" s="231">
        <v>0</v>
      </c>
      <c r="T60" s="231">
        <v>0</v>
      </c>
      <c r="U60" s="231">
        <v>0</v>
      </c>
      <c r="V60" s="231">
        <v>0</v>
      </c>
      <c r="W60" s="231">
        <v>200</v>
      </c>
    </row>
    <row r="61" spans="1:23" ht="15.75" thickBot="1" x14ac:dyDescent="0.3">
      <c r="A61" s="229"/>
      <c r="B61" s="237" t="s">
        <v>203</v>
      </c>
      <c r="C61" s="238">
        <v>0</v>
      </c>
      <c r="D61" s="238">
        <v>0</v>
      </c>
      <c r="E61" s="238">
        <v>0</v>
      </c>
      <c r="F61" s="238">
        <v>200</v>
      </c>
      <c r="G61" s="238">
        <v>0</v>
      </c>
      <c r="H61" s="238">
        <v>0</v>
      </c>
      <c r="I61" s="238">
        <v>0</v>
      </c>
      <c r="J61" s="238">
        <v>0</v>
      </c>
      <c r="K61" s="238">
        <v>500</v>
      </c>
      <c r="L61" s="238">
        <v>0</v>
      </c>
      <c r="M61" s="238">
        <v>0</v>
      </c>
      <c r="N61" s="238">
        <v>0</v>
      </c>
      <c r="O61" s="238">
        <v>0</v>
      </c>
      <c r="P61" s="238">
        <v>0</v>
      </c>
      <c r="Q61" s="238">
        <v>0</v>
      </c>
      <c r="R61" s="238">
        <v>0</v>
      </c>
      <c r="S61" s="238">
        <v>0</v>
      </c>
      <c r="T61" s="238">
        <v>0</v>
      </c>
      <c r="U61" s="238">
        <v>0</v>
      </c>
      <c r="V61" s="238">
        <v>0</v>
      </c>
      <c r="W61" s="238">
        <v>700</v>
      </c>
    </row>
    <row r="62" spans="1:23" x14ac:dyDescent="0.25">
      <c r="A62" s="229"/>
      <c r="B62" s="235" t="s">
        <v>204</v>
      </c>
      <c r="C62" s="231"/>
      <c r="D62" s="231"/>
      <c r="E62" s="231"/>
      <c r="F62" s="231"/>
      <c r="G62" s="231"/>
      <c r="H62" s="231"/>
      <c r="I62" s="231"/>
      <c r="J62" s="231"/>
      <c r="K62" s="231"/>
      <c r="L62" s="231"/>
      <c r="M62" s="231"/>
      <c r="N62" s="231"/>
      <c r="O62" s="231"/>
      <c r="P62" s="231"/>
      <c r="Q62" s="231"/>
      <c r="R62" s="231"/>
      <c r="S62" s="231"/>
      <c r="T62" s="231"/>
      <c r="U62" s="231"/>
      <c r="V62" s="231"/>
      <c r="W62" s="231"/>
    </row>
    <row r="63" spans="1:23" x14ac:dyDescent="0.25">
      <c r="A63" s="229"/>
      <c r="B63" s="236" t="s">
        <v>205</v>
      </c>
      <c r="C63" s="231">
        <v>0</v>
      </c>
      <c r="D63" s="231">
        <v>0</v>
      </c>
      <c r="E63" s="231">
        <v>0.2</v>
      </c>
      <c r="F63" s="231">
        <v>8.98</v>
      </c>
      <c r="G63" s="231">
        <v>1.8100000000000003</v>
      </c>
      <c r="H63" s="231">
        <v>0.47000000000000008</v>
      </c>
      <c r="I63" s="231">
        <v>0.62999999999999967</v>
      </c>
      <c r="J63" s="231">
        <v>3.2000000000000006</v>
      </c>
      <c r="K63" s="231">
        <v>4.6599999999999984</v>
      </c>
      <c r="L63" s="231">
        <v>0.62000000000000011</v>
      </c>
      <c r="M63" s="231">
        <v>1.2700000000000027</v>
      </c>
      <c r="N63" s="231">
        <v>0.74000000000000021</v>
      </c>
      <c r="O63" s="231">
        <v>0.6899999999999995</v>
      </c>
      <c r="P63" s="231">
        <v>0.72000000000000064</v>
      </c>
      <c r="Q63" s="231">
        <v>12.869999999999997</v>
      </c>
      <c r="R63" s="231">
        <v>0.5</v>
      </c>
      <c r="S63" s="231">
        <v>0.58000000000000096</v>
      </c>
      <c r="T63" s="231">
        <v>0.88999999999999702</v>
      </c>
      <c r="U63" s="231">
        <v>0.53000000000000114</v>
      </c>
      <c r="V63" s="231">
        <v>0.61999999999999922</v>
      </c>
      <c r="W63" s="231">
        <v>39.979999999999997</v>
      </c>
    </row>
    <row r="64" spans="1:23" x14ac:dyDescent="0.25">
      <c r="A64" s="229"/>
      <c r="B64" s="236" t="s">
        <v>206</v>
      </c>
      <c r="C64" s="231">
        <v>0</v>
      </c>
      <c r="D64" s="231">
        <v>0</v>
      </c>
      <c r="E64" s="231">
        <v>12.81</v>
      </c>
      <c r="F64" s="231">
        <v>7.7100000000000009</v>
      </c>
      <c r="G64" s="231">
        <v>3.3400000000000003</v>
      </c>
      <c r="H64" s="231">
        <v>1.92</v>
      </c>
      <c r="I64" s="231">
        <v>2.8999999999999981</v>
      </c>
      <c r="J64" s="231">
        <v>22.57</v>
      </c>
      <c r="K64" s="231">
        <v>13.980000000000004</v>
      </c>
      <c r="L64" s="231">
        <v>7.4499999999999975</v>
      </c>
      <c r="M64" s="231">
        <v>9.4000000000000039</v>
      </c>
      <c r="N64" s="231">
        <v>5.6699999999999946</v>
      </c>
      <c r="O64" s="231">
        <v>6.9500000000000028</v>
      </c>
      <c r="P64" s="231">
        <v>5.5799999999999992</v>
      </c>
      <c r="Q64" s="231">
        <v>15.150000000000002</v>
      </c>
      <c r="R64" s="231">
        <v>5.34</v>
      </c>
      <c r="S64" s="231">
        <v>7.6399999999999988</v>
      </c>
      <c r="T64" s="231">
        <v>6.4299999999999962</v>
      </c>
      <c r="U64" s="231">
        <v>4.5200000000000031</v>
      </c>
      <c r="V64" s="231">
        <v>5.2299999999999969</v>
      </c>
      <c r="W64" s="231">
        <v>144.59</v>
      </c>
    </row>
    <row r="65" spans="1:23" x14ac:dyDescent="0.25">
      <c r="A65" s="229"/>
      <c r="B65" s="236" t="s">
        <v>207</v>
      </c>
      <c r="C65" s="231">
        <v>0</v>
      </c>
      <c r="D65" s="231">
        <v>0</v>
      </c>
      <c r="E65" s="231">
        <v>0.41000000000000003</v>
      </c>
      <c r="F65" s="231">
        <v>0.52</v>
      </c>
      <c r="G65" s="231">
        <v>0.32</v>
      </c>
      <c r="H65" s="231">
        <v>0.55999999999999994</v>
      </c>
      <c r="I65" s="231">
        <v>0.56999999999999984</v>
      </c>
      <c r="J65" s="231">
        <v>0.56000000000000005</v>
      </c>
      <c r="K65" s="231">
        <v>2.6</v>
      </c>
      <c r="L65" s="231">
        <v>0.38000000000000034</v>
      </c>
      <c r="M65" s="231">
        <v>0.40999999999999992</v>
      </c>
      <c r="N65" s="231">
        <v>0.30999999999999961</v>
      </c>
      <c r="O65" s="231">
        <v>0.5</v>
      </c>
      <c r="P65" s="231">
        <v>0.33000000000000007</v>
      </c>
      <c r="Q65" s="231">
        <v>0.34999999999999964</v>
      </c>
      <c r="R65" s="231">
        <v>0.40000000000000036</v>
      </c>
      <c r="S65" s="231">
        <v>0.36999999999999966</v>
      </c>
      <c r="T65" s="231">
        <v>0.52000000000000024</v>
      </c>
      <c r="U65" s="231">
        <v>0.52000000000000046</v>
      </c>
      <c r="V65" s="231">
        <v>0.33000000000000007</v>
      </c>
      <c r="W65" s="231">
        <v>9.9599999999999991</v>
      </c>
    </row>
    <row r="66" spans="1:23" x14ac:dyDescent="0.25">
      <c r="A66" s="229"/>
      <c r="B66" s="236" t="s">
        <v>208</v>
      </c>
      <c r="C66" s="231">
        <v>0</v>
      </c>
      <c r="D66" s="231">
        <v>0</v>
      </c>
      <c r="E66" s="231">
        <v>0</v>
      </c>
      <c r="F66" s="231">
        <v>0</v>
      </c>
      <c r="G66" s="231">
        <v>0.85</v>
      </c>
      <c r="H66" s="231">
        <v>0.47000000000000008</v>
      </c>
      <c r="I66" s="231">
        <v>0.61999999999999988</v>
      </c>
      <c r="J66" s="231">
        <v>0.7200000000000002</v>
      </c>
      <c r="K66" s="231">
        <v>0.6599999999999997</v>
      </c>
      <c r="L66" s="231">
        <v>0.62000000000000011</v>
      </c>
      <c r="M66" s="231">
        <v>0.64000000000000012</v>
      </c>
      <c r="N66" s="231">
        <v>0.74000000000000021</v>
      </c>
      <c r="O66" s="231">
        <v>0.6899999999999995</v>
      </c>
      <c r="P66" s="231">
        <v>0.72000000000000064</v>
      </c>
      <c r="Q66" s="231">
        <v>0.64999999999999947</v>
      </c>
      <c r="R66" s="231">
        <v>0.5</v>
      </c>
      <c r="S66" s="231">
        <v>0.58000000000000096</v>
      </c>
      <c r="T66" s="231">
        <v>0.57999999999999829</v>
      </c>
      <c r="U66" s="231">
        <v>0.53000000000000114</v>
      </c>
      <c r="V66" s="231">
        <v>0.61999999999999922</v>
      </c>
      <c r="W66" s="231">
        <v>10.19</v>
      </c>
    </row>
    <row r="67" spans="1:23" x14ac:dyDescent="0.25">
      <c r="A67" s="229"/>
      <c r="B67" s="236" t="s">
        <v>209</v>
      </c>
      <c r="C67" s="231">
        <v>0</v>
      </c>
      <c r="D67" s="231">
        <v>0</v>
      </c>
      <c r="E67" s="231">
        <v>0</v>
      </c>
      <c r="F67" s="231">
        <v>0</v>
      </c>
      <c r="G67" s="231">
        <v>13.97</v>
      </c>
      <c r="H67" s="231">
        <v>1.5600000000000005</v>
      </c>
      <c r="I67" s="231">
        <v>2.1699999999999986</v>
      </c>
      <c r="J67" s="231">
        <v>3.8800000000000003</v>
      </c>
      <c r="K67" s="231">
        <v>6.1000000000000014</v>
      </c>
      <c r="L67" s="231">
        <v>5.3099999999999969</v>
      </c>
      <c r="M67" s="231">
        <v>6.4400000000000048</v>
      </c>
      <c r="N67" s="231">
        <v>11.959999999999996</v>
      </c>
      <c r="O67" s="231">
        <v>5.68</v>
      </c>
      <c r="P67" s="231">
        <v>5.7200000000000024</v>
      </c>
      <c r="Q67" s="231">
        <v>5.3500000000000032</v>
      </c>
      <c r="R67" s="231">
        <v>4.5599999999999969</v>
      </c>
      <c r="S67" s="231">
        <v>54.100000000000009</v>
      </c>
      <c r="T67" s="231">
        <v>4.2299999999999969</v>
      </c>
      <c r="U67" s="231">
        <v>4.0300000000000011</v>
      </c>
      <c r="V67" s="231">
        <v>5.9999999999999911</v>
      </c>
      <c r="W67" s="231">
        <v>141.06</v>
      </c>
    </row>
    <row r="68" spans="1:23" x14ac:dyDescent="0.25">
      <c r="A68" s="229"/>
      <c r="B68" s="236" t="s">
        <v>210</v>
      </c>
      <c r="C68" s="231">
        <v>0</v>
      </c>
      <c r="D68" s="231">
        <v>0</v>
      </c>
      <c r="E68" s="231">
        <v>0</v>
      </c>
      <c r="F68" s="231">
        <v>0</v>
      </c>
      <c r="G68" s="231">
        <v>0.89</v>
      </c>
      <c r="H68" s="231">
        <v>0.55999999999999994</v>
      </c>
      <c r="I68" s="231">
        <v>0.55999999999999983</v>
      </c>
      <c r="J68" s="231">
        <v>0.56000000000000005</v>
      </c>
      <c r="K68" s="231">
        <v>0.49000000000000021</v>
      </c>
      <c r="L68" s="231">
        <v>0.37000000000000011</v>
      </c>
      <c r="M68" s="231">
        <v>0.39999999999999991</v>
      </c>
      <c r="N68" s="231">
        <v>0.30999999999999961</v>
      </c>
      <c r="O68" s="231">
        <v>0.32000000000000028</v>
      </c>
      <c r="P68" s="231">
        <v>0.33000000000000007</v>
      </c>
      <c r="Q68" s="231">
        <v>0.87999999999999967</v>
      </c>
      <c r="R68" s="231">
        <v>0.40000000000000036</v>
      </c>
      <c r="S68" s="231">
        <v>0.30999999999999961</v>
      </c>
      <c r="T68" s="231">
        <v>0.49999999999999989</v>
      </c>
      <c r="U68" s="231">
        <v>0.44000000000000039</v>
      </c>
      <c r="V68" s="231">
        <v>0.33000000000000007</v>
      </c>
      <c r="W68" s="231">
        <v>7.65</v>
      </c>
    </row>
    <row r="69" spans="1:23" x14ac:dyDescent="0.25">
      <c r="A69" s="229"/>
      <c r="B69" s="236" t="s">
        <v>211</v>
      </c>
      <c r="C69" s="231">
        <v>0</v>
      </c>
      <c r="D69" s="231">
        <v>4.5556000000000001</v>
      </c>
      <c r="E69" s="231">
        <v>5.4779999999999989</v>
      </c>
      <c r="F69" s="231">
        <v>1.8452</v>
      </c>
      <c r="G69" s="231">
        <v>1.8452000000000002</v>
      </c>
      <c r="H69" s="231">
        <v>1.8452999999999999</v>
      </c>
      <c r="I69" s="231">
        <v>1.8451999999999993</v>
      </c>
      <c r="J69" s="231">
        <v>1.8452000000000002</v>
      </c>
      <c r="K69" s="231">
        <v>1.8452000000000002</v>
      </c>
      <c r="L69" s="231">
        <v>1.8452000000000002</v>
      </c>
      <c r="M69" s="231">
        <v>1.8452000000000019</v>
      </c>
      <c r="N69" s="231">
        <v>0</v>
      </c>
      <c r="O69" s="231">
        <v>0</v>
      </c>
      <c r="P69" s="231">
        <v>0</v>
      </c>
      <c r="Q69" s="231">
        <v>0</v>
      </c>
      <c r="R69" s="231">
        <v>0</v>
      </c>
      <c r="S69" s="231">
        <v>0</v>
      </c>
      <c r="T69" s="231">
        <v>0</v>
      </c>
      <c r="U69" s="231">
        <v>0</v>
      </c>
      <c r="V69" s="231">
        <v>0</v>
      </c>
      <c r="W69" s="231">
        <v>24.795300000000001</v>
      </c>
    </row>
    <row r="70" spans="1:23" x14ac:dyDescent="0.25">
      <c r="A70" s="229"/>
      <c r="B70" s="236" t="s">
        <v>212</v>
      </c>
      <c r="C70" s="231">
        <v>0</v>
      </c>
      <c r="D70" s="231">
        <v>53.2408</v>
      </c>
      <c r="E70" s="231">
        <v>56.282300000000006</v>
      </c>
      <c r="F70" s="231">
        <v>6.0831999999999997</v>
      </c>
      <c r="G70" s="231">
        <v>6.0832999999999995</v>
      </c>
      <c r="H70" s="231">
        <v>6.0832000000000015</v>
      </c>
      <c r="I70" s="231">
        <v>6.0832999999999977</v>
      </c>
      <c r="J70" s="231">
        <v>6.0833000000000013</v>
      </c>
      <c r="K70" s="231">
        <v>6.0831999999999979</v>
      </c>
      <c r="L70" s="231">
        <v>6.0833000000000013</v>
      </c>
      <c r="M70" s="231">
        <v>6.0831999999999979</v>
      </c>
      <c r="N70" s="231">
        <v>0</v>
      </c>
      <c r="O70" s="231">
        <v>0</v>
      </c>
      <c r="P70" s="231">
        <v>0</v>
      </c>
      <c r="Q70" s="231">
        <v>0</v>
      </c>
      <c r="R70" s="231">
        <v>0</v>
      </c>
      <c r="S70" s="231">
        <v>0</v>
      </c>
      <c r="T70" s="231">
        <v>0</v>
      </c>
      <c r="U70" s="231">
        <v>0</v>
      </c>
      <c r="V70" s="231">
        <v>0</v>
      </c>
      <c r="W70" s="231">
        <v>158.18910000000002</v>
      </c>
    </row>
    <row r="71" spans="1:23" ht="15.75" thickBot="1" x14ac:dyDescent="0.3">
      <c r="A71" s="229"/>
      <c r="B71" s="236" t="s">
        <v>213</v>
      </c>
      <c r="C71" s="231">
        <v>0</v>
      </c>
      <c r="D71" s="231">
        <v>16.554399999999998</v>
      </c>
      <c r="E71" s="231">
        <v>1.131</v>
      </c>
      <c r="F71" s="231">
        <v>1.8095999999999999</v>
      </c>
      <c r="G71" s="231">
        <v>1.8096999999999999</v>
      </c>
      <c r="H71" s="231">
        <v>1.8096000000000005</v>
      </c>
      <c r="I71" s="231">
        <v>1.8096000000000005</v>
      </c>
      <c r="J71" s="231">
        <v>1.8095999999999997</v>
      </c>
      <c r="K71" s="231">
        <v>1.8096999999999994</v>
      </c>
      <c r="L71" s="231">
        <v>1.8095999999999997</v>
      </c>
      <c r="M71" s="231">
        <v>1.8095999999999997</v>
      </c>
      <c r="N71" s="231">
        <v>0</v>
      </c>
      <c r="O71" s="231">
        <v>0</v>
      </c>
      <c r="P71" s="231">
        <v>0</v>
      </c>
      <c r="Q71" s="231">
        <v>0</v>
      </c>
      <c r="R71" s="231">
        <v>0</v>
      </c>
      <c r="S71" s="231">
        <v>0</v>
      </c>
      <c r="T71" s="231">
        <v>0</v>
      </c>
      <c r="U71" s="231">
        <v>0</v>
      </c>
      <c r="V71" s="231">
        <v>0</v>
      </c>
      <c r="W71" s="231">
        <v>32.162399999999991</v>
      </c>
    </row>
    <row r="72" spans="1:23" ht="15.75" thickBot="1" x14ac:dyDescent="0.3">
      <c r="A72" s="229"/>
      <c r="B72" s="237" t="s">
        <v>214</v>
      </c>
      <c r="C72" s="238">
        <v>0</v>
      </c>
      <c r="D72" s="238">
        <v>74.350799999999992</v>
      </c>
      <c r="E72" s="238">
        <v>76.311300000000003</v>
      </c>
      <c r="F72" s="238">
        <v>26.947999999999997</v>
      </c>
      <c r="G72" s="238">
        <v>30.918199999999999</v>
      </c>
      <c r="H72" s="238">
        <v>15.278100000000002</v>
      </c>
      <c r="I72" s="238">
        <v>17.188099999999995</v>
      </c>
      <c r="J72" s="238">
        <v>41.228099999999998</v>
      </c>
      <c r="K72" s="238">
        <v>38.228099999999998</v>
      </c>
      <c r="L72" s="238">
        <v>24.488099999999992</v>
      </c>
      <c r="M72" s="238">
        <v>28.298000000000009</v>
      </c>
      <c r="N72" s="238">
        <v>19.72999999999999</v>
      </c>
      <c r="O72" s="238">
        <v>14.830000000000002</v>
      </c>
      <c r="P72" s="238">
        <v>13.400000000000004</v>
      </c>
      <c r="Q72" s="238">
        <v>35.25</v>
      </c>
      <c r="R72" s="238">
        <v>11.699999999999998</v>
      </c>
      <c r="S72" s="238">
        <v>63.580000000000013</v>
      </c>
      <c r="T72" s="238">
        <v>13.149999999999988</v>
      </c>
      <c r="U72" s="238">
        <v>10.570000000000007</v>
      </c>
      <c r="V72" s="238">
        <v>13.129999999999987</v>
      </c>
      <c r="W72" s="238">
        <v>568.57680000000005</v>
      </c>
    </row>
    <row r="73" spans="1:23" x14ac:dyDescent="0.25">
      <c r="A73" s="229"/>
      <c r="B73" s="235" t="s">
        <v>215</v>
      </c>
      <c r="C73" s="231"/>
      <c r="D73" s="231"/>
      <c r="E73" s="231"/>
      <c r="F73" s="231"/>
      <c r="G73" s="231"/>
      <c r="H73" s="231"/>
      <c r="I73" s="231"/>
      <c r="J73" s="231"/>
      <c r="K73" s="231"/>
      <c r="L73" s="231"/>
      <c r="M73" s="231"/>
      <c r="N73" s="231"/>
      <c r="O73" s="231"/>
      <c r="P73" s="231"/>
      <c r="Q73" s="231"/>
      <c r="R73" s="231"/>
      <c r="S73" s="231"/>
      <c r="T73" s="231"/>
      <c r="U73" s="231"/>
      <c r="V73" s="231"/>
      <c r="W73" s="231"/>
    </row>
    <row r="74" spans="1:23" x14ac:dyDescent="0.25">
      <c r="A74" s="229"/>
      <c r="B74" s="236" t="s">
        <v>116</v>
      </c>
      <c r="C74" s="231">
        <v>5.9644000000000004</v>
      </c>
      <c r="D74" s="231">
        <v>4.3483999999999998</v>
      </c>
      <c r="E74" s="231">
        <v>4.0690999999999997</v>
      </c>
      <c r="F74" s="231">
        <v>4.2427000000000001</v>
      </c>
      <c r="G74" s="231">
        <v>10.360000000000001</v>
      </c>
      <c r="H74" s="231">
        <v>12.94</v>
      </c>
      <c r="I74" s="231">
        <v>16.729999999999997</v>
      </c>
      <c r="J74" s="231">
        <v>19.399999999999999</v>
      </c>
      <c r="K74" s="231">
        <v>21.17</v>
      </c>
      <c r="L74" s="231">
        <v>22.61</v>
      </c>
      <c r="M74" s="231">
        <v>23.049999999999997</v>
      </c>
      <c r="N74" s="231">
        <v>22.980000000000004</v>
      </c>
      <c r="O74" s="231">
        <v>21.679999999999996</v>
      </c>
      <c r="P74" s="231">
        <v>20.14</v>
      </c>
      <c r="Q74" s="231">
        <v>17.77</v>
      </c>
      <c r="R74" s="231">
        <v>15.569999999999999</v>
      </c>
      <c r="S74" s="231">
        <v>13.339999999999998</v>
      </c>
      <c r="T74" s="231">
        <v>10.84</v>
      </c>
      <c r="U74" s="231">
        <v>8.759999999999998</v>
      </c>
      <c r="V74" s="231">
        <v>7.5699999999999994</v>
      </c>
      <c r="W74" s="231">
        <v>283.53459999999995</v>
      </c>
    </row>
    <row r="75" spans="1:23" x14ac:dyDescent="0.25">
      <c r="A75" s="229"/>
      <c r="B75" s="236" t="s">
        <v>117</v>
      </c>
      <c r="C75" s="231">
        <v>52.872999999999998</v>
      </c>
      <c r="D75" s="231">
        <v>58.984099999999998</v>
      </c>
      <c r="E75" s="231">
        <v>61.053899999999999</v>
      </c>
      <c r="F75" s="231">
        <v>62.137</v>
      </c>
      <c r="G75" s="231">
        <v>104.37</v>
      </c>
      <c r="H75" s="231">
        <v>126.60999999999999</v>
      </c>
      <c r="I75" s="231">
        <v>146.04000000000002</v>
      </c>
      <c r="J75" s="231">
        <v>162.81</v>
      </c>
      <c r="K75" s="231">
        <v>176.39</v>
      </c>
      <c r="L75" s="231">
        <v>196.39000000000004</v>
      </c>
      <c r="M75" s="231">
        <v>199.12</v>
      </c>
      <c r="N75" s="231">
        <v>195.53</v>
      </c>
      <c r="O75" s="231">
        <v>184.43999999999997</v>
      </c>
      <c r="P75" s="231">
        <v>170.58999999999997</v>
      </c>
      <c r="Q75" s="231">
        <v>153.01999999999998</v>
      </c>
      <c r="R75" s="231">
        <v>134.07999999999998</v>
      </c>
      <c r="S75" s="231">
        <v>115.99</v>
      </c>
      <c r="T75" s="231">
        <v>99.62</v>
      </c>
      <c r="U75" s="231">
        <v>85.69</v>
      </c>
      <c r="V75" s="231">
        <v>78.809999999999988</v>
      </c>
      <c r="W75" s="231">
        <v>2564.5479999999993</v>
      </c>
    </row>
    <row r="76" spans="1:23" x14ac:dyDescent="0.25">
      <c r="A76" s="229"/>
      <c r="B76" s="236" t="s">
        <v>118</v>
      </c>
      <c r="C76" s="231">
        <v>7.2008999999999999</v>
      </c>
      <c r="D76" s="231">
        <v>7.2976999999999999</v>
      </c>
      <c r="E76" s="231">
        <v>7.2545999999999999</v>
      </c>
      <c r="F76" s="231">
        <v>7.2545999999999999</v>
      </c>
      <c r="G76" s="231">
        <v>21.37</v>
      </c>
      <c r="H76" s="231">
        <v>23.22</v>
      </c>
      <c r="I76" s="231">
        <v>25.240000000000002</v>
      </c>
      <c r="J76" s="231">
        <v>26.92</v>
      </c>
      <c r="K76" s="231">
        <v>27.04</v>
      </c>
      <c r="L76" s="231">
        <v>27.26</v>
      </c>
      <c r="M76" s="231">
        <v>26.259999999999998</v>
      </c>
      <c r="N76" s="231">
        <v>24.28</v>
      </c>
      <c r="O76" s="231">
        <v>21.490000000000002</v>
      </c>
      <c r="P76" s="231">
        <v>19.069999999999997</v>
      </c>
      <c r="Q76" s="231">
        <v>16.66</v>
      </c>
      <c r="R76" s="231">
        <v>13.209999999999999</v>
      </c>
      <c r="S76" s="231">
        <v>10.879999999999999</v>
      </c>
      <c r="T76" s="231">
        <v>9.4600000000000009</v>
      </c>
      <c r="U76" s="231">
        <v>8.3000000000000007</v>
      </c>
      <c r="V76" s="231">
        <v>7.98</v>
      </c>
      <c r="W76" s="231">
        <v>337.64780000000002</v>
      </c>
    </row>
    <row r="77" spans="1:23" x14ac:dyDescent="0.25">
      <c r="A77" s="229"/>
      <c r="B77" s="236" t="s">
        <v>216</v>
      </c>
      <c r="C77" s="231">
        <v>2.58</v>
      </c>
      <c r="D77" s="231">
        <v>0</v>
      </c>
      <c r="E77" s="231">
        <v>0</v>
      </c>
      <c r="F77" s="231">
        <v>0</v>
      </c>
      <c r="G77" s="231">
        <v>0</v>
      </c>
      <c r="H77" s="231">
        <v>0</v>
      </c>
      <c r="I77" s="231">
        <v>0</v>
      </c>
      <c r="J77" s="231">
        <v>0</v>
      </c>
      <c r="K77" s="231">
        <v>0</v>
      </c>
      <c r="L77" s="231">
        <v>0</v>
      </c>
      <c r="M77" s="231">
        <v>0</v>
      </c>
      <c r="N77" s="231">
        <v>0</v>
      </c>
      <c r="O77" s="231">
        <v>0</v>
      </c>
      <c r="P77" s="231">
        <v>0</v>
      </c>
      <c r="Q77" s="231">
        <v>0</v>
      </c>
      <c r="R77" s="231">
        <v>0</v>
      </c>
      <c r="S77" s="231">
        <v>0</v>
      </c>
      <c r="T77" s="231">
        <v>0</v>
      </c>
      <c r="U77" s="231">
        <v>0</v>
      </c>
      <c r="V77" s="231">
        <v>0</v>
      </c>
      <c r="W77" s="231">
        <v>2.58</v>
      </c>
    </row>
    <row r="78" spans="1:23" ht="15.75" thickBot="1" x14ac:dyDescent="0.3">
      <c r="A78" s="229"/>
      <c r="B78" s="236" t="s">
        <v>217</v>
      </c>
      <c r="C78" s="231">
        <v>26.3</v>
      </c>
      <c r="D78" s="231">
        <v>0</v>
      </c>
      <c r="E78" s="231">
        <v>0</v>
      </c>
      <c r="F78" s="231">
        <v>0</v>
      </c>
      <c r="G78" s="231">
        <v>0</v>
      </c>
      <c r="H78" s="231">
        <v>0</v>
      </c>
      <c r="I78" s="231">
        <v>0</v>
      </c>
      <c r="J78" s="231">
        <v>0</v>
      </c>
      <c r="K78" s="231">
        <v>0</v>
      </c>
      <c r="L78" s="231">
        <v>0</v>
      </c>
      <c r="M78" s="231">
        <v>0</v>
      </c>
      <c r="N78" s="231">
        <v>0</v>
      </c>
      <c r="O78" s="231">
        <v>0</v>
      </c>
      <c r="P78" s="231">
        <v>0</v>
      </c>
      <c r="Q78" s="231">
        <v>0</v>
      </c>
      <c r="R78" s="231">
        <v>0</v>
      </c>
      <c r="S78" s="231">
        <v>0</v>
      </c>
      <c r="T78" s="231">
        <v>0</v>
      </c>
      <c r="U78" s="231">
        <v>0</v>
      </c>
      <c r="V78" s="231">
        <v>0</v>
      </c>
      <c r="W78" s="231">
        <v>26.3</v>
      </c>
    </row>
    <row r="79" spans="1:23" ht="15.75" thickBot="1" x14ac:dyDescent="0.3">
      <c r="A79" s="229"/>
      <c r="B79" s="237" t="s">
        <v>218</v>
      </c>
      <c r="C79" s="238">
        <v>94.918299999999988</v>
      </c>
      <c r="D79" s="238">
        <v>70.630200000000002</v>
      </c>
      <c r="E79" s="238">
        <v>72.377600000000001</v>
      </c>
      <c r="F79" s="238">
        <v>73.634299999999996</v>
      </c>
      <c r="G79" s="238">
        <v>136.1</v>
      </c>
      <c r="H79" s="238">
        <v>162.76999999999998</v>
      </c>
      <c r="I79" s="238">
        <v>188.01000000000002</v>
      </c>
      <c r="J79" s="238">
        <v>209.13</v>
      </c>
      <c r="K79" s="238">
        <v>224.6</v>
      </c>
      <c r="L79" s="238">
        <v>246.26000000000005</v>
      </c>
      <c r="M79" s="238">
        <v>248.43</v>
      </c>
      <c r="N79" s="238">
        <v>242.79</v>
      </c>
      <c r="O79" s="238">
        <v>227.60999999999999</v>
      </c>
      <c r="P79" s="238">
        <v>209.79999999999995</v>
      </c>
      <c r="Q79" s="238">
        <v>187.45</v>
      </c>
      <c r="R79" s="238">
        <v>162.85999999999999</v>
      </c>
      <c r="S79" s="238">
        <v>140.20999999999998</v>
      </c>
      <c r="T79" s="238">
        <v>119.92000000000002</v>
      </c>
      <c r="U79" s="238">
        <v>102.74999999999999</v>
      </c>
      <c r="V79" s="238">
        <v>94.359999999999985</v>
      </c>
      <c r="W79" s="238">
        <v>3214.6103999999996</v>
      </c>
    </row>
    <row r="80" spans="1:23" x14ac:dyDescent="0.25">
      <c r="A80" s="229"/>
      <c r="B80" s="235" t="s">
        <v>219</v>
      </c>
      <c r="C80" s="231"/>
      <c r="D80" s="231"/>
      <c r="E80" s="231"/>
      <c r="F80" s="231"/>
      <c r="G80" s="231"/>
      <c r="H80" s="231"/>
      <c r="I80" s="231"/>
      <c r="J80" s="231"/>
      <c r="K80" s="231"/>
      <c r="L80" s="231"/>
      <c r="M80" s="231"/>
      <c r="N80" s="231"/>
      <c r="O80" s="231"/>
      <c r="P80" s="231"/>
      <c r="Q80" s="231"/>
      <c r="R80" s="231"/>
      <c r="S80" s="231"/>
      <c r="T80" s="231"/>
      <c r="U80" s="231"/>
      <c r="V80" s="231"/>
      <c r="W80" s="231"/>
    </row>
    <row r="81" spans="1:23" x14ac:dyDescent="0.25">
      <c r="A81" s="229"/>
      <c r="B81" s="236" t="s">
        <v>220</v>
      </c>
      <c r="C81" s="231">
        <v>266.31197886973621</v>
      </c>
      <c r="D81" s="231">
        <v>180.78994324189816</v>
      </c>
      <c r="E81" s="231">
        <v>167.30952886828643</v>
      </c>
      <c r="F81" s="231">
        <v>187.46796168762751</v>
      </c>
      <c r="G81" s="231">
        <v>0</v>
      </c>
      <c r="H81" s="231">
        <v>0</v>
      </c>
      <c r="I81" s="231">
        <v>0</v>
      </c>
      <c r="J81" s="231">
        <v>0</v>
      </c>
      <c r="K81" s="231">
        <v>0</v>
      </c>
      <c r="L81" s="231">
        <v>0</v>
      </c>
      <c r="M81" s="231">
        <v>0</v>
      </c>
      <c r="N81" s="231">
        <v>0</v>
      </c>
      <c r="O81" s="231">
        <v>0</v>
      </c>
      <c r="P81" s="231">
        <v>0</v>
      </c>
      <c r="Q81" s="231">
        <v>0</v>
      </c>
      <c r="R81" s="231">
        <v>0</v>
      </c>
      <c r="S81" s="231">
        <v>0</v>
      </c>
      <c r="T81" s="231">
        <v>0</v>
      </c>
      <c r="U81" s="231">
        <v>0</v>
      </c>
      <c r="V81" s="231">
        <v>125.52482256326313</v>
      </c>
      <c r="W81" s="246">
        <f>SUM(C81:V81)</f>
        <v>927.40423523081142</v>
      </c>
    </row>
    <row r="82" spans="1:23" ht="15.75" thickBot="1" x14ac:dyDescent="0.3">
      <c r="A82" s="229"/>
      <c r="B82" s="236" t="s">
        <v>221</v>
      </c>
      <c r="C82" s="231">
        <v>300</v>
      </c>
      <c r="D82" s="231">
        <v>300</v>
      </c>
      <c r="E82" s="231">
        <v>300</v>
      </c>
      <c r="F82" s="231">
        <v>300</v>
      </c>
      <c r="G82" s="231">
        <v>124.38742320800249</v>
      </c>
      <c r="H82" s="231">
        <v>0</v>
      </c>
      <c r="I82" s="231">
        <v>0</v>
      </c>
      <c r="J82" s="231">
        <v>0</v>
      </c>
      <c r="K82" s="231">
        <v>0</v>
      </c>
      <c r="L82" s="231">
        <v>0</v>
      </c>
      <c r="M82" s="231">
        <v>0</v>
      </c>
      <c r="N82" s="231">
        <v>0</v>
      </c>
      <c r="O82" s="231">
        <v>0</v>
      </c>
      <c r="P82" s="231">
        <v>0</v>
      </c>
      <c r="Q82" s="231">
        <v>0</v>
      </c>
      <c r="R82" s="231">
        <v>0</v>
      </c>
      <c r="S82" s="231">
        <v>0</v>
      </c>
      <c r="T82" s="231">
        <v>0</v>
      </c>
      <c r="U82" s="231">
        <v>0</v>
      </c>
      <c r="V82" s="231">
        <v>0</v>
      </c>
      <c r="W82" s="246">
        <f>SUM(C82:V82)</f>
        <v>1324.3874232080025</v>
      </c>
    </row>
    <row r="83" spans="1:23" ht="15.75" thickBot="1" x14ac:dyDescent="0.3">
      <c r="A83" s="229"/>
      <c r="B83" s="237" t="s">
        <v>222</v>
      </c>
      <c r="C83" s="238">
        <f>SUM(C81:C82)</f>
        <v>566.31197886973621</v>
      </c>
      <c r="D83" s="238">
        <f t="shared" ref="D83:V83" si="0">SUM(D81:D82)</f>
        <v>480.78994324189819</v>
      </c>
      <c r="E83" s="238">
        <f t="shared" si="0"/>
        <v>467.30952886828641</v>
      </c>
      <c r="F83" s="238">
        <f t="shared" si="0"/>
        <v>487.46796168762751</v>
      </c>
      <c r="G83" s="238">
        <f t="shared" si="0"/>
        <v>124.38742320800249</v>
      </c>
      <c r="H83" s="238">
        <f t="shared" si="0"/>
        <v>0</v>
      </c>
      <c r="I83" s="238">
        <f t="shared" si="0"/>
        <v>0</v>
      </c>
      <c r="J83" s="238">
        <f t="shared" si="0"/>
        <v>0</v>
      </c>
      <c r="K83" s="238">
        <f t="shared" si="0"/>
        <v>0</v>
      </c>
      <c r="L83" s="238">
        <f t="shared" si="0"/>
        <v>0</v>
      </c>
      <c r="M83" s="238">
        <f t="shared" si="0"/>
        <v>0</v>
      </c>
      <c r="N83" s="238">
        <f t="shared" si="0"/>
        <v>0</v>
      </c>
      <c r="O83" s="238">
        <f t="shared" si="0"/>
        <v>0</v>
      </c>
      <c r="P83" s="238">
        <f t="shared" si="0"/>
        <v>0</v>
      </c>
      <c r="Q83" s="238">
        <f t="shared" si="0"/>
        <v>0</v>
      </c>
      <c r="R83" s="238">
        <f t="shared" si="0"/>
        <v>0</v>
      </c>
      <c r="S83" s="238">
        <f t="shared" si="0"/>
        <v>0</v>
      </c>
      <c r="T83" s="238">
        <f t="shared" si="0"/>
        <v>0</v>
      </c>
      <c r="U83" s="238">
        <f t="shared" si="0"/>
        <v>0</v>
      </c>
      <c r="V83" s="238">
        <f t="shared" si="0"/>
        <v>125.52482256326313</v>
      </c>
      <c r="W83" s="238">
        <f>SUM(C83:V83)</f>
        <v>2251.791658438814</v>
      </c>
    </row>
    <row r="84" spans="1:23" x14ac:dyDescent="0.25">
      <c r="A84" s="229"/>
      <c r="B84" s="235" t="s">
        <v>223</v>
      </c>
      <c r="C84" s="231"/>
      <c r="D84" s="231"/>
      <c r="E84" s="231"/>
      <c r="F84" s="231"/>
      <c r="G84" s="231"/>
      <c r="H84" s="231"/>
      <c r="I84" s="231"/>
      <c r="J84" s="231"/>
      <c r="K84" s="231"/>
      <c r="L84" s="231"/>
      <c r="M84" s="231"/>
      <c r="N84" s="231"/>
      <c r="O84" s="231"/>
      <c r="P84" s="231"/>
      <c r="Q84" s="231"/>
      <c r="R84" s="231"/>
      <c r="S84" s="231"/>
      <c r="T84" s="231"/>
      <c r="U84" s="231"/>
      <c r="V84" s="231"/>
      <c r="W84" s="231"/>
    </row>
    <row r="85" spans="1:23" x14ac:dyDescent="0.25">
      <c r="A85" s="229"/>
      <c r="B85" s="236" t="s">
        <v>224</v>
      </c>
      <c r="C85" s="231">
        <v>0</v>
      </c>
      <c r="D85" s="231">
        <v>0</v>
      </c>
      <c r="E85" s="231">
        <v>0</v>
      </c>
      <c r="F85" s="231">
        <v>0</v>
      </c>
      <c r="G85" s="231">
        <v>0</v>
      </c>
      <c r="H85" s="231">
        <v>0</v>
      </c>
      <c r="I85" s="231">
        <v>0</v>
      </c>
      <c r="J85" s="231">
        <v>0</v>
      </c>
      <c r="K85" s="231">
        <v>0</v>
      </c>
      <c r="L85" s="231">
        <v>0</v>
      </c>
      <c r="M85" s="231">
        <v>626</v>
      </c>
      <c r="N85" s="231">
        <v>0</v>
      </c>
      <c r="O85" s="231">
        <v>0</v>
      </c>
      <c r="P85" s="231">
        <v>0</v>
      </c>
      <c r="Q85" s="231">
        <v>0</v>
      </c>
      <c r="R85" s="231">
        <v>0</v>
      </c>
      <c r="S85" s="231">
        <v>0</v>
      </c>
      <c r="T85" s="231">
        <v>0</v>
      </c>
      <c r="U85" s="231">
        <v>0</v>
      </c>
      <c r="V85" s="231">
        <v>0</v>
      </c>
      <c r="W85" s="231">
        <v>626</v>
      </c>
    </row>
    <row r="86" spans="1:23" x14ac:dyDescent="0.25">
      <c r="A86" s="229"/>
      <c r="B86" s="236" t="s">
        <v>225</v>
      </c>
      <c r="C86" s="231">
        <v>0</v>
      </c>
      <c r="D86" s="231">
        <v>0</v>
      </c>
      <c r="E86" s="231">
        <v>0</v>
      </c>
      <c r="F86" s="231">
        <v>0</v>
      </c>
      <c r="G86" s="231">
        <v>0</v>
      </c>
      <c r="H86" s="231">
        <v>0</v>
      </c>
      <c r="I86" s="231">
        <v>0</v>
      </c>
      <c r="J86" s="231">
        <v>0</v>
      </c>
      <c r="K86" s="231">
        <v>0</v>
      </c>
      <c r="L86" s="231">
        <v>0</v>
      </c>
      <c r="M86" s="231">
        <v>0</v>
      </c>
      <c r="N86" s="231">
        <v>1100</v>
      </c>
      <c r="O86" s="231">
        <v>0</v>
      </c>
      <c r="P86" s="231">
        <v>0</v>
      </c>
      <c r="Q86" s="231">
        <v>0</v>
      </c>
      <c r="R86" s="231">
        <v>0</v>
      </c>
      <c r="S86" s="231">
        <v>0</v>
      </c>
      <c r="T86" s="231">
        <v>0</v>
      </c>
      <c r="U86" s="231">
        <v>0</v>
      </c>
      <c r="V86" s="231">
        <v>0</v>
      </c>
      <c r="W86" s="231">
        <v>1100</v>
      </c>
    </row>
    <row r="87" spans="1:23" x14ac:dyDescent="0.25">
      <c r="A87" s="229"/>
      <c r="B87" s="236" t="s">
        <v>226</v>
      </c>
      <c r="C87" s="231">
        <v>0</v>
      </c>
      <c r="D87" s="231">
        <v>0</v>
      </c>
      <c r="E87" s="231">
        <v>0</v>
      </c>
      <c r="F87" s="231">
        <v>0</v>
      </c>
      <c r="G87" s="231">
        <v>0</v>
      </c>
      <c r="H87" s="231">
        <v>0</v>
      </c>
      <c r="I87" s="231">
        <v>0</v>
      </c>
      <c r="J87" s="231">
        <v>0</v>
      </c>
      <c r="K87" s="231">
        <v>0</v>
      </c>
      <c r="L87" s="231">
        <v>0</v>
      </c>
      <c r="M87" s="231">
        <v>0</v>
      </c>
      <c r="N87" s="231">
        <v>0</v>
      </c>
      <c r="O87" s="231">
        <v>0</v>
      </c>
      <c r="P87" s="231">
        <v>0</v>
      </c>
      <c r="Q87" s="231">
        <v>0</v>
      </c>
      <c r="R87" s="231">
        <v>0</v>
      </c>
      <c r="S87" s="231">
        <v>702</v>
      </c>
      <c r="T87" s="231">
        <v>0</v>
      </c>
      <c r="U87" s="231">
        <v>0</v>
      </c>
      <c r="V87" s="231">
        <v>0</v>
      </c>
      <c r="W87" s="231">
        <v>702</v>
      </c>
    </row>
    <row r="88" spans="1:23" x14ac:dyDescent="0.25">
      <c r="A88" s="229"/>
      <c r="B88" s="236" t="s">
        <v>227</v>
      </c>
      <c r="C88" s="231">
        <v>0</v>
      </c>
      <c r="D88" s="231">
        <v>0</v>
      </c>
      <c r="E88" s="231">
        <v>0</v>
      </c>
      <c r="F88" s="231">
        <v>12.5</v>
      </c>
      <c r="G88" s="231">
        <v>0</v>
      </c>
      <c r="H88" s="231">
        <v>0</v>
      </c>
      <c r="I88" s="231">
        <v>0</v>
      </c>
      <c r="J88" s="231">
        <v>0</v>
      </c>
      <c r="K88" s="231">
        <v>0</v>
      </c>
      <c r="L88" s="231">
        <v>0</v>
      </c>
      <c r="M88" s="231">
        <v>0</v>
      </c>
      <c r="N88" s="231">
        <v>0</v>
      </c>
      <c r="O88" s="231">
        <v>0</v>
      </c>
      <c r="P88" s="231">
        <v>0</v>
      </c>
      <c r="Q88" s="231">
        <v>0</v>
      </c>
      <c r="R88" s="231">
        <v>0</v>
      </c>
      <c r="S88" s="231">
        <v>0</v>
      </c>
      <c r="T88" s="231">
        <v>0</v>
      </c>
      <c r="U88" s="231">
        <v>0</v>
      </c>
      <c r="V88" s="231">
        <v>0</v>
      </c>
      <c r="W88" s="231">
        <v>12.5</v>
      </c>
    </row>
    <row r="89" spans="1:23" ht="15.75" thickBot="1" x14ac:dyDescent="0.3">
      <c r="A89" s="229"/>
      <c r="B89" s="236" t="s">
        <v>228</v>
      </c>
      <c r="C89" s="231">
        <v>0</v>
      </c>
      <c r="D89" s="231">
        <v>0</v>
      </c>
      <c r="E89" s="231">
        <v>0</v>
      </c>
      <c r="F89" s="231">
        <v>75</v>
      </c>
      <c r="G89" s="231">
        <v>299</v>
      </c>
      <c r="H89" s="231">
        <v>0</v>
      </c>
      <c r="I89" s="231">
        <v>0</v>
      </c>
      <c r="J89" s="231">
        <v>0</v>
      </c>
      <c r="K89" s="231">
        <v>0</v>
      </c>
      <c r="L89" s="231">
        <v>0</v>
      </c>
      <c r="M89" s="231">
        <v>0</v>
      </c>
      <c r="N89" s="231">
        <v>0</v>
      </c>
      <c r="O89" s="231">
        <v>0</v>
      </c>
      <c r="P89" s="231">
        <v>0</v>
      </c>
      <c r="Q89" s="231">
        <v>0</v>
      </c>
      <c r="R89" s="231">
        <v>0</v>
      </c>
      <c r="S89" s="231">
        <v>0</v>
      </c>
      <c r="T89" s="231">
        <v>0</v>
      </c>
      <c r="U89" s="231">
        <v>0</v>
      </c>
      <c r="V89" s="231">
        <v>0</v>
      </c>
      <c r="W89" s="231">
        <v>374</v>
      </c>
    </row>
    <row r="90" spans="1:23" ht="15.75" thickBot="1" x14ac:dyDescent="0.3">
      <c r="A90" s="229"/>
      <c r="B90" s="237" t="s">
        <v>229</v>
      </c>
      <c r="C90" s="238">
        <v>0</v>
      </c>
      <c r="D90" s="238">
        <v>0</v>
      </c>
      <c r="E90" s="238">
        <v>0</v>
      </c>
      <c r="F90" s="238">
        <v>87.5</v>
      </c>
      <c r="G90" s="238">
        <v>299</v>
      </c>
      <c r="H90" s="238">
        <v>0</v>
      </c>
      <c r="I90" s="238">
        <v>0</v>
      </c>
      <c r="J90" s="238">
        <v>0</v>
      </c>
      <c r="K90" s="238">
        <v>0</v>
      </c>
      <c r="L90" s="238">
        <v>0</v>
      </c>
      <c r="M90" s="238">
        <v>626</v>
      </c>
      <c r="N90" s="238">
        <v>1100</v>
      </c>
      <c r="O90" s="238">
        <v>0</v>
      </c>
      <c r="P90" s="238">
        <v>0</v>
      </c>
      <c r="Q90" s="238">
        <v>0</v>
      </c>
      <c r="R90" s="238">
        <v>0</v>
      </c>
      <c r="S90" s="238">
        <v>702</v>
      </c>
      <c r="T90" s="238">
        <v>0</v>
      </c>
      <c r="U90" s="238">
        <v>0</v>
      </c>
      <c r="V90" s="238">
        <v>0</v>
      </c>
      <c r="W90" s="238">
        <v>2814.5</v>
      </c>
    </row>
    <row r="91" spans="1:23" ht="15.75" thickBot="1" x14ac:dyDescent="0.3">
      <c r="A91" s="247"/>
      <c r="B91" s="248" t="s">
        <v>230</v>
      </c>
      <c r="C91" s="249">
        <v>94.918299999999988</v>
      </c>
      <c r="D91" s="249">
        <v>144.98099999999997</v>
      </c>
      <c r="E91" s="249">
        <v>148.68890000000002</v>
      </c>
      <c r="F91" s="249">
        <v>884.08230000000003</v>
      </c>
      <c r="G91" s="249">
        <v>2702.5181999999995</v>
      </c>
      <c r="H91" s="249">
        <v>178.04809999999998</v>
      </c>
      <c r="I91" s="249">
        <v>205.19810000000001</v>
      </c>
      <c r="J91" s="249">
        <v>1005.3581</v>
      </c>
      <c r="K91" s="249">
        <v>844.41713399999992</v>
      </c>
      <c r="L91" s="249">
        <v>478.37506600000006</v>
      </c>
      <c r="M91" s="249">
        <v>1940.9478468000004</v>
      </c>
      <c r="N91" s="249">
        <v>2462.52</v>
      </c>
      <c r="O91" s="249">
        <v>242.43999999999997</v>
      </c>
      <c r="P91" s="249">
        <v>223.2</v>
      </c>
      <c r="Q91" s="249">
        <v>222.69999999999996</v>
      </c>
      <c r="R91" s="249">
        <v>174.55999999999997</v>
      </c>
      <c r="S91" s="249">
        <v>1929.9323605360621</v>
      </c>
      <c r="T91" s="249">
        <v>211.73995276682797</v>
      </c>
      <c r="U91" s="249">
        <v>255.12189094444892</v>
      </c>
      <c r="V91" s="249">
        <v>539.19967741935488</v>
      </c>
      <c r="W91" s="250">
        <v>14888.946928466692</v>
      </c>
    </row>
    <row r="92" spans="1:23" ht="15.75" thickTop="1" x14ac:dyDescent="0.25">
      <c r="A92" s="251" t="s">
        <v>38</v>
      </c>
      <c r="B92" s="230"/>
      <c r="C92" s="252"/>
      <c r="D92" s="252"/>
      <c r="E92" s="252"/>
      <c r="F92" s="252"/>
      <c r="G92" s="252"/>
      <c r="H92" s="252"/>
      <c r="I92" s="252"/>
      <c r="J92" s="252"/>
      <c r="K92" s="252"/>
      <c r="L92" s="252"/>
      <c r="M92" s="252"/>
      <c r="N92" s="252"/>
      <c r="O92" s="252"/>
      <c r="P92" s="252"/>
      <c r="Q92" s="252"/>
      <c r="R92" s="252"/>
      <c r="S92" s="252"/>
      <c r="T92" s="252"/>
      <c r="U92" s="252"/>
      <c r="V92" s="252"/>
      <c r="W92" s="252"/>
    </row>
    <row r="93" spans="1:23" x14ac:dyDescent="0.25">
      <c r="A93" s="229"/>
      <c r="B93" s="232" t="s">
        <v>158</v>
      </c>
      <c r="C93" s="233"/>
      <c r="D93" s="233"/>
      <c r="E93" s="233"/>
      <c r="F93" s="233"/>
      <c r="G93" s="233"/>
      <c r="H93" s="233"/>
      <c r="I93" s="233"/>
      <c r="J93" s="233"/>
      <c r="K93" s="233"/>
      <c r="L93" s="233"/>
      <c r="M93" s="233"/>
      <c r="N93" s="233"/>
      <c r="O93" s="233"/>
      <c r="P93" s="233"/>
      <c r="Q93" s="233"/>
      <c r="R93" s="233"/>
      <c r="S93" s="233"/>
      <c r="T93" s="233"/>
      <c r="U93" s="233"/>
      <c r="V93" s="233"/>
      <c r="W93" s="234"/>
    </row>
    <row r="94" spans="1:23" x14ac:dyDescent="0.25">
      <c r="A94" s="229"/>
      <c r="B94" s="235" t="s">
        <v>159</v>
      </c>
      <c r="C94" s="231"/>
      <c r="D94" s="231"/>
      <c r="E94" s="231"/>
      <c r="F94" s="231"/>
      <c r="G94" s="231"/>
      <c r="H94" s="231"/>
      <c r="I94" s="231"/>
      <c r="J94" s="231"/>
      <c r="K94" s="231"/>
      <c r="L94" s="231"/>
      <c r="M94" s="231"/>
      <c r="N94" s="231"/>
      <c r="O94" s="231"/>
      <c r="P94" s="231"/>
      <c r="Q94" s="231"/>
      <c r="R94" s="231"/>
      <c r="S94" s="231"/>
      <c r="T94" s="231"/>
      <c r="U94" s="231"/>
      <c r="V94" s="231"/>
      <c r="W94" s="231"/>
    </row>
    <row r="95" spans="1:23" x14ac:dyDescent="0.25">
      <c r="A95" s="229"/>
      <c r="B95" s="236" t="s">
        <v>231</v>
      </c>
      <c r="C95" s="231">
        <v>0</v>
      </c>
      <c r="D95" s="231">
        <v>0</v>
      </c>
      <c r="E95" s="231">
        <v>0</v>
      </c>
      <c r="F95" s="231">
        <v>0</v>
      </c>
      <c r="G95" s="231">
        <v>0</v>
      </c>
      <c r="H95" s="231">
        <v>-74</v>
      </c>
      <c r="I95" s="231">
        <v>0</v>
      </c>
      <c r="J95" s="231">
        <v>0</v>
      </c>
      <c r="K95" s="231">
        <v>0</v>
      </c>
      <c r="L95" s="231">
        <v>0</v>
      </c>
      <c r="M95" s="231">
        <v>0</v>
      </c>
      <c r="N95" s="231">
        <v>0</v>
      </c>
      <c r="O95" s="231">
        <v>0</v>
      </c>
      <c r="P95" s="231">
        <v>0</v>
      </c>
      <c r="Q95" s="231">
        <v>0</v>
      </c>
      <c r="R95" s="231">
        <v>0</v>
      </c>
      <c r="S95" s="231">
        <v>0</v>
      </c>
      <c r="T95" s="231">
        <v>0</v>
      </c>
      <c r="U95" s="231">
        <v>0</v>
      </c>
      <c r="V95" s="231">
        <v>0</v>
      </c>
      <c r="W95" s="231">
        <v>-74</v>
      </c>
    </row>
    <row r="96" spans="1:23" x14ac:dyDescent="0.25">
      <c r="A96" s="229"/>
      <c r="B96" s="236" t="s">
        <v>232</v>
      </c>
      <c r="C96" s="231">
        <v>0</v>
      </c>
      <c r="D96" s="231">
        <v>0</v>
      </c>
      <c r="E96" s="231">
        <v>0</v>
      </c>
      <c r="F96" s="231">
        <v>0</v>
      </c>
      <c r="G96" s="231">
        <v>0</v>
      </c>
      <c r="H96" s="231">
        <v>-74</v>
      </c>
      <c r="I96" s="231">
        <v>0</v>
      </c>
      <c r="J96" s="231">
        <v>0</v>
      </c>
      <c r="K96" s="231">
        <v>0</v>
      </c>
      <c r="L96" s="231">
        <v>0</v>
      </c>
      <c r="M96" s="231">
        <v>0</v>
      </c>
      <c r="N96" s="231">
        <v>0</v>
      </c>
      <c r="O96" s="231">
        <v>0</v>
      </c>
      <c r="P96" s="231">
        <v>0</v>
      </c>
      <c r="Q96" s="231">
        <v>0</v>
      </c>
      <c r="R96" s="231">
        <v>0</v>
      </c>
      <c r="S96" s="231">
        <v>0</v>
      </c>
      <c r="T96" s="231">
        <v>0</v>
      </c>
      <c r="U96" s="231">
        <v>0</v>
      </c>
      <c r="V96" s="231">
        <v>0</v>
      </c>
      <c r="W96" s="231">
        <v>-74</v>
      </c>
    </row>
    <row r="97" spans="1:23" x14ac:dyDescent="0.25">
      <c r="A97" s="229"/>
      <c r="B97" s="236" t="s">
        <v>119</v>
      </c>
      <c r="C97" s="231">
        <v>0</v>
      </c>
      <c r="D97" s="231">
        <v>0</v>
      </c>
      <c r="E97" s="231">
        <v>0</v>
      </c>
      <c r="F97" s="231">
        <v>0</v>
      </c>
      <c r="G97" s="231">
        <v>0</v>
      </c>
      <c r="H97" s="231">
        <v>0</v>
      </c>
      <c r="I97" s="231">
        <v>0</v>
      </c>
      <c r="J97" s="231">
        <v>0</v>
      </c>
      <c r="K97" s="231">
        <v>0</v>
      </c>
      <c r="L97" s="231">
        <v>0</v>
      </c>
      <c r="M97" s="231">
        <v>0</v>
      </c>
      <c r="N97" s="231">
        <v>0</v>
      </c>
      <c r="O97" s="231">
        <v>0</v>
      </c>
      <c r="P97" s="231">
        <v>0</v>
      </c>
      <c r="Q97" s="231">
        <v>0</v>
      </c>
      <c r="R97" s="231">
        <v>0</v>
      </c>
      <c r="S97" s="231">
        <v>0</v>
      </c>
      <c r="T97" s="231">
        <v>-348.6666841</v>
      </c>
      <c r="U97" s="231">
        <v>0</v>
      </c>
      <c r="V97" s="231">
        <v>0</v>
      </c>
      <c r="W97" s="231">
        <v>-348.6666841</v>
      </c>
    </row>
    <row r="98" spans="1:23" ht="15.75" thickBot="1" x14ac:dyDescent="0.3">
      <c r="A98" s="229"/>
      <c r="B98" s="236" t="s">
        <v>120</v>
      </c>
      <c r="C98" s="231">
        <v>0</v>
      </c>
      <c r="D98" s="231">
        <v>0</v>
      </c>
      <c r="E98" s="231">
        <v>0</v>
      </c>
      <c r="F98" s="231">
        <v>0</v>
      </c>
      <c r="G98" s="231">
        <v>0</v>
      </c>
      <c r="H98" s="231">
        <v>0</v>
      </c>
      <c r="I98" s="231">
        <v>0</v>
      </c>
      <c r="J98" s="231">
        <v>0</v>
      </c>
      <c r="K98" s="231">
        <v>0</v>
      </c>
      <c r="L98" s="231">
        <v>0</v>
      </c>
      <c r="M98" s="231">
        <v>0</v>
      </c>
      <c r="N98" s="231">
        <v>0</v>
      </c>
      <c r="O98" s="231">
        <v>0</v>
      </c>
      <c r="P98" s="231">
        <v>0</v>
      </c>
      <c r="Q98" s="231">
        <v>0</v>
      </c>
      <c r="R98" s="231">
        <v>0</v>
      </c>
      <c r="S98" s="231">
        <v>0</v>
      </c>
      <c r="T98" s="231">
        <v>-350.66668420000002</v>
      </c>
      <c r="U98" s="231">
        <v>0</v>
      </c>
      <c r="V98" s="231">
        <v>0</v>
      </c>
      <c r="W98" s="231">
        <v>-350.66668420000002</v>
      </c>
    </row>
    <row r="99" spans="1:23" ht="15.75" thickBot="1" x14ac:dyDescent="0.3">
      <c r="A99" s="229"/>
      <c r="B99" s="237" t="s">
        <v>163</v>
      </c>
      <c r="C99" s="238">
        <v>0</v>
      </c>
      <c r="D99" s="238">
        <v>0</v>
      </c>
      <c r="E99" s="238">
        <v>0</v>
      </c>
      <c r="F99" s="238">
        <v>0</v>
      </c>
      <c r="G99" s="238">
        <v>0</v>
      </c>
      <c r="H99" s="238">
        <v>-148</v>
      </c>
      <c r="I99" s="238">
        <v>0</v>
      </c>
      <c r="J99" s="238">
        <v>0</v>
      </c>
      <c r="K99" s="238">
        <v>0</v>
      </c>
      <c r="L99" s="238">
        <v>0</v>
      </c>
      <c r="M99" s="238">
        <v>0</v>
      </c>
      <c r="N99" s="238">
        <v>0</v>
      </c>
      <c r="O99" s="238">
        <v>0</v>
      </c>
      <c r="P99" s="238">
        <v>0</v>
      </c>
      <c r="Q99" s="238">
        <v>0</v>
      </c>
      <c r="R99" s="238">
        <v>0</v>
      </c>
      <c r="S99" s="238">
        <v>0</v>
      </c>
      <c r="T99" s="238">
        <v>-699.33336830000007</v>
      </c>
      <c r="U99" s="238">
        <v>0</v>
      </c>
      <c r="V99" s="238">
        <v>0</v>
      </c>
      <c r="W99" s="238">
        <v>-847.33336830000007</v>
      </c>
    </row>
    <row r="100" spans="1:23" x14ac:dyDescent="0.25">
      <c r="A100" s="229"/>
      <c r="B100" s="235" t="s">
        <v>233</v>
      </c>
      <c r="C100" s="231"/>
      <c r="D100" s="231"/>
      <c r="E100" s="231"/>
      <c r="F100" s="231"/>
      <c r="G100" s="231"/>
      <c r="H100" s="231"/>
      <c r="I100" s="231"/>
      <c r="J100" s="231"/>
      <c r="K100" s="231"/>
      <c r="L100" s="231"/>
      <c r="M100" s="231"/>
      <c r="N100" s="231"/>
      <c r="O100" s="231"/>
      <c r="P100" s="231"/>
      <c r="Q100" s="231"/>
      <c r="R100" s="231"/>
      <c r="S100" s="231"/>
      <c r="T100" s="231"/>
      <c r="U100" s="231"/>
      <c r="V100" s="231"/>
      <c r="W100" s="231"/>
    </row>
    <row r="101" spans="1:23" x14ac:dyDescent="0.25">
      <c r="A101" s="229"/>
      <c r="B101" s="236" t="s">
        <v>234</v>
      </c>
      <c r="C101" s="231">
        <v>0</v>
      </c>
      <c r="D101" s="231">
        <v>0</v>
      </c>
      <c r="E101" s="231">
        <v>0</v>
      </c>
      <c r="F101" s="231">
        <v>-354</v>
      </c>
      <c r="G101" s="231">
        <v>0</v>
      </c>
      <c r="H101" s="231">
        <v>0</v>
      </c>
      <c r="I101" s="231">
        <v>0</v>
      </c>
      <c r="J101" s="231">
        <v>0</v>
      </c>
      <c r="K101" s="231">
        <v>0</v>
      </c>
      <c r="L101" s="231">
        <v>0</v>
      </c>
      <c r="M101" s="231">
        <v>0</v>
      </c>
      <c r="N101" s="231">
        <v>0</v>
      </c>
      <c r="O101" s="231">
        <v>0</v>
      </c>
      <c r="P101" s="231">
        <v>0</v>
      </c>
      <c r="Q101" s="231">
        <v>0</v>
      </c>
      <c r="R101" s="231">
        <v>0</v>
      </c>
      <c r="S101" s="231">
        <v>0</v>
      </c>
      <c r="T101" s="231">
        <v>0</v>
      </c>
      <c r="U101" s="231">
        <v>0</v>
      </c>
      <c r="V101" s="231">
        <v>0</v>
      </c>
      <c r="W101" s="231">
        <v>-354</v>
      </c>
    </row>
    <row r="102" spans="1:23" ht="15.75" thickBot="1" x14ac:dyDescent="0.3">
      <c r="A102" s="229"/>
      <c r="B102" s="236" t="s">
        <v>235</v>
      </c>
      <c r="C102" s="231">
        <v>0</v>
      </c>
      <c r="D102" s="231">
        <v>0</v>
      </c>
      <c r="E102" s="231">
        <v>0</v>
      </c>
      <c r="F102" s="231">
        <v>-359.33</v>
      </c>
      <c r="G102" s="231">
        <v>0</v>
      </c>
      <c r="H102" s="231">
        <v>0</v>
      </c>
      <c r="I102" s="231">
        <v>0</v>
      </c>
      <c r="J102" s="231">
        <v>0</v>
      </c>
      <c r="K102" s="231">
        <v>0</v>
      </c>
      <c r="L102" s="231">
        <v>0</v>
      </c>
      <c r="M102" s="231">
        <v>0</v>
      </c>
      <c r="N102" s="231">
        <v>0</v>
      </c>
      <c r="O102" s="231">
        <v>0</v>
      </c>
      <c r="P102" s="231">
        <v>0</v>
      </c>
      <c r="Q102" s="231">
        <v>0</v>
      </c>
      <c r="R102" s="231">
        <v>0</v>
      </c>
      <c r="S102" s="231">
        <v>0</v>
      </c>
      <c r="T102" s="231">
        <v>0</v>
      </c>
      <c r="U102" s="231">
        <v>0</v>
      </c>
      <c r="V102" s="231">
        <v>0</v>
      </c>
      <c r="W102" s="231">
        <v>-359.33</v>
      </c>
    </row>
    <row r="103" spans="1:23" ht="15.75" thickBot="1" x14ac:dyDescent="0.3">
      <c r="A103" s="229"/>
      <c r="B103" s="237" t="s">
        <v>236</v>
      </c>
      <c r="C103" s="238">
        <v>0</v>
      </c>
      <c r="D103" s="238">
        <v>0</v>
      </c>
      <c r="E103" s="238">
        <v>0</v>
      </c>
      <c r="F103" s="238">
        <v>-713.32999999999993</v>
      </c>
      <c r="G103" s="238">
        <v>0</v>
      </c>
      <c r="H103" s="238">
        <v>0</v>
      </c>
      <c r="I103" s="238">
        <v>0</v>
      </c>
      <c r="J103" s="238">
        <v>0</v>
      </c>
      <c r="K103" s="238">
        <v>0</v>
      </c>
      <c r="L103" s="238">
        <v>0</v>
      </c>
      <c r="M103" s="238">
        <v>0</v>
      </c>
      <c r="N103" s="238">
        <v>0</v>
      </c>
      <c r="O103" s="238">
        <v>0</v>
      </c>
      <c r="P103" s="238">
        <v>0</v>
      </c>
      <c r="Q103" s="238">
        <v>0</v>
      </c>
      <c r="R103" s="238">
        <v>0</v>
      </c>
      <c r="S103" s="238">
        <v>0</v>
      </c>
      <c r="T103" s="238">
        <v>0</v>
      </c>
      <c r="U103" s="238">
        <v>0</v>
      </c>
      <c r="V103" s="238">
        <v>0</v>
      </c>
      <c r="W103" s="238">
        <v>-713.32999999999993</v>
      </c>
    </row>
    <row r="104" spans="1:23" x14ac:dyDescent="0.25">
      <c r="A104" s="229"/>
      <c r="B104" s="235" t="s">
        <v>168</v>
      </c>
      <c r="C104" s="231"/>
      <c r="D104" s="231"/>
      <c r="E104" s="231"/>
      <c r="F104" s="231"/>
      <c r="G104" s="231"/>
      <c r="H104" s="231"/>
      <c r="I104" s="231"/>
      <c r="J104" s="231"/>
      <c r="K104" s="231"/>
      <c r="L104" s="231"/>
      <c r="M104" s="231"/>
      <c r="N104" s="231"/>
      <c r="O104" s="231"/>
      <c r="P104" s="231"/>
      <c r="Q104" s="231"/>
      <c r="R104" s="231"/>
      <c r="S104" s="231"/>
      <c r="T104" s="231"/>
      <c r="U104" s="231"/>
      <c r="V104" s="231"/>
      <c r="W104" s="231"/>
    </row>
    <row r="105" spans="1:23" ht="15.75" thickBot="1" x14ac:dyDescent="0.3">
      <c r="A105" s="229"/>
      <c r="B105" s="236" t="s">
        <v>121</v>
      </c>
      <c r="C105" s="231">
        <v>0</v>
      </c>
      <c r="D105" s="231">
        <v>0</v>
      </c>
      <c r="E105" s="231">
        <v>0</v>
      </c>
      <c r="F105" s="231">
        <v>0</v>
      </c>
      <c r="G105" s="231">
        <v>0</v>
      </c>
      <c r="H105" s="231">
        <v>0</v>
      </c>
      <c r="I105" s="231">
        <v>0</v>
      </c>
      <c r="J105" s="231">
        <v>0</v>
      </c>
      <c r="K105" s="231">
        <v>0</v>
      </c>
      <c r="L105" s="231">
        <v>0</v>
      </c>
      <c r="M105" s="231">
        <v>0</v>
      </c>
      <c r="N105" s="231">
        <v>0</v>
      </c>
      <c r="O105" s="231">
        <v>0</v>
      </c>
      <c r="P105" s="231">
        <v>0</v>
      </c>
      <c r="Q105" s="231">
        <v>0</v>
      </c>
      <c r="R105" s="231">
        <v>0</v>
      </c>
      <c r="S105" s="231">
        <v>-237</v>
      </c>
      <c r="T105" s="231">
        <v>0</v>
      </c>
      <c r="U105" s="231">
        <v>0</v>
      </c>
      <c r="V105" s="231">
        <v>0</v>
      </c>
      <c r="W105" s="231">
        <v>-237</v>
      </c>
    </row>
    <row r="106" spans="1:23" ht="15.75" thickBot="1" x14ac:dyDescent="0.3">
      <c r="A106" s="229"/>
      <c r="B106" s="237" t="s">
        <v>176</v>
      </c>
      <c r="C106" s="238">
        <v>0</v>
      </c>
      <c r="D106" s="238">
        <v>0</v>
      </c>
      <c r="E106" s="238">
        <v>0</v>
      </c>
      <c r="F106" s="238">
        <v>0</v>
      </c>
      <c r="G106" s="238">
        <v>0</v>
      </c>
      <c r="H106" s="238">
        <v>0</v>
      </c>
      <c r="I106" s="238">
        <v>0</v>
      </c>
      <c r="J106" s="238">
        <v>0</v>
      </c>
      <c r="K106" s="238">
        <v>0</v>
      </c>
      <c r="L106" s="238">
        <v>0</v>
      </c>
      <c r="M106" s="238">
        <v>0</v>
      </c>
      <c r="N106" s="238">
        <v>0</v>
      </c>
      <c r="O106" s="238">
        <v>0</v>
      </c>
      <c r="P106" s="238">
        <v>0</v>
      </c>
      <c r="Q106" s="238">
        <v>0</v>
      </c>
      <c r="R106" s="238">
        <v>0</v>
      </c>
      <c r="S106" s="238">
        <v>-237</v>
      </c>
      <c r="T106" s="238">
        <v>0</v>
      </c>
      <c r="U106" s="238">
        <v>0</v>
      </c>
      <c r="V106" s="238">
        <v>0</v>
      </c>
      <c r="W106" s="238">
        <v>-237</v>
      </c>
    </row>
    <row r="107" spans="1:23" ht="15.75" thickBot="1" x14ac:dyDescent="0.3">
      <c r="A107" s="229"/>
      <c r="B107" s="239" t="s">
        <v>177</v>
      </c>
      <c r="C107" s="253">
        <v>0</v>
      </c>
      <c r="D107" s="253">
        <v>0</v>
      </c>
      <c r="E107" s="253">
        <v>0</v>
      </c>
      <c r="F107" s="253">
        <v>-713.32999999999993</v>
      </c>
      <c r="G107" s="253">
        <v>0</v>
      </c>
      <c r="H107" s="253">
        <v>-148</v>
      </c>
      <c r="I107" s="253">
        <v>0</v>
      </c>
      <c r="J107" s="253">
        <v>0</v>
      </c>
      <c r="K107" s="253">
        <v>0</v>
      </c>
      <c r="L107" s="253">
        <v>0</v>
      </c>
      <c r="M107" s="253">
        <v>0</v>
      </c>
      <c r="N107" s="253">
        <v>0</v>
      </c>
      <c r="O107" s="253">
        <v>0</v>
      </c>
      <c r="P107" s="253">
        <v>0</v>
      </c>
      <c r="Q107" s="253">
        <v>0</v>
      </c>
      <c r="R107" s="253">
        <v>0</v>
      </c>
      <c r="S107" s="253">
        <v>-237</v>
      </c>
      <c r="T107" s="253">
        <v>-699.33336830000007</v>
      </c>
      <c r="U107" s="253">
        <v>0</v>
      </c>
      <c r="V107" s="253">
        <v>0</v>
      </c>
      <c r="W107" s="240">
        <v>-1797.6633683</v>
      </c>
    </row>
    <row r="108" spans="1:23" ht="15.75" thickTop="1" x14ac:dyDescent="0.25">
      <c r="A108" s="229"/>
      <c r="B108" s="254" t="s">
        <v>37</v>
      </c>
      <c r="C108" s="243"/>
      <c r="D108" s="243"/>
      <c r="E108" s="243"/>
      <c r="F108" s="243"/>
      <c r="G108" s="243"/>
      <c r="H108" s="243"/>
      <c r="I108" s="243"/>
      <c r="J108" s="243"/>
      <c r="K108" s="243"/>
      <c r="L108" s="243"/>
      <c r="M108" s="243"/>
      <c r="N108" s="243"/>
      <c r="O108" s="243"/>
      <c r="P108" s="243"/>
      <c r="Q108" s="243"/>
      <c r="R108" s="243"/>
      <c r="S108" s="243"/>
      <c r="T108" s="243"/>
      <c r="U108" s="243"/>
      <c r="V108" s="243"/>
      <c r="W108" s="244"/>
    </row>
    <row r="109" spans="1:23" x14ac:dyDescent="0.25">
      <c r="A109" s="229"/>
      <c r="B109" s="235" t="s">
        <v>178</v>
      </c>
      <c r="C109" s="231"/>
      <c r="D109" s="231"/>
      <c r="E109" s="231"/>
      <c r="F109" s="231"/>
      <c r="G109" s="231"/>
      <c r="H109" s="231"/>
      <c r="I109" s="231"/>
      <c r="J109" s="231"/>
      <c r="K109" s="231"/>
      <c r="L109" s="231"/>
      <c r="M109" s="231"/>
      <c r="N109" s="231"/>
      <c r="O109" s="231"/>
      <c r="P109" s="231"/>
      <c r="Q109" s="231"/>
      <c r="R109" s="231"/>
      <c r="S109" s="231"/>
      <c r="T109" s="231"/>
      <c r="U109" s="231"/>
      <c r="V109" s="231"/>
      <c r="W109" s="231"/>
    </row>
    <row r="110" spans="1:23" x14ac:dyDescent="0.25">
      <c r="A110" s="229"/>
      <c r="B110" s="236" t="s">
        <v>237</v>
      </c>
      <c r="C110" s="231">
        <v>0</v>
      </c>
      <c r="D110" s="231">
        <v>0</v>
      </c>
      <c r="E110" s="231">
        <v>0</v>
      </c>
      <c r="F110" s="231">
        <v>0</v>
      </c>
      <c r="G110" s="231">
        <v>0</v>
      </c>
      <c r="H110" s="231">
        <v>0</v>
      </c>
      <c r="I110" s="231">
        <v>0</v>
      </c>
      <c r="J110" s="231">
        <v>0</v>
      </c>
      <c r="K110" s="231">
        <v>0</v>
      </c>
      <c r="L110" s="231">
        <v>0</v>
      </c>
      <c r="M110" s="231">
        <v>0</v>
      </c>
      <c r="N110" s="231">
        <v>0</v>
      </c>
      <c r="O110" s="231">
        <v>0</v>
      </c>
      <c r="P110" s="231">
        <v>0</v>
      </c>
      <c r="Q110" s="231">
        <v>0</v>
      </c>
      <c r="R110" s="231">
        <v>0</v>
      </c>
      <c r="S110" s="231">
        <v>206.10992340000001</v>
      </c>
      <c r="T110" s="231">
        <v>0</v>
      </c>
      <c r="U110" s="231">
        <v>0</v>
      </c>
      <c r="V110" s="231">
        <v>0</v>
      </c>
      <c r="W110" s="231">
        <v>206.10992340000001</v>
      </c>
    </row>
    <row r="111" spans="1:23" ht="15.75" thickBot="1" x14ac:dyDescent="0.3">
      <c r="A111" s="229"/>
      <c r="B111" s="236" t="s">
        <v>238</v>
      </c>
      <c r="C111" s="231">
        <v>0</v>
      </c>
      <c r="D111" s="231">
        <v>0</v>
      </c>
      <c r="E111" s="231">
        <v>0</v>
      </c>
      <c r="F111" s="231">
        <v>0</v>
      </c>
      <c r="G111" s="231">
        <v>0</v>
      </c>
      <c r="H111" s="231">
        <v>0</v>
      </c>
      <c r="I111" s="231">
        <v>0</v>
      </c>
      <c r="J111" s="231">
        <v>0</v>
      </c>
      <c r="K111" s="231">
        <v>0</v>
      </c>
      <c r="L111" s="231">
        <v>0</v>
      </c>
      <c r="M111" s="231">
        <v>0</v>
      </c>
      <c r="N111" s="231">
        <v>0</v>
      </c>
      <c r="O111" s="231">
        <v>0</v>
      </c>
      <c r="P111" s="231">
        <v>0</v>
      </c>
      <c r="Q111" s="231">
        <v>0</v>
      </c>
      <c r="R111" s="231">
        <v>0</v>
      </c>
      <c r="S111" s="231">
        <v>0</v>
      </c>
      <c r="T111" s="231">
        <v>412.21984680000003</v>
      </c>
      <c r="U111" s="231">
        <v>0</v>
      </c>
      <c r="V111" s="231">
        <v>0</v>
      </c>
      <c r="W111" s="231">
        <v>412.21984680000003</v>
      </c>
    </row>
    <row r="112" spans="1:23" ht="15.75" thickBot="1" x14ac:dyDescent="0.3">
      <c r="A112" s="229"/>
      <c r="B112" s="237" t="s">
        <v>181</v>
      </c>
      <c r="C112" s="238">
        <v>0</v>
      </c>
      <c r="D112" s="238">
        <v>0</v>
      </c>
      <c r="E112" s="238">
        <v>0</v>
      </c>
      <c r="F112" s="238">
        <v>0</v>
      </c>
      <c r="G112" s="238">
        <v>0</v>
      </c>
      <c r="H112" s="238">
        <v>0</v>
      </c>
      <c r="I112" s="238">
        <v>0</v>
      </c>
      <c r="J112" s="238">
        <v>0</v>
      </c>
      <c r="K112" s="238">
        <v>0</v>
      </c>
      <c r="L112" s="238">
        <v>0</v>
      </c>
      <c r="M112" s="238">
        <v>0</v>
      </c>
      <c r="N112" s="238">
        <v>0</v>
      </c>
      <c r="O112" s="238">
        <v>0</v>
      </c>
      <c r="P112" s="238">
        <v>0</v>
      </c>
      <c r="Q112" s="238">
        <v>0</v>
      </c>
      <c r="R112" s="238">
        <v>0</v>
      </c>
      <c r="S112" s="238">
        <v>206.10992340000001</v>
      </c>
      <c r="T112" s="238">
        <v>412.21984680000003</v>
      </c>
      <c r="U112" s="238">
        <v>0</v>
      </c>
      <c r="V112" s="238">
        <v>0</v>
      </c>
      <c r="W112" s="238">
        <v>618.32977019999998</v>
      </c>
    </row>
    <row r="113" spans="1:23" x14ac:dyDescent="0.25">
      <c r="A113" s="229"/>
      <c r="B113" s="235" t="s">
        <v>182</v>
      </c>
      <c r="C113" s="231"/>
      <c r="D113" s="231"/>
      <c r="E113" s="231"/>
      <c r="F113" s="231"/>
      <c r="G113" s="231"/>
      <c r="H113" s="231"/>
      <c r="I113" s="231"/>
      <c r="J113" s="231"/>
      <c r="K113" s="231"/>
      <c r="L113" s="231"/>
      <c r="M113" s="231"/>
      <c r="N113" s="231"/>
      <c r="O113" s="231"/>
      <c r="P113" s="231"/>
      <c r="Q113" s="231"/>
      <c r="R113" s="231"/>
      <c r="S113" s="231"/>
      <c r="T113" s="231"/>
      <c r="U113" s="231"/>
      <c r="V113" s="231"/>
      <c r="W113" s="231"/>
    </row>
    <row r="114" spans="1:23" ht="15.75" thickBot="1" x14ac:dyDescent="0.3">
      <c r="A114" s="229"/>
      <c r="B114" s="236" t="s">
        <v>239</v>
      </c>
      <c r="C114" s="231">
        <v>0</v>
      </c>
      <c r="D114" s="231">
        <v>0</v>
      </c>
      <c r="E114" s="231">
        <v>0</v>
      </c>
      <c r="F114" s="231">
        <v>0</v>
      </c>
      <c r="G114" s="231">
        <v>0</v>
      </c>
      <c r="H114" s="231">
        <v>0</v>
      </c>
      <c r="I114" s="231">
        <v>0</v>
      </c>
      <c r="J114" s="231">
        <v>0</v>
      </c>
      <c r="K114" s="231">
        <v>0</v>
      </c>
      <c r="L114" s="231">
        <v>0</v>
      </c>
      <c r="M114" s="231">
        <v>0</v>
      </c>
      <c r="N114" s="231">
        <v>0</v>
      </c>
      <c r="O114" s="231">
        <v>0</v>
      </c>
      <c r="P114" s="231">
        <v>0</v>
      </c>
      <c r="Q114" s="231">
        <v>0</v>
      </c>
      <c r="R114" s="231">
        <v>0</v>
      </c>
      <c r="S114" s="231">
        <v>0</v>
      </c>
      <c r="T114" s="231">
        <v>690</v>
      </c>
      <c r="U114" s="231">
        <v>0</v>
      </c>
      <c r="V114" s="231">
        <v>0</v>
      </c>
      <c r="W114" s="231">
        <v>690</v>
      </c>
    </row>
    <row r="115" spans="1:23" ht="15.75" thickBot="1" x14ac:dyDescent="0.3">
      <c r="A115" s="229"/>
      <c r="B115" s="237" t="s">
        <v>184</v>
      </c>
      <c r="C115" s="238">
        <v>0</v>
      </c>
      <c r="D115" s="238">
        <v>0</v>
      </c>
      <c r="E115" s="238">
        <v>0</v>
      </c>
      <c r="F115" s="238">
        <v>0</v>
      </c>
      <c r="G115" s="238">
        <v>0</v>
      </c>
      <c r="H115" s="238">
        <v>0</v>
      </c>
      <c r="I115" s="238">
        <v>0</v>
      </c>
      <c r="J115" s="238">
        <v>0</v>
      </c>
      <c r="K115" s="238">
        <v>0</v>
      </c>
      <c r="L115" s="238">
        <v>0</v>
      </c>
      <c r="M115" s="238">
        <v>0</v>
      </c>
      <c r="N115" s="238">
        <v>0</v>
      </c>
      <c r="O115" s="238">
        <v>0</v>
      </c>
      <c r="P115" s="238">
        <v>0</v>
      </c>
      <c r="Q115" s="238">
        <v>0</v>
      </c>
      <c r="R115" s="238">
        <v>0</v>
      </c>
      <c r="S115" s="238">
        <v>0</v>
      </c>
      <c r="T115" s="238">
        <v>690</v>
      </c>
      <c r="U115" s="238">
        <v>0</v>
      </c>
      <c r="V115" s="238">
        <v>0</v>
      </c>
      <c r="W115" s="238">
        <v>690</v>
      </c>
    </row>
    <row r="116" spans="1:23" x14ac:dyDescent="0.25">
      <c r="A116" s="229"/>
      <c r="B116" s="235" t="s">
        <v>185</v>
      </c>
      <c r="C116" s="231"/>
      <c r="D116" s="231"/>
      <c r="E116" s="231"/>
      <c r="F116" s="231"/>
      <c r="G116" s="231"/>
      <c r="H116" s="231"/>
      <c r="I116" s="231"/>
      <c r="J116" s="231"/>
      <c r="K116" s="231"/>
      <c r="L116" s="231"/>
      <c r="M116" s="231"/>
      <c r="N116" s="231"/>
      <c r="O116" s="231"/>
      <c r="P116" s="231"/>
      <c r="Q116" s="231"/>
      <c r="R116" s="231"/>
      <c r="S116" s="231"/>
      <c r="T116" s="231"/>
      <c r="U116" s="231"/>
      <c r="V116" s="231"/>
      <c r="W116" s="231"/>
    </row>
    <row r="117" spans="1:23" ht="15.75" thickBot="1" x14ac:dyDescent="0.3">
      <c r="A117" s="229"/>
      <c r="B117" s="236" t="s">
        <v>240</v>
      </c>
      <c r="C117" s="231">
        <v>0</v>
      </c>
      <c r="D117" s="231">
        <v>0</v>
      </c>
      <c r="E117" s="231">
        <v>0</v>
      </c>
      <c r="F117" s="231">
        <v>0</v>
      </c>
      <c r="G117" s="231">
        <v>0</v>
      </c>
      <c r="H117" s="231">
        <v>0</v>
      </c>
      <c r="I117" s="231">
        <v>0</v>
      </c>
      <c r="J117" s="231">
        <v>0</v>
      </c>
      <c r="K117" s="231">
        <v>0</v>
      </c>
      <c r="L117" s="231">
        <v>0</v>
      </c>
      <c r="M117" s="231">
        <v>0</v>
      </c>
      <c r="N117" s="231">
        <v>0</v>
      </c>
      <c r="O117" s="231">
        <v>0</v>
      </c>
      <c r="P117" s="231">
        <v>0</v>
      </c>
      <c r="Q117" s="231">
        <v>0</v>
      </c>
      <c r="R117" s="231">
        <v>0</v>
      </c>
      <c r="S117" s="231">
        <v>0</v>
      </c>
      <c r="T117" s="231">
        <v>310</v>
      </c>
      <c r="U117" s="231">
        <v>0</v>
      </c>
      <c r="V117" s="231">
        <v>0</v>
      </c>
      <c r="W117" s="231">
        <v>310</v>
      </c>
    </row>
    <row r="118" spans="1:23" ht="15.75" thickBot="1" x14ac:dyDescent="0.3">
      <c r="A118" s="229"/>
      <c r="B118" s="237" t="s">
        <v>187</v>
      </c>
      <c r="C118" s="238">
        <v>0</v>
      </c>
      <c r="D118" s="238">
        <v>0</v>
      </c>
      <c r="E118" s="238">
        <v>0</v>
      </c>
      <c r="F118" s="238">
        <v>0</v>
      </c>
      <c r="G118" s="238">
        <v>0</v>
      </c>
      <c r="H118" s="238">
        <v>0</v>
      </c>
      <c r="I118" s="238">
        <v>0</v>
      </c>
      <c r="J118" s="238">
        <v>0</v>
      </c>
      <c r="K118" s="238">
        <v>0</v>
      </c>
      <c r="L118" s="238">
        <v>0</v>
      </c>
      <c r="M118" s="238">
        <v>0</v>
      </c>
      <c r="N118" s="238">
        <v>0</v>
      </c>
      <c r="O118" s="238">
        <v>0</v>
      </c>
      <c r="P118" s="238">
        <v>0</v>
      </c>
      <c r="Q118" s="238">
        <v>0</v>
      </c>
      <c r="R118" s="238">
        <v>0</v>
      </c>
      <c r="S118" s="238">
        <v>0</v>
      </c>
      <c r="T118" s="238">
        <v>310</v>
      </c>
      <c r="U118" s="238">
        <v>0</v>
      </c>
      <c r="V118" s="238">
        <v>0</v>
      </c>
      <c r="W118" s="238">
        <v>310</v>
      </c>
    </row>
    <row r="119" spans="1:23" x14ac:dyDescent="0.25">
      <c r="A119" s="229"/>
      <c r="B119" s="235" t="s">
        <v>188</v>
      </c>
      <c r="C119" s="231"/>
      <c r="D119" s="231"/>
      <c r="E119" s="231"/>
      <c r="F119" s="231"/>
      <c r="G119" s="231"/>
      <c r="H119" s="231"/>
      <c r="I119" s="231"/>
      <c r="J119" s="231"/>
      <c r="K119" s="231"/>
      <c r="L119" s="231"/>
      <c r="M119" s="231"/>
      <c r="N119" s="231"/>
      <c r="O119" s="231"/>
      <c r="P119" s="231"/>
      <c r="Q119" s="231"/>
      <c r="R119" s="231"/>
      <c r="S119" s="231"/>
      <c r="T119" s="231"/>
      <c r="U119" s="231"/>
      <c r="V119" s="231"/>
      <c r="W119" s="231"/>
    </row>
    <row r="120" spans="1:23" x14ac:dyDescent="0.25">
      <c r="A120" s="229"/>
      <c r="B120" s="236" t="s">
        <v>241</v>
      </c>
      <c r="C120" s="231">
        <v>0</v>
      </c>
      <c r="D120" s="231">
        <v>0</v>
      </c>
      <c r="E120" s="231">
        <v>0</v>
      </c>
      <c r="F120" s="231">
        <v>0</v>
      </c>
      <c r="G120" s="231">
        <v>0</v>
      </c>
      <c r="H120" s="231">
        <v>130</v>
      </c>
      <c r="I120" s="231">
        <v>0</v>
      </c>
      <c r="J120" s="231">
        <v>0</v>
      </c>
      <c r="K120" s="231">
        <v>0</v>
      </c>
      <c r="L120" s="231">
        <v>0</v>
      </c>
      <c r="M120" s="231">
        <v>0</v>
      </c>
      <c r="N120" s="231">
        <v>0</v>
      </c>
      <c r="O120" s="231">
        <v>0</v>
      </c>
      <c r="P120" s="231">
        <v>0</v>
      </c>
      <c r="Q120" s="231">
        <v>0</v>
      </c>
      <c r="R120" s="231">
        <v>0</v>
      </c>
      <c r="S120" s="231">
        <v>0</v>
      </c>
      <c r="T120" s="231">
        <v>450</v>
      </c>
      <c r="U120" s="231">
        <v>0</v>
      </c>
      <c r="V120" s="231">
        <v>0</v>
      </c>
      <c r="W120" s="231">
        <v>580</v>
      </c>
    </row>
    <row r="121" spans="1:23" x14ac:dyDescent="0.25">
      <c r="A121" s="229"/>
      <c r="B121" s="236" t="s">
        <v>242</v>
      </c>
      <c r="C121" s="231">
        <v>0</v>
      </c>
      <c r="D121" s="231">
        <v>0</v>
      </c>
      <c r="E121" s="231">
        <v>0</v>
      </c>
      <c r="F121" s="231">
        <v>0</v>
      </c>
      <c r="G121" s="231">
        <v>0</v>
      </c>
      <c r="H121" s="231">
        <v>415</v>
      </c>
      <c r="I121" s="231">
        <v>0</v>
      </c>
      <c r="J121" s="231">
        <v>0</v>
      </c>
      <c r="K121" s="231">
        <v>0</v>
      </c>
      <c r="L121" s="231">
        <v>0</v>
      </c>
      <c r="M121" s="231">
        <v>0</v>
      </c>
      <c r="N121" s="231">
        <v>0</v>
      </c>
      <c r="O121" s="231">
        <v>0</v>
      </c>
      <c r="P121" s="231">
        <v>0</v>
      </c>
      <c r="Q121" s="231">
        <v>0</v>
      </c>
      <c r="R121" s="231">
        <v>0</v>
      </c>
      <c r="S121" s="231">
        <v>0</v>
      </c>
      <c r="T121" s="231">
        <v>0</v>
      </c>
      <c r="U121" s="231">
        <v>0</v>
      </c>
      <c r="V121" s="231">
        <v>0</v>
      </c>
      <c r="W121" s="231">
        <v>415</v>
      </c>
    </row>
    <row r="122" spans="1:23" x14ac:dyDescent="0.25">
      <c r="A122" s="229"/>
      <c r="B122" s="236" t="s">
        <v>243</v>
      </c>
      <c r="C122" s="231">
        <v>0</v>
      </c>
      <c r="D122" s="231">
        <v>0</v>
      </c>
      <c r="E122" s="231">
        <v>0</v>
      </c>
      <c r="F122" s="231">
        <v>0</v>
      </c>
      <c r="G122" s="231">
        <v>0</v>
      </c>
      <c r="H122" s="231">
        <v>2.3366319999999998</v>
      </c>
      <c r="I122" s="231">
        <v>0</v>
      </c>
      <c r="J122" s="231">
        <v>0</v>
      </c>
      <c r="K122" s="231">
        <v>0</v>
      </c>
      <c r="L122" s="231">
        <v>0</v>
      </c>
      <c r="M122" s="231">
        <v>0</v>
      </c>
      <c r="N122" s="231">
        <v>0</v>
      </c>
      <c r="O122" s="231">
        <v>0</v>
      </c>
      <c r="P122" s="231">
        <v>0</v>
      </c>
      <c r="Q122" s="231">
        <v>0</v>
      </c>
      <c r="R122" s="231">
        <v>0</v>
      </c>
      <c r="S122" s="231">
        <v>0</v>
      </c>
      <c r="T122" s="231">
        <v>0</v>
      </c>
      <c r="U122" s="231">
        <v>0</v>
      </c>
      <c r="V122" s="231">
        <v>0</v>
      </c>
      <c r="W122" s="231">
        <v>2.3366319999999998</v>
      </c>
    </row>
    <row r="123" spans="1:23" x14ac:dyDescent="0.25">
      <c r="A123" s="229"/>
      <c r="B123" s="236" t="s">
        <v>244</v>
      </c>
      <c r="C123" s="231">
        <v>0</v>
      </c>
      <c r="D123" s="231">
        <v>0</v>
      </c>
      <c r="E123" s="231">
        <v>0</v>
      </c>
      <c r="F123" s="231">
        <v>0</v>
      </c>
      <c r="G123" s="231">
        <v>0</v>
      </c>
      <c r="H123" s="231">
        <v>0</v>
      </c>
      <c r="I123" s="231">
        <v>0</v>
      </c>
      <c r="J123" s="231">
        <v>0</v>
      </c>
      <c r="K123" s="231">
        <v>0</v>
      </c>
      <c r="L123" s="231">
        <v>100</v>
      </c>
      <c r="M123" s="231">
        <v>0</v>
      </c>
      <c r="N123" s="231">
        <v>0</v>
      </c>
      <c r="O123" s="231">
        <v>0</v>
      </c>
      <c r="P123" s="231">
        <v>0</v>
      </c>
      <c r="Q123" s="231">
        <v>0</v>
      </c>
      <c r="R123" s="231">
        <v>0</v>
      </c>
      <c r="S123" s="231">
        <v>0</v>
      </c>
      <c r="T123" s="231">
        <v>0</v>
      </c>
      <c r="U123" s="231">
        <v>0</v>
      </c>
      <c r="V123" s="231">
        <v>0</v>
      </c>
      <c r="W123" s="231">
        <v>100</v>
      </c>
    </row>
    <row r="124" spans="1:23" ht="15.75" thickBot="1" x14ac:dyDescent="0.3">
      <c r="A124" s="229"/>
      <c r="B124" s="236" t="s">
        <v>245</v>
      </c>
      <c r="C124" s="231">
        <v>0</v>
      </c>
      <c r="D124" s="231">
        <v>0</v>
      </c>
      <c r="E124" s="231">
        <v>0</v>
      </c>
      <c r="F124" s="231">
        <v>0</v>
      </c>
      <c r="G124" s="231">
        <v>0</v>
      </c>
      <c r="H124" s="231">
        <v>0</v>
      </c>
      <c r="I124" s="231">
        <v>0</v>
      </c>
      <c r="J124" s="231">
        <v>0</v>
      </c>
      <c r="K124" s="231">
        <v>120</v>
      </c>
      <c r="L124" s="231">
        <v>0</v>
      </c>
      <c r="M124" s="231">
        <v>0</v>
      </c>
      <c r="N124" s="231">
        <v>0</v>
      </c>
      <c r="O124" s="231">
        <v>0</v>
      </c>
      <c r="P124" s="231">
        <v>0</v>
      </c>
      <c r="Q124" s="231">
        <v>0</v>
      </c>
      <c r="R124" s="231">
        <v>0</v>
      </c>
      <c r="S124" s="231">
        <v>155.5</v>
      </c>
      <c r="T124" s="231">
        <v>0</v>
      </c>
      <c r="U124" s="231">
        <v>0</v>
      </c>
      <c r="V124" s="231">
        <v>0</v>
      </c>
      <c r="W124" s="231">
        <v>275.5</v>
      </c>
    </row>
    <row r="125" spans="1:23" ht="15.75" thickBot="1" x14ac:dyDescent="0.3">
      <c r="A125" s="229"/>
      <c r="B125" s="237" t="s">
        <v>192</v>
      </c>
      <c r="C125" s="238">
        <v>0</v>
      </c>
      <c r="D125" s="238">
        <v>0</v>
      </c>
      <c r="E125" s="238">
        <v>0</v>
      </c>
      <c r="F125" s="238">
        <v>0</v>
      </c>
      <c r="G125" s="238">
        <v>0</v>
      </c>
      <c r="H125" s="238">
        <v>547.33663200000001</v>
      </c>
      <c r="I125" s="238">
        <v>0</v>
      </c>
      <c r="J125" s="238">
        <v>0</v>
      </c>
      <c r="K125" s="238">
        <v>120</v>
      </c>
      <c r="L125" s="238">
        <v>100</v>
      </c>
      <c r="M125" s="238">
        <v>0</v>
      </c>
      <c r="N125" s="238">
        <v>0</v>
      </c>
      <c r="O125" s="238">
        <v>0</v>
      </c>
      <c r="P125" s="238">
        <v>0</v>
      </c>
      <c r="Q125" s="238">
        <v>0</v>
      </c>
      <c r="R125" s="238">
        <v>0</v>
      </c>
      <c r="S125" s="238">
        <v>155.5</v>
      </c>
      <c r="T125" s="238">
        <v>450</v>
      </c>
      <c r="U125" s="238">
        <v>0</v>
      </c>
      <c r="V125" s="238">
        <v>0</v>
      </c>
      <c r="W125" s="238">
        <v>1372.836632</v>
      </c>
    </row>
    <row r="126" spans="1:23" x14ac:dyDescent="0.25">
      <c r="A126" s="229"/>
      <c r="B126" s="235" t="s">
        <v>246</v>
      </c>
      <c r="C126" s="231"/>
      <c r="D126" s="231"/>
      <c r="E126" s="231"/>
      <c r="F126" s="231"/>
      <c r="G126" s="231"/>
      <c r="H126" s="231"/>
      <c r="I126" s="231"/>
      <c r="J126" s="231"/>
      <c r="K126" s="231"/>
      <c r="L126" s="231"/>
      <c r="M126" s="231"/>
      <c r="N126" s="231"/>
      <c r="O126" s="231"/>
      <c r="P126" s="231"/>
      <c r="Q126" s="231"/>
      <c r="R126" s="231"/>
      <c r="S126" s="231"/>
      <c r="T126" s="231"/>
      <c r="U126" s="231"/>
      <c r="V126" s="231"/>
      <c r="W126" s="231"/>
    </row>
    <row r="127" spans="1:23" ht="15.75" thickBot="1" x14ac:dyDescent="0.3">
      <c r="A127" s="229"/>
      <c r="B127" s="236" t="s">
        <v>247</v>
      </c>
      <c r="C127" s="231">
        <v>0</v>
      </c>
      <c r="D127" s="231">
        <v>0</v>
      </c>
      <c r="E127" s="231">
        <v>0</v>
      </c>
      <c r="F127" s="231">
        <v>0</v>
      </c>
      <c r="G127" s="231">
        <v>0</v>
      </c>
      <c r="H127" s="231">
        <v>0</v>
      </c>
      <c r="I127" s="231">
        <v>0</v>
      </c>
      <c r="J127" s="231">
        <v>0</v>
      </c>
      <c r="K127" s="231">
        <v>160</v>
      </c>
      <c r="L127" s="231">
        <v>0</v>
      </c>
      <c r="M127" s="231">
        <v>0</v>
      </c>
      <c r="N127" s="231">
        <v>0</v>
      </c>
      <c r="O127" s="231">
        <v>0</v>
      </c>
      <c r="P127" s="231">
        <v>0</v>
      </c>
      <c r="Q127" s="231">
        <v>0</v>
      </c>
      <c r="R127" s="231">
        <v>0</v>
      </c>
      <c r="S127" s="231">
        <v>0</v>
      </c>
      <c r="T127" s="231">
        <v>0</v>
      </c>
      <c r="U127" s="231">
        <v>0</v>
      </c>
      <c r="V127" s="231">
        <v>0</v>
      </c>
      <c r="W127" s="231">
        <v>160</v>
      </c>
    </row>
    <row r="128" spans="1:23" ht="15.75" thickBot="1" x14ac:dyDescent="0.3">
      <c r="A128" s="229"/>
      <c r="B128" s="237" t="s">
        <v>248</v>
      </c>
      <c r="C128" s="238">
        <v>0</v>
      </c>
      <c r="D128" s="238">
        <v>0</v>
      </c>
      <c r="E128" s="238">
        <v>0</v>
      </c>
      <c r="F128" s="238">
        <v>0</v>
      </c>
      <c r="G128" s="238">
        <v>0</v>
      </c>
      <c r="H128" s="238">
        <v>0</v>
      </c>
      <c r="I128" s="238">
        <v>0</v>
      </c>
      <c r="J128" s="238">
        <v>0</v>
      </c>
      <c r="K128" s="238">
        <v>160</v>
      </c>
      <c r="L128" s="238">
        <v>0</v>
      </c>
      <c r="M128" s="238">
        <v>0</v>
      </c>
      <c r="N128" s="238">
        <v>0</v>
      </c>
      <c r="O128" s="238">
        <v>0</v>
      </c>
      <c r="P128" s="238">
        <v>0</v>
      </c>
      <c r="Q128" s="238">
        <v>0</v>
      </c>
      <c r="R128" s="238">
        <v>0</v>
      </c>
      <c r="S128" s="238">
        <v>0</v>
      </c>
      <c r="T128" s="238">
        <v>0</v>
      </c>
      <c r="U128" s="238">
        <v>0</v>
      </c>
      <c r="V128" s="238">
        <v>0</v>
      </c>
      <c r="W128" s="238">
        <v>160</v>
      </c>
    </row>
    <row r="129" spans="1:23" x14ac:dyDescent="0.25">
      <c r="A129" s="229"/>
      <c r="B129" s="235" t="s">
        <v>193</v>
      </c>
      <c r="C129" s="231"/>
      <c r="D129" s="231"/>
      <c r="E129" s="231"/>
      <c r="F129" s="231"/>
      <c r="G129" s="231"/>
      <c r="H129" s="231"/>
      <c r="I129" s="231"/>
      <c r="J129" s="231"/>
      <c r="K129" s="231"/>
      <c r="L129" s="231"/>
      <c r="M129" s="231"/>
      <c r="N129" s="231"/>
      <c r="O129" s="231"/>
      <c r="P129" s="231"/>
      <c r="Q129" s="231"/>
      <c r="R129" s="231"/>
      <c r="S129" s="231"/>
      <c r="T129" s="231"/>
      <c r="U129" s="231"/>
      <c r="V129" s="231"/>
      <c r="W129" s="231"/>
    </row>
    <row r="130" spans="1:23" x14ac:dyDescent="0.25">
      <c r="A130" s="229"/>
      <c r="B130" s="236" t="s">
        <v>249</v>
      </c>
      <c r="C130" s="231">
        <v>0</v>
      </c>
      <c r="D130" s="231">
        <v>0</v>
      </c>
      <c r="E130" s="231">
        <v>0</v>
      </c>
      <c r="F130" s="231">
        <v>0</v>
      </c>
      <c r="G130" s="231">
        <v>0</v>
      </c>
      <c r="H130" s="231">
        <v>600</v>
      </c>
      <c r="I130" s="231">
        <v>0</v>
      </c>
      <c r="J130" s="231">
        <v>0</v>
      </c>
      <c r="K130" s="231">
        <v>0</v>
      </c>
      <c r="L130" s="231">
        <v>0</v>
      </c>
      <c r="M130" s="231">
        <v>0</v>
      </c>
      <c r="N130" s="231">
        <v>0</v>
      </c>
      <c r="O130" s="231">
        <v>0</v>
      </c>
      <c r="P130" s="231">
        <v>0</v>
      </c>
      <c r="Q130" s="231">
        <v>0</v>
      </c>
      <c r="R130" s="231">
        <v>0</v>
      </c>
      <c r="S130" s="231">
        <v>0</v>
      </c>
      <c r="T130" s="231">
        <v>0</v>
      </c>
      <c r="U130" s="231">
        <v>0</v>
      </c>
      <c r="V130" s="231">
        <v>0</v>
      </c>
      <c r="W130" s="231">
        <v>600</v>
      </c>
    </row>
    <row r="131" spans="1:23" x14ac:dyDescent="0.25">
      <c r="A131" s="229"/>
      <c r="B131" s="236" t="s">
        <v>250</v>
      </c>
      <c r="C131" s="231">
        <v>0</v>
      </c>
      <c r="D131" s="231">
        <v>0</v>
      </c>
      <c r="E131" s="231">
        <v>0</v>
      </c>
      <c r="F131" s="231">
        <v>0</v>
      </c>
      <c r="G131" s="231">
        <v>0</v>
      </c>
      <c r="H131" s="231">
        <v>0</v>
      </c>
      <c r="I131" s="231">
        <v>0</v>
      </c>
      <c r="J131" s="231">
        <v>0</v>
      </c>
      <c r="K131" s="231">
        <v>0</v>
      </c>
      <c r="L131" s="231">
        <v>100</v>
      </c>
      <c r="M131" s="231">
        <v>0</v>
      </c>
      <c r="N131" s="231">
        <v>0</v>
      </c>
      <c r="O131" s="231">
        <v>0</v>
      </c>
      <c r="P131" s="231">
        <v>0</v>
      </c>
      <c r="Q131" s="231">
        <v>0</v>
      </c>
      <c r="R131" s="231">
        <v>0</v>
      </c>
      <c r="S131" s="231">
        <v>0</v>
      </c>
      <c r="T131" s="231">
        <v>0</v>
      </c>
      <c r="U131" s="231">
        <v>0</v>
      </c>
      <c r="V131" s="231">
        <v>0</v>
      </c>
      <c r="W131" s="231">
        <v>100</v>
      </c>
    </row>
    <row r="132" spans="1:23" x14ac:dyDescent="0.25">
      <c r="A132" s="229"/>
      <c r="B132" s="236" t="s">
        <v>251</v>
      </c>
      <c r="C132" s="231">
        <v>0</v>
      </c>
      <c r="D132" s="231">
        <v>0</v>
      </c>
      <c r="E132" s="231">
        <v>0</v>
      </c>
      <c r="F132" s="231">
        <v>0</v>
      </c>
      <c r="G132" s="231">
        <v>0</v>
      </c>
      <c r="H132" s="231">
        <v>0</v>
      </c>
      <c r="I132" s="231">
        <v>0</v>
      </c>
      <c r="J132" s="231">
        <v>83</v>
      </c>
      <c r="K132" s="231">
        <v>0</v>
      </c>
      <c r="L132" s="231">
        <v>377</v>
      </c>
      <c r="M132" s="231">
        <v>0</v>
      </c>
      <c r="N132" s="231">
        <v>0</v>
      </c>
      <c r="O132" s="231">
        <v>0</v>
      </c>
      <c r="P132" s="231">
        <v>0</v>
      </c>
      <c r="Q132" s="231">
        <v>0</v>
      </c>
      <c r="R132" s="231">
        <v>0</v>
      </c>
      <c r="S132" s="231">
        <v>0</v>
      </c>
      <c r="T132" s="231">
        <v>0</v>
      </c>
      <c r="U132" s="231">
        <v>0</v>
      </c>
      <c r="V132" s="231">
        <v>0</v>
      </c>
      <c r="W132" s="231">
        <v>460</v>
      </c>
    </row>
    <row r="133" spans="1:23" x14ac:dyDescent="0.25">
      <c r="A133" s="229"/>
      <c r="B133" s="236" t="s">
        <v>252</v>
      </c>
      <c r="C133" s="231">
        <v>0</v>
      </c>
      <c r="D133" s="231">
        <v>0</v>
      </c>
      <c r="E133" s="231">
        <v>0</v>
      </c>
      <c r="F133" s="231">
        <v>0</v>
      </c>
      <c r="G133" s="231">
        <v>0</v>
      </c>
      <c r="H133" s="231">
        <v>0</v>
      </c>
      <c r="I133" s="231">
        <v>0</v>
      </c>
      <c r="J133" s="231">
        <v>0</v>
      </c>
      <c r="K133" s="231">
        <v>160</v>
      </c>
      <c r="L133" s="231">
        <v>0</v>
      </c>
      <c r="M133" s="231">
        <v>0</v>
      </c>
      <c r="N133" s="231">
        <v>0</v>
      </c>
      <c r="O133" s="231">
        <v>0</v>
      </c>
      <c r="P133" s="231">
        <v>0</v>
      </c>
      <c r="Q133" s="231">
        <v>0</v>
      </c>
      <c r="R133" s="231">
        <v>0</v>
      </c>
      <c r="S133" s="231">
        <v>0</v>
      </c>
      <c r="T133" s="231">
        <v>0</v>
      </c>
      <c r="U133" s="231">
        <v>0</v>
      </c>
      <c r="V133" s="231">
        <v>0</v>
      </c>
      <c r="W133" s="231">
        <v>160</v>
      </c>
    </row>
    <row r="134" spans="1:23" ht="15.75" thickBot="1" x14ac:dyDescent="0.3">
      <c r="A134" s="229"/>
      <c r="B134" s="236" t="s">
        <v>253</v>
      </c>
      <c r="C134" s="231">
        <v>0</v>
      </c>
      <c r="D134" s="231">
        <v>0</v>
      </c>
      <c r="E134" s="231">
        <v>0</v>
      </c>
      <c r="F134" s="231">
        <v>0</v>
      </c>
      <c r="G134" s="231">
        <v>208.95</v>
      </c>
      <c r="H134" s="231">
        <v>0</v>
      </c>
      <c r="I134" s="231">
        <v>0</v>
      </c>
      <c r="J134" s="231">
        <v>0</v>
      </c>
      <c r="K134" s="231">
        <v>0</v>
      </c>
      <c r="L134" s="231">
        <v>0</v>
      </c>
      <c r="M134" s="231">
        <v>0</v>
      </c>
      <c r="N134" s="231">
        <v>0</v>
      </c>
      <c r="O134" s="231">
        <v>0</v>
      </c>
      <c r="P134" s="231">
        <v>0</v>
      </c>
      <c r="Q134" s="231">
        <v>0</v>
      </c>
      <c r="R134" s="231">
        <v>0</v>
      </c>
      <c r="S134" s="231">
        <v>0</v>
      </c>
      <c r="T134" s="231">
        <v>0</v>
      </c>
      <c r="U134" s="231">
        <v>0</v>
      </c>
      <c r="V134" s="231">
        <v>0</v>
      </c>
      <c r="W134" s="231">
        <v>208.95</v>
      </c>
    </row>
    <row r="135" spans="1:23" ht="15.75" thickBot="1" x14ac:dyDescent="0.3">
      <c r="A135" s="229"/>
      <c r="B135" s="237" t="s">
        <v>199</v>
      </c>
      <c r="C135" s="238">
        <v>0</v>
      </c>
      <c r="D135" s="238">
        <v>0</v>
      </c>
      <c r="E135" s="238">
        <v>0</v>
      </c>
      <c r="F135" s="238">
        <v>0</v>
      </c>
      <c r="G135" s="238">
        <v>208.95</v>
      </c>
      <c r="H135" s="238">
        <v>600</v>
      </c>
      <c r="I135" s="238">
        <v>0</v>
      </c>
      <c r="J135" s="238">
        <v>83</v>
      </c>
      <c r="K135" s="238">
        <v>160</v>
      </c>
      <c r="L135" s="238">
        <v>477</v>
      </c>
      <c r="M135" s="238">
        <v>0</v>
      </c>
      <c r="N135" s="238">
        <v>0</v>
      </c>
      <c r="O135" s="238">
        <v>0</v>
      </c>
      <c r="P135" s="238">
        <v>0</v>
      </c>
      <c r="Q135" s="238">
        <v>0</v>
      </c>
      <c r="R135" s="238">
        <v>0</v>
      </c>
      <c r="S135" s="238">
        <v>0</v>
      </c>
      <c r="T135" s="238">
        <v>0</v>
      </c>
      <c r="U135" s="238">
        <v>0</v>
      </c>
      <c r="V135" s="238">
        <v>0</v>
      </c>
      <c r="W135" s="238">
        <v>1528.95</v>
      </c>
    </row>
    <row r="136" spans="1:23" x14ac:dyDescent="0.25">
      <c r="A136" s="229"/>
      <c r="B136" s="235" t="s">
        <v>200</v>
      </c>
      <c r="C136" s="231"/>
      <c r="D136" s="231"/>
      <c r="E136" s="231"/>
      <c r="F136" s="231"/>
      <c r="G136" s="231"/>
      <c r="H136" s="231"/>
      <c r="I136" s="231"/>
      <c r="J136" s="231"/>
      <c r="K136" s="231"/>
      <c r="L136" s="231"/>
      <c r="M136" s="231"/>
      <c r="N136" s="231"/>
      <c r="O136" s="231"/>
      <c r="P136" s="231"/>
      <c r="Q136" s="231"/>
      <c r="R136" s="231"/>
      <c r="S136" s="231"/>
      <c r="T136" s="231"/>
      <c r="U136" s="231"/>
      <c r="V136" s="231"/>
      <c r="W136" s="231"/>
    </row>
    <row r="137" spans="1:23" ht="15.75" thickBot="1" x14ac:dyDescent="0.3">
      <c r="A137" s="229"/>
      <c r="B137" s="236" t="s">
        <v>125</v>
      </c>
      <c r="C137" s="231">
        <v>0</v>
      </c>
      <c r="D137" s="231">
        <v>0</v>
      </c>
      <c r="E137" s="231">
        <v>0</v>
      </c>
      <c r="F137" s="231">
        <v>0</v>
      </c>
      <c r="G137" s="231">
        <v>0</v>
      </c>
      <c r="H137" s="231">
        <v>200</v>
      </c>
      <c r="I137" s="231">
        <v>0</v>
      </c>
      <c r="J137" s="231">
        <v>0</v>
      </c>
      <c r="K137" s="231">
        <v>0</v>
      </c>
      <c r="L137" s="231">
        <v>0</v>
      </c>
      <c r="M137" s="231">
        <v>0</v>
      </c>
      <c r="N137" s="231">
        <v>0</v>
      </c>
      <c r="O137" s="231">
        <v>0</v>
      </c>
      <c r="P137" s="231">
        <v>0</v>
      </c>
      <c r="Q137" s="231">
        <v>0</v>
      </c>
      <c r="R137" s="231">
        <v>0</v>
      </c>
      <c r="S137" s="231">
        <v>0</v>
      </c>
      <c r="T137" s="231">
        <v>0</v>
      </c>
      <c r="U137" s="231">
        <v>0</v>
      </c>
      <c r="V137" s="231">
        <v>0</v>
      </c>
      <c r="W137" s="231">
        <v>200</v>
      </c>
    </row>
    <row r="138" spans="1:23" ht="15.75" thickBot="1" x14ac:dyDescent="0.3">
      <c r="A138" s="229"/>
      <c r="B138" s="237" t="s">
        <v>203</v>
      </c>
      <c r="C138" s="238">
        <v>0</v>
      </c>
      <c r="D138" s="238">
        <v>0</v>
      </c>
      <c r="E138" s="238">
        <v>0</v>
      </c>
      <c r="F138" s="238">
        <v>0</v>
      </c>
      <c r="G138" s="238">
        <v>0</v>
      </c>
      <c r="H138" s="238">
        <v>200</v>
      </c>
      <c r="I138" s="238">
        <v>0</v>
      </c>
      <c r="J138" s="238">
        <v>0</v>
      </c>
      <c r="K138" s="238">
        <v>0</v>
      </c>
      <c r="L138" s="238">
        <v>0</v>
      </c>
      <c r="M138" s="238">
        <v>0</v>
      </c>
      <c r="N138" s="238">
        <v>0</v>
      </c>
      <c r="O138" s="238">
        <v>0</v>
      </c>
      <c r="P138" s="238">
        <v>0</v>
      </c>
      <c r="Q138" s="238">
        <v>0</v>
      </c>
      <c r="R138" s="238">
        <v>0</v>
      </c>
      <c r="S138" s="238">
        <v>0</v>
      </c>
      <c r="T138" s="238">
        <v>0</v>
      </c>
      <c r="U138" s="238">
        <v>0</v>
      </c>
      <c r="V138" s="238">
        <v>0</v>
      </c>
      <c r="W138" s="238">
        <v>200</v>
      </c>
    </row>
    <row r="139" spans="1:23" x14ac:dyDescent="0.25">
      <c r="A139" s="229"/>
      <c r="B139" s="235" t="s">
        <v>254</v>
      </c>
      <c r="C139" s="231"/>
      <c r="D139" s="231"/>
      <c r="E139" s="231"/>
      <c r="F139" s="231"/>
      <c r="G139" s="231"/>
      <c r="H139" s="231"/>
      <c r="I139" s="231"/>
      <c r="J139" s="231"/>
      <c r="K139" s="231"/>
      <c r="L139" s="231"/>
      <c r="M139" s="231"/>
      <c r="N139" s="231"/>
      <c r="O139" s="231"/>
      <c r="P139" s="231"/>
      <c r="Q139" s="231"/>
      <c r="R139" s="231"/>
      <c r="S139" s="231"/>
      <c r="T139" s="231"/>
      <c r="U139" s="231"/>
      <c r="V139" s="231"/>
      <c r="W139" s="231"/>
    </row>
    <row r="140" spans="1:23" ht="15.75" thickBot="1" x14ac:dyDescent="0.3">
      <c r="A140" s="229"/>
      <c r="B140" s="236" t="s">
        <v>255</v>
      </c>
      <c r="C140" s="231">
        <v>0</v>
      </c>
      <c r="D140" s="231">
        <v>0</v>
      </c>
      <c r="E140" s="231">
        <v>0</v>
      </c>
      <c r="F140" s="231">
        <v>0</v>
      </c>
      <c r="G140" s="231">
        <v>0</v>
      </c>
      <c r="H140" s="231">
        <v>0</v>
      </c>
      <c r="I140" s="231">
        <v>0</v>
      </c>
      <c r="J140" s="231">
        <v>0</v>
      </c>
      <c r="K140" s="231">
        <v>0</v>
      </c>
      <c r="L140" s="231">
        <v>0</v>
      </c>
      <c r="M140" s="231">
        <v>0</v>
      </c>
      <c r="N140" s="231">
        <v>0</v>
      </c>
      <c r="O140" s="231">
        <v>0</v>
      </c>
      <c r="P140" s="231">
        <v>0</v>
      </c>
      <c r="Q140" s="231">
        <v>0</v>
      </c>
      <c r="R140" s="231">
        <v>0</v>
      </c>
      <c r="S140" s="231">
        <v>0</v>
      </c>
      <c r="T140" s="231">
        <v>0</v>
      </c>
      <c r="U140" s="231">
        <v>0</v>
      </c>
      <c r="V140" s="231">
        <v>500</v>
      </c>
      <c r="W140" s="231">
        <v>500</v>
      </c>
    </row>
    <row r="141" spans="1:23" ht="15.75" thickBot="1" x14ac:dyDescent="0.3">
      <c r="A141" s="229"/>
      <c r="B141" s="237" t="s">
        <v>256</v>
      </c>
      <c r="C141" s="238">
        <v>0</v>
      </c>
      <c r="D141" s="238">
        <v>0</v>
      </c>
      <c r="E141" s="238">
        <v>0</v>
      </c>
      <c r="F141" s="238">
        <v>0</v>
      </c>
      <c r="G141" s="238">
        <v>0</v>
      </c>
      <c r="H141" s="238">
        <v>0</v>
      </c>
      <c r="I141" s="238">
        <v>0</v>
      </c>
      <c r="J141" s="238">
        <v>0</v>
      </c>
      <c r="K141" s="238">
        <v>0</v>
      </c>
      <c r="L141" s="238">
        <v>0</v>
      </c>
      <c r="M141" s="238">
        <v>0</v>
      </c>
      <c r="N141" s="238">
        <v>0</v>
      </c>
      <c r="O141" s="238">
        <v>0</v>
      </c>
      <c r="P141" s="238">
        <v>0</v>
      </c>
      <c r="Q141" s="238">
        <v>0</v>
      </c>
      <c r="R141" s="238">
        <v>0</v>
      </c>
      <c r="S141" s="238">
        <v>0</v>
      </c>
      <c r="T141" s="238">
        <v>0</v>
      </c>
      <c r="U141" s="238">
        <v>0</v>
      </c>
      <c r="V141" s="238">
        <v>500</v>
      </c>
      <c r="W141" s="238">
        <v>500</v>
      </c>
    </row>
    <row r="142" spans="1:23" x14ac:dyDescent="0.25">
      <c r="A142" s="229"/>
      <c r="B142" s="235" t="s">
        <v>204</v>
      </c>
      <c r="C142" s="231"/>
      <c r="D142" s="231"/>
      <c r="E142" s="231"/>
      <c r="F142" s="231"/>
      <c r="G142" s="231"/>
      <c r="H142" s="231"/>
      <c r="I142" s="231"/>
      <c r="J142" s="231"/>
      <c r="K142" s="231"/>
      <c r="L142" s="231"/>
      <c r="M142" s="231"/>
      <c r="N142" s="231"/>
      <c r="O142" s="231"/>
      <c r="P142" s="231"/>
      <c r="Q142" s="231"/>
      <c r="R142" s="231"/>
      <c r="S142" s="231"/>
      <c r="T142" s="231"/>
      <c r="U142" s="231"/>
      <c r="V142" s="231"/>
      <c r="W142" s="231"/>
    </row>
    <row r="143" spans="1:23" x14ac:dyDescent="0.25">
      <c r="A143" s="229"/>
      <c r="B143" s="236" t="s">
        <v>257</v>
      </c>
      <c r="C143" s="231">
        <v>0</v>
      </c>
      <c r="D143" s="231">
        <v>0</v>
      </c>
      <c r="E143" s="231">
        <v>0.99</v>
      </c>
      <c r="F143" s="231">
        <v>1.29</v>
      </c>
      <c r="G143" s="231">
        <v>0.38000000000000012</v>
      </c>
      <c r="H143" s="231">
        <v>0.30999999999999983</v>
      </c>
      <c r="I143" s="231">
        <v>0.38000000000000012</v>
      </c>
      <c r="J143" s="231">
        <v>0.55000000000000004</v>
      </c>
      <c r="K143" s="231">
        <v>0.50999999999999956</v>
      </c>
      <c r="L143" s="231">
        <v>1.6700000000000004</v>
      </c>
      <c r="M143" s="231">
        <v>0.68999999999999972</v>
      </c>
      <c r="N143" s="231">
        <v>0.77000000000000046</v>
      </c>
      <c r="O143" s="231">
        <v>0.86999999999999944</v>
      </c>
      <c r="P143" s="231">
        <v>0.66000000000000014</v>
      </c>
      <c r="Q143" s="231">
        <v>1.21</v>
      </c>
      <c r="R143" s="231">
        <v>0.89000000000000057</v>
      </c>
      <c r="S143" s="231">
        <v>1.4599999999999991</v>
      </c>
      <c r="T143" s="231">
        <v>1.0000000000000002</v>
      </c>
      <c r="U143" s="231">
        <v>1.2400000000000002</v>
      </c>
      <c r="V143" s="231">
        <v>1.9399999999999995</v>
      </c>
      <c r="W143" s="231">
        <v>16.810000000000002</v>
      </c>
    </row>
    <row r="144" spans="1:23" x14ac:dyDescent="0.25">
      <c r="A144" s="229"/>
      <c r="B144" s="236" t="s">
        <v>258</v>
      </c>
      <c r="C144" s="231">
        <v>0</v>
      </c>
      <c r="D144" s="231">
        <v>0</v>
      </c>
      <c r="E144" s="231">
        <v>4.7900000000000009</v>
      </c>
      <c r="F144" s="231">
        <v>4.7899999999999991</v>
      </c>
      <c r="G144" s="231">
        <v>1.5</v>
      </c>
      <c r="H144" s="231">
        <v>0.45999999999999996</v>
      </c>
      <c r="I144" s="231">
        <v>1.1800000000000006</v>
      </c>
      <c r="J144" s="231">
        <v>1.3600000000000003</v>
      </c>
      <c r="K144" s="231">
        <v>0.58000000000000007</v>
      </c>
      <c r="L144" s="231">
        <v>9.34</v>
      </c>
      <c r="M144" s="231">
        <v>2.089999999999999</v>
      </c>
      <c r="N144" s="231">
        <v>2.6700000000000017</v>
      </c>
      <c r="O144" s="231">
        <v>3.5999999999999979</v>
      </c>
      <c r="P144" s="231">
        <v>2.2200000000000006</v>
      </c>
      <c r="Q144" s="231">
        <v>2.029999999999998</v>
      </c>
      <c r="R144" s="231">
        <v>2.1900000000000013</v>
      </c>
      <c r="S144" s="231">
        <v>2.2400000000000011</v>
      </c>
      <c r="T144" s="231">
        <v>2.19</v>
      </c>
      <c r="U144" s="231">
        <v>1.8600000000000012</v>
      </c>
      <c r="V144" s="231">
        <v>1.3099999999999987</v>
      </c>
      <c r="W144" s="231">
        <v>46.399999999999991</v>
      </c>
    </row>
    <row r="145" spans="1:23" x14ac:dyDescent="0.25">
      <c r="A145" s="229"/>
      <c r="B145" s="236" t="s">
        <v>259</v>
      </c>
      <c r="C145" s="231">
        <v>0</v>
      </c>
      <c r="D145" s="231">
        <v>0</v>
      </c>
      <c r="E145" s="231">
        <v>1.06</v>
      </c>
      <c r="F145" s="231">
        <v>0.84999999999999987</v>
      </c>
      <c r="G145" s="231">
        <v>0.42000000000000015</v>
      </c>
      <c r="H145" s="231">
        <v>2.0000000000000018E-2</v>
      </c>
      <c r="I145" s="231">
        <v>0.16999999999999993</v>
      </c>
      <c r="J145" s="231">
        <v>0.39</v>
      </c>
      <c r="K145" s="231">
        <v>0.12</v>
      </c>
      <c r="L145" s="231">
        <v>3.02</v>
      </c>
      <c r="M145" s="231">
        <v>0.6699999999999996</v>
      </c>
      <c r="N145" s="231">
        <v>1.44</v>
      </c>
      <c r="O145" s="231">
        <v>0.91000000000000048</v>
      </c>
      <c r="P145" s="231">
        <v>0.60000000000000009</v>
      </c>
      <c r="Q145" s="231">
        <v>0.43999999999999995</v>
      </c>
      <c r="R145" s="231">
        <v>0.50999999999999979</v>
      </c>
      <c r="S145" s="231">
        <v>0.52000000000000013</v>
      </c>
      <c r="T145" s="231">
        <v>0.59</v>
      </c>
      <c r="U145" s="231">
        <v>0.55000000000000004</v>
      </c>
      <c r="V145" s="231">
        <v>0.25</v>
      </c>
      <c r="W145" s="231">
        <v>12.53</v>
      </c>
    </row>
    <row r="146" spans="1:23" x14ac:dyDescent="0.25">
      <c r="A146" s="229"/>
      <c r="B146" s="236" t="s">
        <v>260</v>
      </c>
      <c r="C146" s="231">
        <v>0</v>
      </c>
      <c r="D146" s="231">
        <v>0</v>
      </c>
      <c r="E146" s="231">
        <v>1.27</v>
      </c>
      <c r="F146" s="231">
        <v>0.7</v>
      </c>
      <c r="G146" s="231">
        <v>0.38000000000000012</v>
      </c>
      <c r="H146" s="231">
        <v>0.30999999999999983</v>
      </c>
      <c r="I146" s="231">
        <v>0.38000000000000012</v>
      </c>
      <c r="J146" s="231">
        <v>0.52</v>
      </c>
      <c r="K146" s="231">
        <v>0.46999999999999975</v>
      </c>
      <c r="L146" s="231">
        <v>0.61000000000000032</v>
      </c>
      <c r="M146" s="231">
        <v>0.67999999999999972</v>
      </c>
      <c r="N146" s="231">
        <v>0.77000000000000046</v>
      </c>
      <c r="O146" s="231">
        <v>0.85999999999999943</v>
      </c>
      <c r="P146" s="231">
        <v>0.66000000000000014</v>
      </c>
      <c r="Q146" s="231">
        <v>1.6999999999999997</v>
      </c>
      <c r="R146" s="231">
        <v>1.0100000000000007</v>
      </c>
      <c r="S146" s="231">
        <v>1.5699999999999992</v>
      </c>
      <c r="T146" s="231">
        <v>0.99000000000000021</v>
      </c>
      <c r="U146" s="231">
        <v>1.2400000000000002</v>
      </c>
      <c r="V146" s="231">
        <v>1.9399999999999995</v>
      </c>
      <c r="W146" s="231">
        <v>16.059999999999999</v>
      </c>
    </row>
    <row r="147" spans="1:23" x14ac:dyDescent="0.25">
      <c r="A147" s="229"/>
      <c r="B147" s="236" t="s">
        <v>261</v>
      </c>
      <c r="C147" s="231">
        <v>0</v>
      </c>
      <c r="D147" s="231">
        <v>0</v>
      </c>
      <c r="E147" s="231">
        <v>4.1400000000000006</v>
      </c>
      <c r="F147" s="231">
        <v>4.5699999999999994</v>
      </c>
      <c r="G147" s="231">
        <v>0.78000000000000025</v>
      </c>
      <c r="H147" s="231">
        <v>0.48</v>
      </c>
      <c r="I147" s="231">
        <v>0.59999999999999964</v>
      </c>
      <c r="J147" s="231">
        <v>0.8100000000000005</v>
      </c>
      <c r="K147" s="231">
        <v>0.58000000000000007</v>
      </c>
      <c r="L147" s="231">
        <v>0.45999999999999996</v>
      </c>
      <c r="M147" s="231">
        <v>1.4699999999999993</v>
      </c>
      <c r="N147" s="231">
        <v>2.0400000000000009</v>
      </c>
      <c r="O147" s="231">
        <v>2.0399999999999991</v>
      </c>
      <c r="P147" s="231">
        <v>2.1100000000000008</v>
      </c>
      <c r="Q147" s="231">
        <v>5.9199999999999982</v>
      </c>
      <c r="R147" s="231">
        <v>7.46</v>
      </c>
      <c r="S147" s="231">
        <v>2.1500000000000004</v>
      </c>
      <c r="T147" s="231">
        <v>1.37</v>
      </c>
      <c r="U147" s="231">
        <v>1.3300000000000023</v>
      </c>
      <c r="V147" s="231">
        <v>1.2499999999999991</v>
      </c>
      <c r="W147" s="231">
        <v>39.559999999999995</v>
      </c>
    </row>
    <row r="148" spans="1:23" x14ac:dyDescent="0.25">
      <c r="A148" s="229"/>
      <c r="B148" s="236" t="s">
        <v>262</v>
      </c>
      <c r="C148" s="231">
        <v>0</v>
      </c>
      <c r="D148" s="231">
        <v>0</v>
      </c>
      <c r="E148" s="231">
        <v>1.0900000000000001</v>
      </c>
      <c r="F148" s="231">
        <v>1.21</v>
      </c>
      <c r="G148" s="231">
        <v>4.9999999999999989E-2</v>
      </c>
      <c r="H148" s="231">
        <v>5.0000000000000044E-2</v>
      </c>
      <c r="I148" s="231">
        <v>5.0000000000000044E-2</v>
      </c>
      <c r="J148" s="231">
        <v>9.9999999999999978E-2</v>
      </c>
      <c r="K148" s="231">
        <v>0.12</v>
      </c>
      <c r="L148" s="231">
        <v>0.21999999999999997</v>
      </c>
      <c r="M148" s="231">
        <v>0.27</v>
      </c>
      <c r="N148" s="231">
        <v>0.55999999999999983</v>
      </c>
      <c r="O148" s="231">
        <v>0.43999999999999995</v>
      </c>
      <c r="P148" s="231">
        <v>2.2600000000000002</v>
      </c>
      <c r="Q148" s="231">
        <v>0.49</v>
      </c>
      <c r="R148" s="231">
        <v>0.5299999999999998</v>
      </c>
      <c r="S148" s="231">
        <v>0.87999999999999978</v>
      </c>
      <c r="T148" s="231">
        <v>0.39000000000000012</v>
      </c>
      <c r="U148" s="231">
        <v>0.38000000000000012</v>
      </c>
      <c r="V148" s="231">
        <v>0.25</v>
      </c>
      <c r="W148" s="231">
        <v>9.34</v>
      </c>
    </row>
    <row r="149" spans="1:23" x14ac:dyDescent="0.25">
      <c r="A149" s="229"/>
      <c r="B149" s="236" t="s">
        <v>263</v>
      </c>
      <c r="C149" s="231">
        <v>0</v>
      </c>
      <c r="D149" s="231">
        <v>1.6785999999999999</v>
      </c>
      <c r="E149" s="231">
        <v>1.8725000000000001</v>
      </c>
      <c r="F149" s="231">
        <v>0.39080000000000004</v>
      </c>
      <c r="G149" s="231">
        <v>0.39649999999999996</v>
      </c>
      <c r="H149" s="231">
        <v>0.40260000000000007</v>
      </c>
      <c r="I149" s="231">
        <v>0.40939999999999999</v>
      </c>
      <c r="J149" s="231">
        <v>0.41660000000000008</v>
      </c>
      <c r="K149" s="231">
        <v>0.42419999999999969</v>
      </c>
      <c r="L149" s="231">
        <v>0.43270000000000008</v>
      </c>
      <c r="M149" s="231">
        <v>0.44189999999999996</v>
      </c>
      <c r="N149" s="231">
        <v>0</v>
      </c>
      <c r="O149" s="231">
        <v>0</v>
      </c>
      <c r="P149" s="231">
        <v>0</v>
      </c>
      <c r="Q149" s="231">
        <v>0</v>
      </c>
      <c r="R149" s="231">
        <v>0</v>
      </c>
      <c r="S149" s="231">
        <v>0</v>
      </c>
      <c r="T149" s="231">
        <v>0</v>
      </c>
      <c r="U149" s="231">
        <v>0</v>
      </c>
      <c r="V149" s="231">
        <v>0</v>
      </c>
      <c r="W149" s="231">
        <v>6.8658000000000001</v>
      </c>
    </row>
    <row r="150" spans="1:23" x14ac:dyDescent="0.25">
      <c r="A150" s="229"/>
      <c r="B150" s="236" t="s">
        <v>264</v>
      </c>
      <c r="C150" s="231">
        <v>0</v>
      </c>
      <c r="D150" s="231">
        <v>31.9739</v>
      </c>
      <c r="E150" s="231">
        <v>44.216800000000006</v>
      </c>
      <c r="F150" s="231">
        <v>25.008099999999999</v>
      </c>
      <c r="G150" s="231">
        <v>20.719200000000001</v>
      </c>
      <c r="H150" s="231">
        <v>15.091200000000004</v>
      </c>
      <c r="I150" s="231">
        <v>14.186700000000002</v>
      </c>
      <c r="J150" s="231">
        <v>14.398</v>
      </c>
      <c r="K150" s="231">
        <v>15.056999999999995</v>
      </c>
      <c r="L150" s="231">
        <v>15.741400000000002</v>
      </c>
      <c r="M150" s="231">
        <v>16.412099999999999</v>
      </c>
      <c r="N150" s="231">
        <v>0</v>
      </c>
      <c r="O150" s="231">
        <v>0</v>
      </c>
      <c r="P150" s="231">
        <v>0</v>
      </c>
      <c r="Q150" s="231">
        <v>0</v>
      </c>
      <c r="R150" s="231">
        <v>0</v>
      </c>
      <c r="S150" s="231">
        <v>0</v>
      </c>
      <c r="T150" s="231">
        <v>0</v>
      </c>
      <c r="U150" s="231">
        <v>0</v>
      </c>
      <c r="V150" s="231">
        <v>0</v>
      </c>
      <c r="W150" s="231">
        <v>212.80440000000002</v>
      </c>
    </row>
    <row r="151" spans="1:23" ht="15.75" thickBot="1" x14ac:dyDescent="0.3">
      <c r="A151" s="229"/>
      <c r="B151" s="236" t="s">
        <v>265</v>
      </c>
      <c r="C151" s="231">
        <v>0</v>
      </c>
      <c r="D151" s="231">
        <v>8.6547999999999981</v>
      </c>
      <c r="E151" s="231">
        <v>12.682</v>
      </c>
      <c r="F151" s="231">
        <v>7.9404000000000012</v>
      </c>
      <c r="G151" s="231">
        <v>5.0140999999999982</v>
      </c>
      <c r="H151" s="231">
        <v>2.2693000000000008</v>
      </c>
      <c r="I151" s="231">
        <v>2.3005000000000013</v>
      </c>
      <c r="J151" s="231">
        <v>2.3023999999999996</v>
      </c>
      <c r="K151" s="231">
        <v>2.3820999999999986</v>
      </c>
      <c r="L151" s="231">
        <v>2.4879000000000007</v>
      </c>
      <c r="M151" s="231">
        <v>2.6164999999999994</v>
      </c>
      <c r="N151" s="231">
        <v>0</v>
      </c>
      <c r="O151" s="231">
        <v>0</v>
      </c>
      <c r="P151" s="231">
        <v>0</v>
      </c>
      <c r="Q151" s="231">
        <v>0</v>
      </c>
      <c r="R151" s="231">
        <v>0</v>
      </c>
      <c r="S151" s="231">
        <v>0</v>
      </c>
      <c r="T151" s="231">
        <v>0</v>
      </c>
      <c r="U151" s="231">
        <v>0</v>
      </c>
      <c r="V151" s="231">
        <v>0</v>
      </c>
      <c r="W151" s="231">
        <v>48.65</v>
      </c>
    </row>
    <row r="152" spans="1:23" ht="16.149999999999999" customHeight="1" thickBot="1" x14ac:dyDescent="0.3">
      <c r="A152" s="229"/>
      <c r="B152" s="237" t="s">
        <v>214</v>
      </c>
      <c r="C152" s="238">
        <v>0</v>
      </c>
      <c r="D152" s="238">
        <v>42.307299999999998</v>
      </c>
      <c r="E152" s="238">
        <v>72.111300000000014</v>
      </c>
      <c r="F152" s="238">
        <v>46.749300000000005</v>
      </c>
      <c r="G152" s="238">
        <v>29.639800000000001</v>
      </c>
      <c r="H152" s="238">
        <v>19.393100000000004</v>
      </c>
      <c r="I152" s="238">
        <v>19.656600000000005</v>
      </c>
      <c r="J152" s="238">
        <v>20.847000000000001</v>
      </c>
      <c r="K152" s="238">
        <v>20.243299999999991</v>
      </c>
      <c r="L152" s="238">
        <v>33.982000000000006</v>
      </c>
      <c r="M152" s="238">
        <v>25.340499999999995</v>
      </c>
      <c r="N152" s="238">
        <v>8.2500000000000036</v>
      </c>
      <c r="O152" s="238">
        <v>8.7199999999999953</v>
      </c>
      <c r="P152" s="238">
        <v>8.5100000000000016</v>
      </c>
      <c r="Q152" s="238">
        <v>11.789999999999996</v>
      </c>
      <c r="R152" s="238">
        <v>12.590000000000002</v>
      </c>
      <c r="S152" s="238">
        <v>8.82</v>
      </c>
      <c r="T152" s="238">
        <v>6.5300000000000011</v>
      </c>
      <c r="U152" s="238">
        <v>6.6000000000000041</v>
      </c>
      <c r="V152" s="238">
        <v>6.9399999999999968</v>
      </c>
      <c r="W152" s="238">
        <v>409.02019999999999</v>
      </c>
    </row>
    <row r="153" spans="1:23" x14ac:dyDescent="0.25">
      <c r="A153" s="229"/>
      <c r="B153" s="235" t="s">
        <v>215</v>
      </c>
      <c r="C153" s="231"/>
      <c r="D153" s="231"/>
      <c r="E153" s="231"/>
      <c r="F153" s="231"/>
      <c r="G153" s="231"/>
      <c r="H153" s="231"/>
      <c r="I153" s="231"/>
      <c r="J153" s="231"/>
      <c r="K153" s="231"/>
      <c r="L153" s="231"/>
      <c r="M153" s="231"/>
      <c r="N153" s="231"/>
      <c r="O153" s="231"/>
      <c r="P153" s="231"/>
      <c r="Q153" s="231"/>
      <c r="R153" s="231"/>
      <c r="S153" s="231"/>
      <c r="T153" s="231"/>
      <c r="U153" s="231"/>
      <c r="V153" s="231"/>
      <c r="W153" s="231"/>
    </row>
    <row r="154" spans="1:23" x14ac:dyDescent="0.25">
      <c r="A154" s="229"/>
      <c r="B154" s="236" t="s">
        <v>122</v>
      </c>
      <c r="C154" s="231">
        <v>1.8877999999999999</v>
      </c>
      <c r="D154" s="231">
        <v>0.84789999999999999</v>
      </c>
      <c r="E154" s="231">
        <v>1.0276000000000001</v>
      </c>
      <c r="F154" s="231">
        <v>1.2047000000000001</v>
      </c>
      <c r="G154" s="231">
        <v>2.8000000000000003</v>
      </c>
      <c r="H154" s="231">
        <v>4.2499999999999991</v>
      </c>
      <c r="I154" s="231">
        <v>4.7999999999999989</v>
      </c>
      <c r="J154" s="231">
        <v>5.18</v>
      </c>
      <c r="K154" s="231">
        <v>5.28</v>
      </c>
      <c r="L154" s="231">
        <v>5.26</v>
      </c>
      <c r="M154" s="231">
        <v>4.91</v>
      </c>
      <c r="N154" s="231">
        <v>4.5</v>
      </c>
      <c r="O154" s="231">
        <v>3.89</v>
      </c>
      <c r="P154" s="231">
        <v>3.37</v>
      </c>
      <c r="Q154" s="231">
        <v>2.9000000000000004</v>
      </c>
      <c r="R154" s="231">
        <v>2.5300000000000002</v>
      </c>
      <c r="S154" s="231">
        <v>2.2900000000000005</v>
      </c>
      <c r="T154" s="231">
        <v>1.85</v>
      </c>
      <c r="U154" s="231">
        <v>1.4400000000000002</v>
      </c>
      <c r="V154" s="231">
        <v>1.21</v>
      </c>
      <c r="W154" s="231">
        <v>61.42799999999999</v>
      </c>
    </row>
    <row r="155" spans="1:23" x14ac:dyDescent="0.25">
      <c r="A155" s="229"/>
      <c r="B155" s="236" t="s">
        <v>123</v>
      </c>
      <c r="C155" s="231">
        <v>36.447200000000002</v>
      </c>
      <c r="D155" s="231">
        <v>33.518999999999998</v>
      </c>
      <c r="E155" s="231">
        <v>37.261400000000002</v>
      </c>
      <c r="F155" s="231">
        <v>41.638100000000001</v>
      </c>
      <c r="G155" s="231">
        <v>34.739999999999995</v>
      </c>
      <c r="H155" s="231">
        <v>38.4</v>
      </c>
      <c r="I155" s="231">
        <v>41.16</v>
      </c>
      <c r="J155" s="231">
        <v>43.91</v>
      </c>
      <c r="K155" s="231">
        <v>45.16</v>
      </c>
      <c r="L155" s="231">
        <v>46.18</v>
      </c>
      <c r="M155" s="231">
        <v>46.230000000000004</v>
      </c>
      <c r="N155" s="231">
        <v>45.919999999999995</v>
      </c>
      <c r="O155" s="231">
        <v>49.11</v>
      </c>
      <c r="P155" s="231">
        <v>46.910000000000004</v>
      </c>
      <c r="Q155" s="231">
        <v>42.66</v>
      </c>
      <c r="R155" s="231">
        <v>40.439999999999991</v>
      </c>
      <c r="S155" s="231">
        <v>37.86</v>
      </c>
      <c r="T155" s="231">
        <v>37.860000000000007</v>
      </c>
      <c r="U155" s="231">
        <v>37.869999999999997</v>
      </c>
      <c r="V155" s="231">
        <v>36.11</v>
      </c>
      <c r="W155" s="231">
        <v>819.38569999999993</v>
      </c>
    </row>
    <row r="156" spans="1:23" x14ac:dyDescent="0.25">
      <c r="A156" s="229"/>
      <c r="B156" s="236" t="s">
        <v>124</v>
      </c>
      <c r="C156" s="231">
        <v>7.7205000000000004</v>
      </c>
      <c r="D156" s="231">
        <v>15.278600000000001</v>
      </c>
      <c r="E156" s="231">
        <v>15.799799999999999</v>
      </c>
      <c r="F156" s="231">
        <v>15.278600000000001</v>
      </c>
      <c r="G156" s="231">
        <v>25.8</v>
      </c>
      <c r="H156" s="231">
        <v>31.390000000000004</v>
      </c>
      <c r="I156" s="231">
        <v>36.19</v>
      </c>
      <c r="J156" s="231">
        <v>45.89</v>
      </c>
      <c r="K156" s="231">
        <v>47.84</v>
      </c>
      <c r="L156" s="231">
        <v>49.190000000000005</v>
      </c>
      <c r="M156" s="231">
        <v>48.139999999999993</v>
      </c>
      <c r="N156" s="231">
        <v>45.57</v>
      </c>
      <c r="O156" s="231">
        <v>41.300000000000011</v>
      </c>
      <c r="P156" s="231">
        <v>36.400000000000006</v>
      </c>
      <c r="Q156" s="231">
        <v>28.580000000000002</v>
      </c>
      <c r="R156" s="231">
        <v>24.359999999999992</v>
      </c>
      <c r="S156" s="231">
        <v>20.91</v>
      </c>
      <c r="T156" s="231">
        <v>16.64</v>
      </c>
      <c r="U156" s="231">
        <v>13.169999999999998</v>
      </c>
      <c r="V156" s="231">
        <v>11.01</v>
      </c>
      <c r="W156" s="231">
        <v>576.45749999999987</v>
      </c>
    </row>
    <row r="157" spans="1:23" x14ac:dyDescent="0.25">
      <c r="A157" s="229"/>
      <c r="B157" s="236" t="s">
        <v>266</v>
      </c>
      <c r="C157" s="231">
        <v>4.49</v>
      </c>
      <c r="D157" s="231">
        <v>3.74</v>
      </c>
      <c r="E157" s="231">
        <v>4.5199999999999996</v>
      </c>
      <c r="F157" s="231">
        <v>0</v>
      </c>
      <c r="G157" s="231">
        <v>0</v>
      </c>
      <c r="H157" s="231">
        <v>0</v>
      </c>
      <c r="I157" s="231">
        <v>0</v>
      </c>
      <c r="J157" s="231">
        <v>0</v>
      </c>
      <c r="K157" s="231">
        <v>0</v>
      </c>
      <c r="L157" s="231">
        <v>0</v>
      </c>
      <c r="M157" s="231">
        <v>0</v>
      </c>
      <c r="N157" s="231">
        <v>0</v>
      </c>
      <c r="O157" s="231">
        <v>0</v>
      </c>
      <c r="P157" s="231">
        <v>0</v>
      </c>
      <c r="Q157" s="231">
        <v>0</v>
      </c>
      <c r="R157" s="231">
        <v>0</v>
      </c>
      <c r="S157" s="231">
        <v>0</v>
      </c>
      <c r="T157" s="231">
        <v>0</v>
      </c>
      <c r="U157" s="231">
        <v>0</v>
      </c>
      <c r="V157" s="231">
        <v>0</v>
      </c>
      <c r="W157" s="231">
        <v>12.75</v>
      </c>
    </row>
    <row r="158" spans="1:23" ht="15.75" thickBot="1" x14ac:dyDescent="0.3">
      <c r="A158" s="229"/>
      <c r="B158" s="236" t="s">
        <v>267</v>
      </c>
      <c r="C158" s="231">
        <v>0.2</v>
      </c>
      <c r="D158" s="231">
        <v>0.09</v>
      </c>
      <c r="E158" s="231">
        <v>0</v>
      </c>
      <c r="F158" s="231">
        <v>0</v>
      </c>
      <c r="G158" s="231">
        <v>0</v>
      </c>
      <c r="H158" s="231">
        <v>0</v>
      </c>
      <c r="I158" s="231">
        <v>0</v>
      </c>
      <c r="J158" s="231">
        <v>0</v>
      </c>
      <c r="K158" s="231">
        <v>0</v>
      </c>
      <c r="L158" s="231">
        <v>0</v>
      </c>
      <c r="M158" s="231">
        <v>0</v>
      </c>
      <c r="N158" s="231">
        <v>0</v>
      </c>
      <c r="O158" s="231">
        <v>0</v>
      </c>
      <c r="P158" s="231">
        <v>0</v>
      </c>
      <c r="Q158" s="231">
        <v>0</v>
      </c>
      <c r="R158" s="231">
        <v>0</v>
      </c>
      <c r="S158" s="231">
        <v>0</v>
      </c>
      <c r="T158" s="231">
        <v>0</v>
      </c>
      <c r="U158" s="231">
        <v>0</v>
      </c>
      <c r="V158" s="231">
        <v>0</v>
      </c>
      <c r="W158" s="231">
        <v>0.29000000000000004</v>
      </c>
    </row>
    <row r="159" spans="1:23" ht="15.75" thickBot="1" x14ac:dyDescent="0.3">
      <c r="A159" s="229"/>
      <c r="B159" s="237" t="s">
        <v>218</v>
      </c>
      <c r="C159" s="238">
        <v>50.745500000000007</v>
      </c>
      <c r="D159" s="238">
        <v>53.475500000000004</v>
      </c>
      <c r="E159" s="238">
        <v>58.608800000000002</v>
      </c>
      <c r="F159" s="238">
        <v>58.121400000000008</v>
      </c>
      <c r="G159" s="238">
        <v>63.339999999999989</v>
      </c>
      <c r="H159" s="238">
        <v>74.040000000000006</v>
      </c>
      <c r="I159" s="238">
        <v>82.149999999999991</v>
      </c>
      <c r="J159" s="238">
        <v>94.97999999999999</v>
      </c>
      <c r="K159" s="238">
        <v>98.28</v>
      </c>
      <c r="L159" s="238">
        <v>100.63</v>
      </c>
      <c r="M159" s="238">
        <v>99.28</v>
      </c>
      <c r="N159" s="238">
        <v>95.99</v>
      </c>
      <c r="O159" s="238">
        <v>94.300000000000011</v>
      </c>
      <c r="P159" s="238">
        <v>86.68</v>
      </c>
      <c r="Q159" s="238">
        <v>74.14</v>
      </c>
      <c r="R159" s="238">
        <v>67.329999999999984</v>
      </c>
      <c r="S159" s="238">
        <v>61.06</v>
      </c>
      <c r="T159" s="238">
        <v>56.350000000000009</v>
      </c>
      <c r="U159" s="238">
        <v>52.47999999999999</v>
      </c>
      <c r="V159" s="238">
        <v>48.33</v>
      </c>
      <c r="W159" s="238">
        <v>1470.3111999999996</v>
      </c>
    </row>
    <row r="160" spans="1:23" x14ac:dyDescent="0.25">
      <c r="A160" s="229"/>
      <c r="B160" s="235" t="s">
        <v>219</v>
      </c>
      <c r="C160" s="231"/>
      <c r="D160" s="231"/>
      <c r="E160" s="231"/>
      <c r="F160" s="231"/>
      <c r="G160" s="231"/>
      <c r="H160" s="231"/>
      <c r="I160" s="231"/>
      <c r="J160" s="231"/>
      <c r="K160" s="231"/>
      <c r="L160" s="231"/>
      <c r="M160" s="231"/>
      <c r="N160" s="231"/>
      <c r="O160" s="231"/>
      <c r="P160" s="231"/>
      <c r="Q160" s="231"/>
      <c r="R160" s="231"/>
      <c r="S160" s="231"/>
      <c r="T160" s="231"/>
      <c r="U160" s="231"/>
      <c r="V160" s="231"/>
      <c r="W160" s="231"/>
    </row>
    <row r="161" spans="1:23" x14ac:dyDescent="0.25">
      <c r="A161" s="229"/>
      <c r="B161" s="236" t="s">
        <v>268</v>
      </c>
      <c r="C161" s="231">
        <v>1676.4968066838903</v>
      </c>
      <c r="D161" s="231">
        <v>1244.7147893221538</v>
      </c>
      <c r="E161" s="231">
        <v>1127.6823837241425</v>
      </c>
      <c r="F161" s="231">
        <v>1445.0566707264713</v>
      </c>
      <c r="G161" s="231">
        <v>290.23732081867252</v>
      </c>
      <c r="H161" s="231">
        <v>0</v>
      </c>
      <c r="I161" s="231">
        <v>0</v>
      </c>
      <c r="J161" s="231">
        <v>0</v>
      </c>
      <c r="K161" s="231">
        <v>0</v>
      </c>
      <c r="L161" s="231">
        <v>0</v>
      </c>
      <c r="M161" s="231">
        <v>0</v>
      </c>
      <c r="N161" s="231">
        <v>0</v>
      </c>
      <c r="O161" s="231">
        <v>0</v>
      </c>
      <c r="P161" s="231">
        <v>0</v>
      </c>
      <c r="Q161" s="231">
        <v>0</v>
      </c>
      <c r="R161" s="231">
        <v>0</v>
      </c>
      <c r="S161" s="231">
        <v>0</v>
      </c>
      <c r="T161" s="231">
        <v>0</v>
      </c>
      <c r="U161" s="231">
        <v>0</v>
      </c>
      <c r="V161" s="231">
        <v>0</v>
      </c>
      <c r="W161" s="231">
        <f>SUM(C161:V161)</f>
        <v>5784.1879712753307</v>
      </c>
    </row>
    <row r="162" spans="1:23" x14ac:dyDescent="0.25">
      <c r="A162" s="229"/>
      <c r="B162" s="236" t="s">
        <v>269</v>
      </c>
      <c r="C162" s="231">
        <v>221.92664905811353</v>
      </c>
      <c r="D162" s="231">
        <v>150.65828603491514</v>
      </c>
      <c r="E162" s="231">
        <v>139.42460739023869</v>
      </c>
      <c r="F162" s="231">
        <v>156.22330140635626</v>
      </c>
      <c r="G162" s="231">
        <v>0</v>
      </c>
      <c r="H162" s="231">
        <v>0</v>
      </c>
      <c r="I162" s="231">
        <v>0</v>
      </c>
      <c r="J162" s="231">
        <v>0</v>
      </c>
      <c r="K162" s="231">
        <v>0</v>
      </c>
      <c r="L162" s="231">
        <v>0</v>
      </c>
      <c r="M162" s="231">
        <v>0</v>
      </c>
      <c r="N162" s="231">
        <v>0</v>
      </c>
      <c r="O162" s="231">
        <v>0</v>
      </c>
      <c r="P162" s="231">
        <v>0</v>
      </c>
      <c r="Q162" s="231">
        <v>0</v>
      </c>
      <c r="R162" s="231">
        <v>0</v>
      </c>
      <c r="S162" s="231">
        <v>0</v>
      </c>
      <c r="T162" s="231">
        <v>0</v>
      </c>
      <c r="U162" s="231">
        <v>0</v>
      </c>
      <c r="V162" s="231">
        <v>104.60401880271928</v>
      </c>
      <c r="W162" s="231">
        <f t="shared" ref="W162:W165" si="1">SUM(C162:V162)</f>
        <v>772.83686269234295</v>
      </c>
    </row>
    <row r="163" spans="1:23" x14ac:dyDescent="0.25">
      <c r="A163" s="229"/>
      <c r="B163" s="236" t="s">
        <v>270</v>
      </c>
      <c r="C163" s="231">
        <v>310.69730868135889</v>
      </c>
      <c r="D163" s="231">
        <v>210.92160044888118</v>
      </c>
      <c r="E163" s="231">
        <v>195.19445034633418</v>
      </c>
      <c r="F163" s="231">
        <v>218.71262196889876</v>
      </c>
      <c r="G163" s="231">
        <v>0</v>
      </c>
      <c r="H163" s="231">
        <v>0</v>
      </c>
      <c r="I163" s="231">
        <v>0</v>
      </c>
      <c r="J163" s="231">
        <v>0</v>
      </c>
      <c r="K163" s="231">
        <v>0</v>
      </c>
      <c r="L163" s="231">
        <v>0</v>
      </c>
      <c r="M163" s="231">
        <v>0</v>
      </c>
      <c r="N163" s="231">
        <v>0</v>
      </c>
      <c r="O163" s="231">
        <v>0</v>
      </c>
      <c r="P163" s="231">
        <v>0</v>
      </c>
      <c r="Q163" s="231">
        <v>0</v>
      </c>
      <c r="R163" s="231">
        <v>0</v>
      </c>
      <c r="S163" s="231">
        <v>0</v>
      </c>
      <c r="T163" s="231">
        <v>0</v>
      </c>
      <c r="U163" s="231">
        <v>0</v>
      </c>
      <c r="V163" s="231">
        <v>146.44562632380701</v>
      </c>
      <c r="W163" s="231">
        <f t="shared" si="1"/>
        <v>1081.9716077692801</v>
      </c>
    </row>
    <row r="164" spans="1:23" ht="15.75" thickBot="1" x14ac:dyDescent="0.3">
      <c r="A164" s="229"/>
      <c r="B164" s="236" t="s">
        <v>271</v>
      </c>
      <c r="C164" s="231">
        <v>88.770659623245422</v>
      </c>
      <c r="D164" s="231">
        <v>60.26331441396605</v>
      </c>
      <c r="E164" s="231">
        <v>55.769842956095488</v>
      </c>
      <c r="F164" s="231">
        <v>62.489320562542503</v>
      </c>
      <c r="G164" s="231">
        <v>0</v>
      </c>
      <c r="H164" s="231">
        <v>0</v>
      </c>
      <c r="I164" s="231">
        <v>0</v>
      </c>
      <c r="J164" s="231">
        <v>0</v>
      </c>
      <c r="K164" s="231">
        <v>0</v>
      </c>
      <c r="L164" s="231">
        <v>0</v>
      </c>
      <c r="M164" s="231">
        <v>0</v>
      </c>
      <c r="N164" s="231">
        <v>0</v>
      </c>
      <c r="O164" s="231">
        <v>0</v>
      </c>
      <c r="P164" s="231">
        <v>0</v>
      </c>
      <c r="Q164" s="231">
        <v>0</v>
      </c>
      <c r="R164" s="231">
        <v>0</v>
      </c>
      <c r="S164" s="231">
        <v>0</v>
      </c>
      <c r="T164" s="231">
        <v>0</v>
      </c>
      <c r="U164" s="231">
        <v>0</v>
      </c>
      <c r="V164" s="231">
        <v>41.841607521087717</v>
      </c>
      <c r="W164" s="231">
        <f t="shared" si="1"/>
        <v>309.13474507693718</v>
      </c>
    </row>
    <row r="165" spans="1:23" ht="15.75" thickBot="1" x14ac:dyDescent="0.3">
      <c r="A165" s="229"/>
      <c r="B165" s="237" t="s">
        <v>222</v>
      </c>
      <c r="C165" s="238">
        <f>SUM(C161:C164)</f>
        <v>2297.8914240466083</v>
      </c>
      <c r="D165" s="238">
        <f t="shared" ref="D165:V165" si="2">SUM(D161:D164)</f>
        <v>1666.5579902199163</v>
      </c>
      <c r="E165" s="238">
        <f t="shared" si="2"/>
        <v>1518.0712844168108</v>
      </c>
      <c r="F165" s="238">
        <f t="shared" si="2"/>
        <v>1882.481914664269</v>
      </c>
      <c r="G165" s="238">
        <f t="shared" si="2"/>
        <v>290.23732081867252</v>
      </c>
      <c r="H165" s="238">
        <f t="shared" si="2"/>
        <v>0</v>
      </c>
      <c r="I165" s="238">
        <f t="shared" si="2"/>
        <v>0</v>
      </c>
      <c r="J165" s="238">
        <f t="shared" si="2"/>
        <v>0</v>
      </c>
      <c r="K165" s="238">
        <f t="shared" si="2"/>
        <v>0</v>
      </c>
      <c r="L165" s="238">
        <f t="shared" si="2"/>
        <v>0</v>
      </c>
      <c r="M165" s="238">
        <f t="shared" si="2"/>
        <v>0</v>
      </c>
      <c r="N165" s="238">
        <f t="shared" si="2"/>
        <v>0</v>
      </c>
      <c r="O165" s="238">
        <f t="shared" si="2"/>
        <v>0</v>
      </c>
      <c r="P165" s="238">
        <f t="shared" si="2"/>
        <v>0</v>
      </c>
      <c r="Q165" s="238">
        <f t="shared" si="2"/>
        <v>0</v>
      </c>
      <c r="R165" s="238">
        <f t="shared" si="2"/>
        <v>0</v>
      </c>
      <c r="S165" s="238">
        <f t="shared" si="2"/>
        <v>0</v>
      </c>
      <c r="T165" s="238">
        <f t="shared" si="2"/>
        <v>0</v>
      </c>
      <c r="U165" s="238">
        <f t="shared" si="2"/>
        <v>0</v>
      </c>
      <c r="V165" s="238">
        <f t="shared" si="2"/>
        <v>292.89125264761401</v>
      </c>
      <c r="W165" s="238">
        <f t="shared" si="1"/>
        <v>7948.131186813891</v>
      </c>
    </row>
    <row r="166" spans="1:23" x14ac:dyDescent="0.25">
      <c r="A166" s="229"/>
      <c r="B166" s="235" t="s">
        <v>223</v>
      </c>
      <c r="C166" s="231"/>
      <c r="D166" s="231"/>
      <c r="E166" s="231"/>
      <c r="F166" s="231"/>
      <c r="G166" s="231"/>
      <c r="H166" s="231"/>
      <c r="I166" s="231"/>
      <c r="J166" s="231"/>
      <c r="K166" s="231"/>
      <c r="L166" s="231"/>
      <c r="M166" s="231"/>
      <c r="N166" s="231"/>
      <c r="O166" s="231"/>
      <c r="P166" s="231"/>
      <c r="Q166" s="231"/>
      <c r="R166" s="231"/>
      <c r="S166" s="231"/>
      <c r="T166" s="231"/>
      <c r="U166" s="231"/>
      <c r="V166" s="231"/>
      <c r="W166" s="231"/>
    </row>
    <row r="167" spans="1:23" x14ac:dyDescent="0.25">
      <c r="A167" s="229"/>
      <c r="B167" s="236" t="s">
        <v>272</v>
      </c>
      <c r="C167" s="231">
        <v>0</v>
      </c>
      <c r="D167" s="231">
        <v>0</v>
      </c>
      <c r="E167" s="231">
        <v>0</v>
      </c>
      <c r="F167" s="231">
        <v>0</v>
      </c>
      <c r="G167" s="231">
        <v>0</v>
      </c>
      <c r="H167" s="231">
        <v>0</v>
      </c>
      <c r="I167" s="231">
        <v>0</v>
      </c>
      <c r="J167" s="231">
        <v>0</v>
      </c>
      <c r="K167" s="231">
        <v>0</v>
      </c>
      <c r="L167" s="231">
        <v>100</v>
      </c>
      <c r="M167" s="231">
        <v>0</v>
      </c>
      <c r="N167" s="231">
        <v>0</v>
      </c>
      <c r="O167" s="231">
        <v>0</v>
      </c>
      <c r="P167" s="231">
        <v>0</v>
      </c>
      <c r="Q167" s="231">
        <v>0</v>
      </c>
      <c r="R167" s="231">
        <v>0</v>
      </c>
      <c r="S167" s="231">
        <v>0</v>
      </c>
      <c r="T167" s="231">
        <v>0</v>
      </c>
      <c r="U167" s="231">
        <v>0</v>
      </c>
      <c r="V167" s="231">
        <v>0</v>
      </c>
      <c r="W167" s="231">
        <v>100</v>
      </c>
    </row>
    <row r="168" spans="1:23" x14ac:dyDescent="0.25">
      <c r="A168" s="229"/>
      <c r="B168" s="236" t="s">
        <v>273</v>
      </c>
      <c r="C168" s="231">
        <v>0</v>
      </c>
      <c r="D168" s="231">
        <v>0</v>
      </c>
      <c r="E168" s="231">
        <v>0</v>
      </c>
      <c r="F168" s="231">
        <v>0</v>
      </c>
      <c r="G168" s="231">
        <v>0</v>
      </c>
      <c r="H168" s="231">
        <v>0</v>
      </c>
      <c r="I168" s="231">
        <v>0</v>
      </c>
      <c r="J168" s="231">
        <v>41.5</v>
      </c>
      <c r="K168" s="231">
        <v>0</v>
      </c>
      <c r="L168" s="231">
        <v>377</v>
      </c>
      <c r="M168" s="231">
        <v>0</v>
      </c>
      <c r="N168" s="231">
        <v>0</v>
      </c>
      <c r="O168" s="231">
        <v>0</v>
      </c>
      <c r="P168" s="231">
        <v>0</v>
      </c>
      <c r="Q168" s="231">
        <v>0</v>
      </c>
      <c r="R168" s="231">
        <v>0</v>
      </c>
      <c r="S168" s="231">
        <v>0</v>
      </c>
      <c r="T168" s="231">
        <v>0</v>
      </c>
      <c r="U168" s="231">
        <v>0</v>
      </c>
      <c r="V168" s="231">
        <v>0</v>
      </c>
      <c r="W168" s="231">
        <v>418.5</v>
      </c>
    </row>
    <row r="169" spans="1:23" x14ac:dyDescent="0.25">
      <c r="A169" s="229"/>
      <c r="B169" s="236" t="s">
        <v>274</v>
      </c>
      <c r="C169" s="231">
        <v>0</v>
      </c>
      <c r="D169" s="231">
        <v>0</v>
      </c>
      <c r="E169" s="231">
        <v>0</v>
      </c>
      <c r="F169" s="231">
        <v>0</v>
      </c>
      <c r="G169" s="231">
        <v>0</v>
      </c>
      <c r="H169" s="231">
        <v>0</v>
      </c>
      <c r="I169" s="231">
        <v>0</v>
      </c>
      <c r="J169" s="231">
        <v>0</v>
      </c>
      <c r="K169" s="231">
        <v>160</v>
      </c>
      <c r="L169" s="231">
        <v>0</v>
      </c>
      <c r="M169" s="231">
        <v>0</v>
      </c>
      <c r="N169" s="231">
        <v>0</v>
      </c>
      <c r="O169" s="231">
        <v>0</v>
      </c>
      <c r="P169" s="231">
        <v>0</v>
      </c>
      <c r="Q169" s="231">
        <v>0</v>
      </c>
      <c r="R169" s="231">
        <v>0</v>
      </c>
      <c r="S169" s="231">
        <v>0</v>
      </c>
      <c r="T169" s="231">
        <v>0</v>
      </c>
      <c r="U169" s="231">
        <v>0</v>
      </c>
      <c r="V169" s="231">
        <v>0</v>
      </c>
      <c r="W169" s="231">
        <v>160</v>
      </c>
    </row>
    <row r="170" spans="1:23" x14ac:dyDescent="0.25">
      <c r="A170" s="229"/>
      <c r="B170" s="236" t="s">
        <v>275</v>
      </c>
      <c r="C170" s="231">
        <v>0</v>
      </c>
      <c r="D170" s="231">
        <v>0</v>
      </c>
      <c r="E170" s="231">
        <v>0</v>
      </c>
      <c r="F170" s="231">
        <v>0</v>
      </c>
      <c r="G170" s="231">
        <v>0</v>
      </c>
      <c r="H170" s="231">
        <v>600</v>
      </c>
      <c r="I170" s="231">
        <v>0</v>
      </c>
      <c r="J170" s="231">
        <v>0</v>
      </c>
      <c r="K170" s="231">
        <v>0</v>
      </c>
      <c r="L170" s="231">
        <v>0</v>
      </c>
      <c r="M170" s="231">
        <v>0</v>
      </c>
      <c r="N170" s="231">
        <v>0</v>
      </c>
      <c r="O170" s="231">
        <v>0</v>
      </c>
      <c r="P170" s="231">
        <v>0</v>
      </c>
      <c r="Q170" s="231">
        <v>0</v>
      </c>
      <c r="R170" s="231">
        <v>0</v>
      </c>
      <c r="S170" s="231">
        <v>0</v>
      </c>
      <c r="T170" s="231">
        <v>0</v>
      </c>
      <c r="U170" s="231">
        <v>0</v>
      </c>
      <c r="V170" s="231">
        <v>0</v>
      </c>
      <c r="W170" s="231">
        <v>600</v>
      </c>
    </row>
    <row r="171" spans="1:23" ht="15.75" thickBot="1" x14ac:dyDescent="0.3">
      <c r="A171" s="229"/>
      <c r="B171" s="236" t="s">
        <v>276</v>
      </c>
      <c r="C171" s="231">
        <v>0</v>
      </c>
      <c r="D171" s="231">
        <v>0</v>
      </c>
      <c r="E171" s="231">
        <v>0</v>
      </c>
      <c r="F171" s="231">
        <v>0</v>
      </c>
      <c r="G171" s="231">
        <v>52.5</v>
      </c>
      <c r="H171" s="231">
        <v>0</v>
      </c>
      <c r="I171" s="231">
        <v>0</v>
      </c>
      <c r="J171" s="231">
        <v>0</v>
      </c>
      <c r="K171" s="231">
        <v>0</v>
      </c>
      <c r="L171" s="231">
        <v>0</v>
      </c>
      <c r="M171" s="231">
        <v>0</v>
      </c>
      <c r="N171" s="231">
        <v>0</v>
      </c>
      <c r="O171" s="231">
        <v>0</v>
      </c>
      <c r="P171" s="231">
        <v>0</v>
      </c>
      <c r="Q171" s="231">
        <v>0</v>
      </c>
      <c r="R171" s="231">
        <v>0</v>
      </c>
      <c r="S171" s="231">
        <v>0</v>
      </c>
      <c r="T171" s="231">
        <v>0</v>
      </c>
      <c r="U171" s="231">
        <v>0</v>
      </c>
      <c r="V171" s="231">
        <v>0</v>
      </c>
      <c r="W171" s="231">
        <v>52.5</v>
      </c>
    </row>
    <row r="172" spans="1:23" ht="15.75" thickBot="1" x14ac:dyDescent="0.3">
      <c r="A172" s="229"/>
      <c r="B172" s="237" t="s">
        <v>229</v>
      </c>
      <c r="C172" s="238">
        <v>0</v>
      </c>
      <c r="D172" s="238">
        <v>0</v>
      </c>
      <c r="E172" s="238">
        <v>0</v>
      </c>
      <c r="F172" s="238">
        <v>0</v>
      </c>
      <c r="G172" s="238">
        <v>52.5</v>
      </c>
      <c r="H172" s="238">
        <v>600</v>
      </c>
      <c r="I172" s="238">
        <v>0</v>
      </c>
      <c r="J172" s="238">
        <v>41.5</v>
      </c>
      <c r="K172" s="238">
        <v>160</v>
      </c>
      <c r="L172" s="238">
        <v>477</v>
      </c>
      <c r="M172" s="238">
        <v>0</v>
      </c>
      <c r="N172" s="238">
        <v>0</v>
      </c>
      <c r="O172" s="238">
        <v>0</v>
      </c>
      <c r="P172" s="238">
        <v>0</v>
      </c>
      <c r="Q172" s="238">
        <v>0</v>
      </c>
      <c r="R172" s="238">
        <v>0</v>
      </c>
      <c r="S172" s="238">
        <v>0</v>
      </c>
      <c r="T172" s="238">
        <v>0</v>
      </c>
      <c r="U172" s="238">
        <v>0</v>
      </c>
      <c r="V172" s="238">
        <v>0</v>
      </c>
      <c r="W172" s="238">
        <v>1331</v>
      </c>
    </row>
    <row r="173" spans="1:23" ht="15.75" thickBot="1" x14ac:dyDescent="0.3">
      <c r="A173" s="255"/>
      <c r="B173" s="256" t="s">
        <v>230</v>
      </c>
      <c r="C173" s="257">
        <v>339.93036401704666</v>
      </c>
      <c r="D173" s="258">
        <v>214.70036550943041</v>
      </c>
      <c r="E173" s="258">
        <v>360.13417910796824</v>
      </c>
      <c r="F173" s="258">
        <v>379.05074291888053</v>
      </c>
      <c r="G173" s="258">
        <v>658.38261966452774</v>
      </c>
      <c r="H173" s="258">
        <v>2155.6861009491472</v>
      </c>
      <c r="I173" s="258">
        <v>231.88325862148886</v>
      </c>
      <c r="J173" s="258">
        <v>382.35989523124493</v>
      </c>
      <c r="K173" s="258">
        <v>908.02219960375442</v>
      </c>
      <c r="L173" s="258">
        <v>1360.2308524590164</v>
      </c>
      <c r="M173" s="258">
        <v>287.53033606557381</v>
      </c>
      <c r="N173" s="258">
        <v>267.83289617486344</v>
      </c>
      <c r="O173" s="258">
        <v>354.21535519125678</v>
      </c>
      <c r="P173" s="258">
        <v>437.64824519654502</v>
      </c>
      <c r="Q173" s="258">
        <v>490.45184190966455</v>
      </c>
      <c r="R173" s="258">
        <v>469.01031817380573</v>
      </c>
      <c r="S173" s="258">
        <v>936.1088419616076</v>
      </c>
      <c r="T173" s="258">
        <v>2762.0150163851563</v>
      </c>
      <c r="U173" s="258">
        <v>935.81656266409925</v>
      </c>
      <c r="V173" s="258">
        <v>1456.9540826162495</v>
      </c>
      <c r="W173" s="259">
        <v>15387.964074421325</v>
      </c>
    </row>
    <row r="174" spans="1:23" ht="15.75" thickTop="1" x14ac:dyDescent="0.25">
      <c r="A174" s="260" t="s">
        <v>157</v>
      </c>
      <c r="B174" s="225"/>
      <c r="C174" s="261">
        <v>434.84866401704659</v>
      </c>
      <c r="D174" s="261">
        <v>359.68136550943041</v>
      </c>
      <c r="E174" s="261">
        <v>508.82307910796823</v>
      </c>
      <c r="F174" s="261">
        <v>549.80304291888058</v>
      </c>
      <c r="G174" s="261">
        <v>3360.9008196645277</v>
      </c>
      <c r="H174" s="261">
        <v>1746.4086009491473</v>
      </c>
      <c r="I174" s="261">
        <v>437.08135862148885</v>
      </c>
      <c r="J174" s="261">
        <v>599.70599523124497</v>
      </c>
      <c r="K174" s="261">
        <v>1629.536333603754</v>
      </c>
      <c r="L174" s="261">
        <v>1591.6059184590165</v>
      </c>
      <c r="M174" s="261">
        <v>2228.4781828655746</v>
      </c>
      <c r="N174" s="261">
        <v>2730.3528961748634</v>
      </c>
      <c r="O174" s="261">
        <v>240.35535519125671</v>
      </c>
      <c r="P174" s="261">
        <v>660.84824519654501</v>
      </c>
      <c r="Q174" s="261">
        <v>713.15184190966443</v>
      </c>
      <c r="R174" s="261">
        <v>643.57031817380562</v>
      </c>
      <c r="S174" s="261">
        <v>1720.0412024976697</v>
      </c>
      <c r="T174" s="261">
        <v>2274.4216008519838</v>
      </c>
      <c r="U174" s="261">
        <v>1190.9384536085483</v>
      </c>
      <c r="V174" s="261">
        <v>1728.1537600356044</v>
      </c>
      <c r="W174" s="261">
        <v>25348.707034588017</v>
      </c>
    </row>
    <row r="175" spans="1:23" x14ac:dyDescent="0.25">
      <c r="B175" t="s">
        <v>277</v>
      </c>
    </row>
  </sheetData>
  <mergeCells count="3">
    <mergeCell ref="B1:W1"/>
    <mergeCell ref="B2:W2"/>
    <mergeCell ref="B3:W3"/>
  </mergeCells>
  <pageMargins left="0.7" right="0.7" top="0.75" bottom="0.75" header="0.3" footer="0.3"/>
  <pageSetup scale="2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4">
    <tabColor rgb="FFFF0000"/>
  </sheetPr>
  <dimension ref="A1:V43"/>
  <sheetViews>
    <sheetView showGridLines="0" view="pageBreakPreview" topLeftCell="A10" zoomScale="80" zoomScaleNormal="90" zoomScaleSheetLayoutView="80" workbookViewId="0">
      <selection activeCell="B32" sqref="B32:F34"/>
    </sheetView>
  </sheetViews>
  <sheetFormatPr defaultColWidth="9.33203125" defaultRowHeight="12" x14ac:dyDescent="0.2"/>
  <cols>
    <col min="1" max="1" width="2.83203125" style="25" customWidth="1"/>
    <col min="2" max="2" width="23" style="25" customWidth="1"/>
    <col min="3" max="6" width="18.83203125" style="25" customWidth="1"/>
    <col min="7" max="7" width="4.6640625" style="25" customWidth="1"/>
    <col min="8" max="8" width="5.83203125" style="25" customWidth="1"/>
    <col min="9" max="9" width="11.6640625" style="177" customWidth="1"/>
    <col min="10" max="10" width="3.5" style="177" customWidth="1"/>
    <col min="11" max="11" width="17.1640625" style="177" customWidth="1"/>
    <col min="12" max="12" width="12.5" style="177" customWidth="1"/>
    <col min="13" max="13" width="11" style="177" customWidth="1"/>
    <col min="14" max="14" width="3.83203125" style="177" customWidth="1"/>
    <col min="15" max="16" width="12.5" style="177" customWidth="1"/>
    <col min="17" max="17" width="3.83203125" style="177" customWidth="1"/>
    <col min="18" max="19" width="12.5" style="177" customWidth="1"/>
    <col min="20" max="20" width="3.33203125" style="177" customWidth="1"/>
    <col min="21" max="22" width="12.5" style="177" customWidth="1"/>
    <col min="23" max="16384" width="9.33203125" style="25"/>
  </cols>
  <sheetData>
    <row r="1" spans="1:22" x14ac:dyDescent="0.2">
      <c r="A1" s="2"/>
      <c r="B1" s="2"/>
      <c r="C1" s="2"/>
      <c r="D1" s="2"/>
      <c r="E1" s="2"/>
      <c r="F1" s="2"/>
      <c r="G1" s="26"/>
      <c r="I1" s="176"/>
      <c r="J1" s="176"/>
    </row>
    <row r="2" spans="1:22" x14ac:dyDescent="0.2">
      <c r="A2" s="2"/>
      <c r="B2" s="2" t="s">
        <v>18</v>
      </c>
      <c r="C2" s="2"/>
      <c r="D2" s="2"/>
      <c r="E2" s="2"/>
      <c r="F2" s="2"/>
      <c r="G2" s="26"/>
      <c r="I2" s="176"/>
      <c r="J2" s="176"/>
    </row>
    <row r="3" spans="1:22" x14ac:dyDescent="0.2">
      <c r="G3" s="26"/>
      <c r="I3" s="176"/>
      <c r="J3" s="176"/>
    </row>
    <row r="4" spans="1:22" x14ac:dyDescent="0.2">
      <c r="A4" s="26"/>
      <c r="B4" s="44" t="s">
        <v>40</v>
      </c>
      <c r="C4" s="26"/>
      <c r="D4" s="26"/>
      <c r="E4" s="26"/>
      <c r="F4" s="26"/>
      <c r="G4" s="26"/>
      <c r="I4" s="178"/>
      <c r="J4" s="178"/>
      <c r="L4" s="179"/>
      <c r="O4" s="179"/>
      <c r="R4" s="179"/>
      <c r="U4" s="179"/>
    </row>
    <row r="5" spans="1:22" x14ac:dyDescent="0.2">
      <c r="A5" s="26"/>
      <c r="B5" s="26"/>
    </row>
    <row r="6" spans="1:22" x14ac:dyDescent="0.2">
      <c r="A6" s="26"/>
      <c r="B6" s="26" t="s">
        <v>29</v>
      </c>
      <c r="C6" s="27" t="s">
        <v>296</v>
      </c>
      <c r="D6" s="27"/>
      <c r="E6" s="27" t="s">
        <v>78</v>
      </c>
      <c r="F6" s="27"/>
      <c r="J6" s="180"/>
      <c r="L6" s="177" t="s">
        <v>105</v>
      </c>
      <c r="O6" s="177" t="s">
        <v>106</v>
      </c>
      <c r="R6" s="177" t="s">
        <v>107</v>
      </c>
      <c r="U6" s="177" t="s">
        <v>108</v>
      </c>
    </row>
    <row r="7" spans="1:22" ht="14.25" x14ac:dyDescent="0.35">
      <c r="A7" s="26"/>
      <c r="B7" s="26" t="s">
        <v>27</v>
      </c>
      <c r="C7" s="28" t="s">
        <v>9</v>
      </c>
      <c r="D7" s="28" t="s">
        <v>10</v>
      </c>
      <c r="E7" s="28" t="s">
        <v>9</v>
      </c>
      <c r="F7" s="28" t="s">
        <v>10</v>
      </c>
      <c r="H7" s="46"/>
      <c r="I7" s="181" t="s">
        <v>110</v>
      </c>
      <c r="J7" s="182"/>
      <c r="K7" s="183"/>
      <c r="L7" s="183" t="s">
        <v>109</v>
      </c>
      <c r="M7" s="183"/>
      <c r="O7" s="183" t="s">
        <v>109</v>
      </c>
      <c r="R7" s="183" t="s">
        <v>109</v>
      </c>
      <c r="U7" s="183" t="s">
        <v>109</v>
      </c>
    </row>
    <row r="8" spans="1:22" x14ac:dyDescent="0.2">
      <c r="A8" s="29"/>
      <c r="B8" s="30"/>
      <c r="C8" s="31"/>
      <c r="D8" s="31"/>
      <c r="E8" s="31"/>
      <c r="F8" s="31"/>
      <c r="H8" s="52"/>
      <c r="I8" s="184"/>
      <c r="J8" s="185"/>
      <c r="L8" s="186"/>
      <c r="O8" s="186"/>
      <c r="R8" s="186"/>
      <c r="U8" s="186"/>
    </row>
    <row r="9" spans="1:22" hidden="1" x14ac:dyDescent="0.2">
      <c r="A9" s="29"/>
      <c r="B9" s="30"/>
      <c r="C9" s="31"/>
      <c r="D9" s="31"/>
      <c r="E9" s="31"/>
      <c r="F9" s="31"/>
      <c r="H9" s="52"/>
      <c r="I9" s="184"/>
      <c r="J9" s="185"/>
      <c r="L9" s="186"/>
      <c r="O9" s="186"/>
      <c r="R9" s="186"/>
      <c r="U9" s="186"/>
    </row>
    <row r="10" spans="1:22" x14ac:dyDescent="0.2">
      <c r="A10" s="29"/>
      <c r="B10" s="30">
        <f>[22]SourceEnergy!$R$20</f>
        <v>2023</v>
      </c>
      <c r="C10" s="31">
        <f>INDEX([22]SourceEnergy!$S$20:$T$40,MATCH($B10,[22]SourceEnergy!$R$20:$R$40,0),MATCH(C$7,[22]SourceEnergy!$S$12:$T$12,0))/10</f>
        <v>2.7561172103305402</v>
      </c>
      <c r="D10" s="31">
        <f>INDEX([22]SourceEnergy!$S$20:$T$40,MATCH($B10,[22]SourceEnergy!$R$20:$R$40,0),MATCH(D$7,[22]SourceEnergy!$S$12:$T$12,0))/10</f>
        <v>5.3055832900578865</v>
      </c>
      <c r="E10" s="31">
        <f>INDEX([22]SourceEnergy!$U$20:$V$40,MATCH($B10,[22]SourceEnergy!$R$20:$R$40,0),MATCH(E$7,[22]SourceEnergy!$U$12:$V$12,0))/10</f>
        <v>2.8346086176311514</v>
      </c>
      <c r="F10" s="31">
        <f>INDEX([22]SourceEnergy!$U$20:$V$40,MATCH($B10,[22]SourceEnergy!$R$20:$R$40,0),MATCH(F$7,[22]SourceEnergy!$U$12:$V$12,0))/10</f>
        <v>2.6241654670061401</v>
      </c>
      <c r="H10" s="52"/>
      <c r="I10" s="184">
        <v>1</v>
      </c>
      <c r="J10" s="185"/>
      <c r="L10" s="200">
        <f>C10*1*$I10</f>
        <v>2.7561172103305402</v>
      </c>
      <c r="M10" s="201">
        <f t="shared" ref="M10" si="0">M$34*$I10</f>
        <v>2.8455543897343536</v>
      </c>
      <c r="O10" s="200">
        <f>D10*1*$I10</f>
        <v>5.3055832900578865</v>
      </c>
      <c r="P10" s="201">
        <f t="shared" ref="P10" si="1">P$34*$I10</f>
        <v>4.7891642571760817</v>
      </c>
      <c r="R10" s="200">
        <f>E10*1*$I10</f>
        <v>2.8346086176311514</v>
      </c>
      <c r="S10" s="201">
        <f t="shared" ref="S10" si="2">S$34*$I10</f>
        <v>3.1190899987529304</v>
      </c>
      <c r="U10" s="200">
        <f>F10*1*$I10</f>
        <v>2.6241654670061401</v>
      </c>
      <c r="V10" s="201">
        <f t="shared" ref="V10" si="3">V$34*$I10</f>
        <v>3.8798354727822999</v>
      </c>
    </row>
    <row r="11" spans="1:22" x14ac:dyDescent="0.2">
      <c r="A11" s="29"/>
      <c r="B11" s="30">
        <f t="shared" ref="B11:B27" si="4">B10+1</f>
        <v>2024</v>
      </c>
      <c r="C11" s="31">
        <f>INDEX([22]SourceEnergy!$S$20:$T$45,MATCH($B11,[22]SourceEnergy!$R$20:$R$45,0),MATCH(C$7,[22]SourceEnergy!$S$12:$T$12,0))/10</f>
        <v>2.7735893830068408</v>
      </c>
      <c r="D11" s="31">
        <f>INDEX([22]SourceEnergy!$S$20:$T$45,MATCH($B11,[22]SourceEnergy!$R$20:$R$45,0),MATCH(D$7,[22]SourceEnergy!$S$12:$T$12,0))/10</f>
        <v>6.2357759648594762</v>
      </c>
      <c r="E11" s="31">
        <f>INDEX([22]SourceEnergy!$U$20:$V$45,MATCH($B11,[22]SourceEnergy!$R$20:$R$45,0),MATCH(E$7,[22]SourceEnergy!$U$12:$V$12,0))/10</f>
        <v>2.8428464968195302</v>
      </c>
      <c r="F11" s="31">
        <f>INDEX([22]SourceEnergy!$U$20:$V$45,MATCH($B11,[22]SourceEnergy!$R$20:$R$45,0),MATCH(F$7,[22]SourceEnergy!$U$12:$V$12,0))/10</f>
        <v>2.7069633940758977</v>
      </c>
      <c r="H11" s="52"/>
      <c r="I11" s="185">
        <f>I10-0.005</f>
        <v>0.995</v>
      </c>
      <c r="J11" s="185"/>
      <c r="L11" s="200">
        <f t="shared" ref="L11:L27" si="5">C11*1*$I11</f>
        <v>2.7597214360918065</v>
      </c>
      <c r="M11" s="201">
        <f>M$34*$I11</f>
        <v>2.831326617785682</v>
      </c>
      <c r="O11" s="200">
        <f t="shared" ref="O11:O27" si="6">D11*1*$I11</f>
        <v>6.2045970850351786</v>
      </c>
      <c r="P11" s="201">
        <f>P$34*$I11</f>
        <v>4.7652184358902012</v>
      </c>
      <c r="R11" s="200">
        <f t="shared" ref="R11:R27" si="7">E11*1*$I11</f>
        <v>2.8286322643354325</v>
      </c>
      <c r="S11" s="201">
        <f>S$34*$I11</f>
        <v>3.1034945487591656</v>
      </c>
      <c r="U11" s="200">
        <f t="shared" ref="U11:U27" si="8">F11*1*$I11</f>
        <v>2.6934285771055184</v>
      </c>
      <c r="V11" s="201">
        <f>V$34*$I11</f>
        <v>3.8604362954183884</v>
      </c>
    </row>
    <row r="12" spans="1:22" x14ac:dyDescent="0.2">
      <c r="A12" s="29"/>
      <c r="B12" s="30">
        <f t="shared" si="4"/>
        <v>2025</v>
      </c>
      <c r="C12" s="31">
        <f>INDEX([22]SourceEnergy!$S$20:$T$45,MATCH($B12,[22]SourceEnergy!$R$20:$R$45,0),MATCH(C$7,[22]SourceEnergy!$S$12:$T$12,0))/10</f>
        <v>1.5617996179163005</v>
      </c>
      <c r="D12" s="31">
        <f>INDEX([22]SourceEnergy!$S$20:$T$45,MATCH($B12,[22]SourceEnergy!$R$20:$R$45,0),MATCH(D$7,[22]SourceEnergy!$S$12:$T$12,0))/10</f>
        <v>4.9452723930551938</v>
      </c>
      <c r="E12" s="31">
        <f>INDEX([22]SourceEnergy!$U$20:$V$45,MATCH($B12,[22]SourceEnergy!$R$20:$R$45,0),MATCH(E$7,[22]SourceEnergy!$U$12:$V$12,0))/10</f>
        <v>1.8382082227715819</v>
      </c>
      <c r="F12" s="31">
        <f>INDEX([22]SourceEnergy!$U$20:$V$45,MATCH($B12,[22]SourceEnergy!$R$20:$R$45,0),MATCH(F$7,[22]SourceEnergy!$U$12:$V$12,0))/10</f>
        <v>2.7101185181374645</v>
      </c>
      <c r="H12" s="52"/>
      <c r="I12" s="185">
        <f t="shared" ref="I12:I29" si="9">I11-0.005</f>
        <v>0.99</v>
      </c>
      <c r="J12" s="185"/>
      <c r="L12" s="200">
        <f t="shared" si="5"/>
        <v>1.5461816217371376</v>
      </c>
      <c r="M12" s="201">
        <f t="shared" ref="M12:M29" si="10">M$34*$I12</f>
        <v>2.8170988458370099</v>
      </c>
      <c r="O12" s="200">
        <f t="shared" si="6"/>
        <v>4.8958196691246423</v>
      </c>
      <c r="P12" s="201">
        <f t="shared" ref="P12:P29" si="11">P$34*$I12</f>
        <v>4.7412726146043207</v>
      </c>
      <c r="R12" s="200">
        <f t="shared" si="7"/>
        <v>1.819826140543866</v>
      </c>
      <c r="S12" s="201">
        <f t="shared" ref="S12:S29" si="12">S$34*$I12</f>
        <v>3.0878990987654009</v>
      </c>
      <c r="U12" s="200">
        <f t="shared" si="8"/>
        <v>2.6830173329560898</v>
      </c>
      <c r="V12" s="201">
        <f t="shared" ref="V12:V29" si="13">V$34*$I12</f>
        <v>3.8410371180544769</v>
      </c>
    </row>
    <row r="13" spans="1:22" x14ac:dyDescent="0.2">
      <c r="A13" s="29"/>
      <c r="B13" s="313">
        <f t="shared" si="4"/>
        <v>2026</v>
      </c>
      <c r="C13" s="31">
        <f>INDEX([22]SourceEnergy!$S$20:$T$45,MATCH($B13,[22]SourceEnergy!$R$20:$R$45,0),MATCH(C$7,[22]SourceEnergy!$S$12:$T$12,0))/10</f>
        <v>2.3068856476152391</v>
      </c>
      <c r="D13" s="31">
        <f>INDEX([22]SourceEnergy!$S$20:$T$45,MATCH($B13,[22]SourceEnergy!$R$20:$R$45,0),MATCH(D$7,[22]SourceEnergy!$S$12:$T$12,0))/10</f>
        <v>4.6782022168537978</v>
      </c>
      <c r="E13" s="31">
        <f>INDEX([22]SourceEnergy!$U$20:$V$45,MATCH($B13,[22]SourceEnergy!$R$20:$R$45,0),MATCH(E$7,[22]SourceEnergy!$U$12:$V$12,0))/10</f>
        <v>2.4078173854209468</v>
      </c>
      <c r="F13" s="31">
        <f>INDEX([22]SourceEnergy!$U$20:$V$45,MATCH($B13,[22]SourceEnergy!$R$20:$R$45,0),MATCH(F$7,[22]SourceEnergy!$U$12:$V$12,0))/10</f>
        <v>3.1884937445177579</v>
      </c>
      <c r="H13" s="52"/>
      <c r="I13" s="185">
        <f t="shared" si="9"/>
        <v>0.98499999999999999</v>
      </c>
      <c r="J13" s="185"/>
      <c r="L13" s="200">
        <f t="shared" si="5"/>
        <v>2.2722823629010103</v>
      </c>
      <c r="M13" s="201">
        <f t="shared" si="10"/>
        <v>2.8028710738883382</v>
      </c>
      <c r="O13" s="200">
        <f t="shared" si="6"/>
        <v>4.6080291836009906</v>
      </c>
      <c r="P13" s="201">
        <f t="shared" si="11"/>
        <v>4.7173267933184402</v>
      </c>
      <c r="R13" s="200">
        <f t="shared" si="7"/>
        <v>2.3717001246396325</v>
      </c>
      <c r="S13" s="201">
        <f t="shared" si="12"/>
        <v>3.0723036487716362</v>
      </c>
      <c r="U13" s="200">
        <f t="shared" si="8"/>
        <v>3.1406663383499915</v>
      </c>
      <c r="V13" s="201">
        <f t="shared" si="13"/>
        <v>3.8216379406905654</v>
      </c>
    </row>
    <row r="14" spans="1:22" x14ac:dyDescent="0.2">
      <c r="A14" s="29"/>
      <c r="B14" s="30">
        <f t="shared" si="4"/>
        <v>2027</v>
      </c>
      <c r="C14" s="31">
        <f>INDEX([22]SourceEnergy!$S$20:$T$45,MATCH($B14,[22]SourceEnergy!$R$20:$R$45,0),MATCH(C$7,[22]SourceEnergy!$S$12:$T$12,0))/10</f>
        <v>2.8464914303714273</v>
      </c>
      <c r="D14" s="31">
        <f>INDEX([22]SourceEnergy!$S$20:$T$45,MATCH($B14,[22]SourceEnergy!$R$20:$R$45,0),MATCH(D$7,[22]SourceEnergy!$S$12:$T$12,0))/10</f>
        <v>3.7635340119057501</v>
      </c>
      <c r="E14" s="31">
        <f>INDEX([22]SourceEnergy!$U$20:$V$45,MATCH($B14,[22]SourceEnergy!$R$20:$R$45,0),MATCH(E$7,[22]SourceEnergy!$U$12:$V$12,0))/10</f>
        <v>2.9409847824502382</v>
      </c>
      <c r="F14" s="31">
        <f>INDEX([22]SourceEnergy!$U$20:$V$45,MATCH($B14,[22]SourceEnergy!$R$20:$R$45,0),MATCH(F$7,[22]SourceEnergy!$U$12:$V$12,0))/10</f>
        <v>3.5184261207478267</v>
      </c>
      <c r="H14" s="52"/>
      <c r="I14" s="185">
        <f t="shared" si="9"/>
        <v>0.98</v>
      </c>
      <c r="J14" s="185"/>
      <c r="L14" s="200">
        <f t="shared" si="5"/>
        <v>2.7895616017639986</v>
      </c>
      <c r="M14" s="201">
        <f t="shared" si="10"/>
        <v>2.7886433019396666</v>
      </c>
      <c r="O14" s="200">
        <f t="shared" si="6"/>
        <v>3.6882633316676352</v>
      </c>
      <c r="P14" s="201">
        <f t="shared" si="11"/>
        <v>4.6933809720325597</v>
      </c>
      <c r="R14" s="200">
        <f t="shared" si="7"/>
        <v>2.8821650868012334</v>
      </c>
      <c r="S14" s="201">
        <f t="shared" si="12"/>
        <v>3.0567081987778715</v>
      </c>
      <c r="U14" s="200">
        <f t="shared" si="8"/>
        <v>3.4480575983328703</v>
      </c>
      <c r="V14" s="201">
        <f t="shared" si="13"/>
        <v>3.8022387633266539</v>
      </c>
    </row>
    <row r="15" spans="1:22" x14ac:dyDescent="0.2">
      <c r="A15" s="29"/>
      <c r="B15" s="30">
        <f t="shared" si="4"/>
        <v>2028</v>
      </c>
      <c r="C15" s="31">
        <f>INDEX([22]SourceEnergy!$S$20:$T$45,MATCH($B15,[22]SourceEnergy!$R$20:$R$45,0),MATCH(C$7,[22]SourceEnergy!$S$12:$T$12,0))/10</f>
        <v>3.0458141689086888</v>
      </c>
      <c r="D15" s="31">
        <f>INDEX([22]SourceEnergy!$S$20:$T$45,MATCH($B15,[22]SourceEnergy!$R$20:$R$45,0),MATCH(D$7,[22]SourceEnergy!$S$12:$T$12,0))/10</f>
        <v>4.2415112660694057</v>
      </c>
      <c r="E15" s="31">
        <f>INDEX([22]SourceEnergy!$U$20:$V$45,MATCH($B15,[22]SourceEnergy!$R$20:$R$45,0),MATCH(E$7,[22]SourceEnergy!$U$12:$V$12,0))/10</f>
        <v>3.219755931709293</v>
      </c>
      <c r="F15" s="31">
        <f>INDEX([22]SourceEnergy!$U$20:$V$45,MATCH($B15,[22]SourceEnergy!$R$20:$R$45,0),MATCH(F$7,[22]SourceEnergy!$U$12:$V$12,0))/10</f>
        <v>4.0488709058220023</v>
      </c>
      <c r="H15" s="52"/>
      <c r="I15" s="185">
        <f t="shared" si="9"/>
        <v>0.97499999999999998</v>
      </c>
      <c r="J15" s="185"/>
      <c r="L15" s="200">
        <f t="shared" si="5"/>
        <v>2.9696688146859715</v>
      </c>
      <c r="M15" s="201">
        <f t="shared" si="10"/>
        <v>2.7744155299909945</v>
      </c>
      <c r="O15" s="200">
        <f t="shared" si="6"/>
        <v>4.1354734844176706</v>
      </c>
      <c r="P15" s="201">
        <f t="shared" si="11"/>
        <v>4.66943515074668</v>
      </c>
      <c r="R15" s="200">
        <f t="shared" si="7"/>
        <v>3.1392620334165606</v>
      </c>
      <c r="S15" s="201">
        <f t="shared" si="12"/>
        <v>3.0411127487841072</v>
      </c>
      <c r="U15" s="200">
        <f t="shared" si="8"/>
        <v>3.9476491331764523</v>
      </c>
      <c r="V15" s="201">
        <f t="shared" si="13"/>
        <v>3.7828395859627424</v>
      </c>
    </row>
    <row r="16" spans="1:22" x14ac:dyDescent="0.2">
      <c r="A16" s="29"/>
      <c r="B16" s="30">
        <f t="shared" si="4"/>
        <v>2029</v>
      </c>
      <c r="C16" s="31">
        <f>INDEX([22]SourceEnergy!$S$20:$T$45,MATCH($B16,[22]SourceEnergy!$R$20:$R$45,0),MATCH(C$7,[22]SourceEnergy!$S$12:$T$12,0))/10</f>
        <v>3.1889091228611961</v>
      </c>
      <c r="D16" s="31">
        <f>INDEX([22]SourceEnergy!$S$20:$T$45,MATCH($B16,[22]SourceEnergy!$R$20:$R$45,0),MATCH(D$7,[22]SourceEnergy!$S$12:$T$12,0))/10</f>
        <v>4.4610055360744072</v>
      </c>
      <c r="E16" s="31">
        <f>INDEX([22]SourceEnergy!$U$20:$V$45,MATCH($B16,[22]SourceEnergy!$R$20:$R$45,0),MATCH(E$7,[22]SourceEnergy!$U$12:$V$12,0))/10</f>
        <v>3.4374115084101939</v>
      </c>
      <c r="F16" s="31">
        <f>INDEX([22]SourceEnergy!$U$20:$V$45,MATCH($B16,[22]SourceEnergy!$R$20:$R$45,0),MATCH(F$7,[22]SourceEnergy!$U$12:$V$12,0))/10</f>
        <v>4.260590795021356</v>
      </c>
      <c r="H16" s="52"/>
      <c r="I16" s="185">
        <f t="shared" si="9"/>
        <v>0.97</v>
      </c>
      <c r="J16" s="185"/>
      <c r="L16" s="200">
        <f t="shared" si="5"/>
        <v>3.0932418491753602</v>
      </c>
      <c r="M16" s="201">
        <f t="shared" si="10"/>
        <v>2.7601877580423229</v>
      </c>
      <c r="O16" s="200">
        <f t="shared" si="6"/>
        <v>4.3271753699921751</v>
      </c>
      <c r="P16" s="201">
        <f t="shared" si="11"/>
        <v>4.6454893294607995</v>
      </c>
      <c r="R16" s="200">
        <f t="shared" si="7"/>
        <v>3.3342891631578881</v>
      </c>
      <c r="S16" s="201">
        <f t="shared" si="12"/>
        <v>3.0255172987903425</v>
      </c>
      <c r="U16" s="200">
        <f t="shared" si="8"/>
        <v>4.1327730711707149</v>
      </c>
      <c r="V16" s="201">
        <f t="shared" si="13"/>
        <v>3.7634404085988309</v>
      </c>
    </row>
    <row r="17" spans="1:22" x14ac:dyDescent="0.2">
      <c r="A17" s="29"/>
      <c r="B17" s="30">
        <f t="shared" si="4"/>
        <v>2030</v>
      </c>
      <c r="C17" s="31">
        <f>INDEX([22]SourceEnergy!$S$20:$T$45,MATCH($B17,[22]SourceEnergy!$R$20:$R$45,0),MATCH(C$7,[22]SourceEnergy!$S$12:$T$12,0))/10</f>
        <v>3.1953276341252703</v>
      </c>
      <c r="D17" s="31">
        <f>INDEX([22]SourceEnergy!$S$20:$T$45,MATCH($B17,[22]SourceEnergy!$R$20:$R$45,0),MATCH(D$7,[22]SourceEnergy!$S$12:$T$12,0))/10</f>
        <v>4.6270741595093634</v>
      </c>
      <c r="E17" s="31">
        <f>INDEX([22]SourceEnergy!$U$20:$V$45,MATCH($B17,[22]SourceEnergy!$R$20:$R$45,0),MATCH(E$7,[22]SourceEnergy!$U$12:$V$12,0))/10</f>
        <v>3.6708595662105643</v>
      </c>
      <c r="F17" s="31">
        <f>INDEX([22]SourceEnergy!$U$20:$V$45,MATCH($B17,[22]SourceEnergy!$R$20:$R$45,0),MATCH(F$7,[22]SourceEnergy!$U$12:$V$12,0))/10</f>
        <v>4.4668670021399191</v>
      </c>
      <c r="H17" s="52"/>
      <c r="I17" s="185">
        <f t="shared" si="9"/>
        <v>0.96499999999999997</v>
      </c>
      <c r="J17" s="185"/>
      <c r="L17" s="200">
        <f t="shared" si="5"/>
        <v>3.0834911669308855</v>
      </c>
      <c r="M17" s="201">
        <f t="shared" si="10"/>
        <v>2.7459599860936512</v>
      </c>
      <c r="O17" s="200">
        <f t="shared" si="6"/>
        <v>4.4651265639265354</v>
      </c>
      <c r="P17" s="201">
        <f t="shared" si="11"/>
        <v>4.621543508174919</v>
      </c>
      <c r="R17" s="200">
        <f t="shared" si="7"/>
        <v>3.5423794813931946</v>
      </c>
      <c r="S17" s="201">
        <f t="shared" si="12"/>
        <v>3.0099218487965778</v>
      </c>
      <c r="U17" s="200">
        <f t="shared" si="8"/>
        <v>4.3105266570650214</v>
      </c>
      <c r="V17" s="201">
        <f t="shared" si="13"/>
        <v>3.7440412312349194</v>
      </c>
    </row>
    <row r="18" spans="1:22" x14ac:dyDescent="0.2">
      <c r="A18" s="29"/>
      <c r="B18" s="30">
        <f t="shared" si="4"/>
        <v>2031</v>
      </c>
      <c r="C18" s="31">
        <f>INDEX([22]SourceEnergy!$S$20:$T$45,MATCH($B18,[22]SourceEnergy!$R$20:$R$45,0),MATCH(C$7,[22]SourceEnergy!$S$12:$T$12,0))/10</f>
        <v>3.1606750376879935</v>
      </c>
      <c r="D18" s="31">
        <f>INDEX([22]SourceEnergy!$S$20:$T$45,MATCH($B18,[22]SourceEnergy!$R$20:$R$45,0),MATCH(D$7,[22]SourceEnergy!$S$12:$T$12,0))/10</f>
        <v>4.768993085800223</v>
      </c>
      <c r="E18" s="31">
        <f>INDEX([22]SourceEnergy!$U$20:$V$45,MATCH($B18,[22]SourceEnergy!$R$20:$R$45,0),MATCH(E$7,[22]SourceEnergy!$U$12:$V$12,0))/10</f>
        <v>3.660183962738679</v>
      </c>
      <c r="F18" s="31">
        <f>INDEX([22]SourceEnergy!$U$20:$V$45,MATCH($B18,[22]SourceEnergy!$R$20:$R$45,0),MATCH(F$7,[22]SourceEnergy!$U$12:$V$12,0))/10</f>
        <v>4.5767176620784511</v>
      </c>
      <c r="H18" s="52"/>
      <c r="I18" s="185">
        <f t="shared" si="9"/>
        <v>0.96</v>
      </c>
      <c r="J18" s="185"/>
      <c r="L18" s="200">
        <f t="shared" si="5"/>
        <v>3.0342480361804736</v>
      </c>
      <c r="M18" s="201">
        <f t="shared" si="10"/>
        <v>2.7317322141449791</v>
      </c>
      <c r="O18" s="200">
        <f t="shared" si="6"/>
        <v>4.5782333623682137</v>
      </c>
      <c r="P18" s="201">
        <f t="shared" si="11"/>
        <v>4.5975976868890385</v>
      </c>
      <c r="R18" s="200">
        <f t="shared" si="7"/>
        <v>3.5137766042291316</v>
      </c>
      <c r="S18" s="201">
        <f t="shared" si="12"/>
        <v>2.994326398802813</v>
      </c>
      <c r="U18" s="200">
        <f t="shared" si="8"/>
        <v>4.3936489555953129</v>
      </c>
      <c r="V18" s="201">
        <f t="shared" si="13"/>
        <v>3.7246420538710079</v>
      </c>
    </row>
    <row r="19" spans="1:22" x14ac:dyDescent="0.2">
      <c r="A19" s="29"/>
      <c r="B19" s="30">
        <f t="shared" si="4"/>
        <v>2032</v>
      </c>
      <c r="C19" s="31">
        <f>INDEX([22]SourceEnergy!$S$20:$T$45,MATCH($B19,[22]SourceEnergy!$R$20:$R$45,0),MATCH(C$7,[22]SourceEnergy!$S$12:$T$12,0))/10</f>
        <v>2.8221793573597767</v>
      </c>
      <c r="D19" s="31">
        <f>INDEX([22]SourceEnergy!$S$20:$T$45,MATCH($B19,[22]SourceEnergy!$R$20:$R$45,0),MATCH(D$7,[22]SourceEnergy!$S$12:$T$12,0))/10</f>
        <v>4.0744888859724622</v>
      </c>
      <c r="E19" s="31">
        <f>INDEX([22]SourceEnergy!$U$20:$V$45,MATCH($B19,[22]SourceEnergy!$R$20:$R$45,0),MATCH(E$7,[22]SourceEnergy!$U$12:$V$12,0))/10</f>
        <v>3.2420883112842453</v>
      </c>
      <c r="F19" s="31">
        <f>INDEX([22]SourceEnergy!$U$20:$V$45,MATCH($B19,[22]SourceEnergy!$R$20:$R$45,0),MATCH(F$7,[22]SourceEnergy!$U$12:$V$12,0))/10</f>
        <v>4.1925288889927277</v>
      </c>
      <c r="H19" s="52"/>
      <c r="I19" s="185">
        <f t="shared" si="9"/>
        <v>0.95499999999999996</v>
      </c>
      <c r="J19" s="185"/>
      <c r="L19" s="200">
        <f t="shared" si="5"/>
        <v>2.6951812862785864</v>
      </c>
      <c r="M19" s="201">
        <f t="shared" si="10"/>
        <v>2.7175044421963075</v>
      </c>
      <c r="O19" s="200">
        <f t="shared" si="6"/>
        <v>3.891136886103701</v>
      </c>
      <c r="P19" s="201">
        <f t="shared" si="11"/>
        <v>4.573651865603158</v>
      </c>
      <c r="R19" s="200">
        <f t="shared" si="7"/>
        <v>3.096194337276454</v>
      </c>
      <c r="S19" s="201">
        <f t="shared" si="12"/>
        <v>2.9787309488090483</v>
      </c>
      <c r="U19" s="200">
        <f t="shared" si="8"/>
        <v>4.0038650889880545</v>
      </c>
      <c r="V19" s="201">
        <f t="shared" si="13"/>
        <v>3.7052428765070964</v>
      </c>
    </row>
    <row r="20" spans="1:22" x14ac:dyDescent="0.2">
      <c r="A20" s="29"/>
      <c r="B20" s="30">
        <f t="shared" si="4"/>
        <v>2033</v>
      </c>
      <c r="C20" s="31">
        <f>INDEX([22]SourceEnergy!$S$20:$T$45,MATCH($B20,[22]SourceEnergy!$R$20:$R$45,0),MATCH(C$7,[22]SourceEnergy!$S$12:$T$12,0))/10</f>
        <v>3.0570508441777395</v>
      </c>
      <c r="D20" s="31">
        <f>INDEX([22]SourceEnergy!$S$20:$T$45,MATCH($B20,[22]SourceEnergy!$R$20:$R$45,0),MATCH(D$7,[22]SourceEnergy!$S$12:$T$12,0))/10</f>
        <v>4.1635168141041197</v>
      </c>
      <c r="E20" s="31">
        <f>INDEX([22]SourceEnergy!$U$20:$V$45,MATCH($B20,[22]SourceEnergy!$R$20:$R$45,0),MATCH(E$7,[22]SourceEnergy!$U$12:$V$12,0))/10</f>
        <v>3.6603917790144131</v>
      </c>
      <c r="F20" s="31">
        <f>INDEX([22]SourceEnergy!$U$20:$V$45,MATCH($B20,[22]SourceEnergy!$R$20:$R$45,0),MATCH(F$7,[22]SourceEnergy!$U$12:$V$12,0))/10</f>
        <v>4.9028189269452245</v>
      </c>
      <c r="H20" s="52"/>
      <c r="I20" s="185">
        <f t="shared" si="9"/>
        <v>0.95</v>
      </c>
      <c r="J20" s="185"/>
      <c r="L20" s="200">
        <f t="shared" si="5"/>
        <v>2.9041983019688522</v>
      </c>
      <c r="M20" s="201">
        <f t="shared" si="10"/>
        <v>2.7032766702476358</v>
      </c>
      <c r="O20" s="200">
        <f t="shared" si="6"/>
        <v>3.9553409733989136</v>
      </c>
      <c r="P20" s="201">
        <f t="shared" si="11"/>
        <v>4.5497060443172774</v>
      </c>
      <c r="R20" s="200">
        <f t="shared" si="7"/>
        <v>3.4773721900636922</v>
      </c>
      <c r="S20" s="201">
        <f t="shared" si="12"/>
        <v>2.9631354988152836</v>
      </c>
      <c r="U20" s="200">
        <f t="shared" si="8"/>
        <v>4.6576779805979633</v>
      </c>
      <c r="V20" s="201">
        <f t="shared" si="13"/>
        <v>3.6858436991431849</v>
      </c>
    </row>
    <row r="21" spans="1:22" x14ac:dyDescent="0.2">
      <c r="A21" s="29"/>
      <c r="B21" s="30">
        <f t="shared" si="4"/>
        <v>2034</v>
      </c>
      <c r="C21" s="31">
        <f>INDEX([22]SourceEnergy!$S$20:$T$45,MATCH($B21,[22]SourceEnergy!$R$20:$R$45,0),MATCH(C$7,[22]SourceEnergy!$S$12:$T$12,0))/10</f>
        <v>3.1428870658269425</v>
      </c>
      <c r="D21" s="31">
        <f>INDEX([22]SourceEnergy!$S$20:$T$45,MATCH($B21,[22]SourceEnergy!$R$20:$R$45,0),MATCH(D$7,[22]SourceEnergy!$S$12:$T$12,0))/10</f>
        <v>4.4641912617537693</v>
      </c>
      <c r="E21" s="31">
        <f>INDEX([22]SourceEnergy!$U$20:$V$45,MATCH($B21,[22]SourceEnergy!$R$20:$R$45,0),MATCH(E$7,[22]SourceEnergy!$U$12:$V$12,0))/10</f>
        <v>3.7027243317758414</v>
      </c>
      <c r="F21" s="31">
        <f>INDEX([22]SourceEnergy!$U$20:$V$45,MATCH($B21,[22]SourceEnergy!$R$20:$R$45,0),MATCH(F$7,[22]SourceEnergy!$U$12:$V$12,0))/10</f>
        <v>5.2477870342164321</v>
      </c>
      <c r="H21" s="52"/>
      <c r="I21" s="185">
        <f t="shared" si="9"/>
        <v>0.94499999999999995</v>
      </c>
      <c r="J21" s="185"/>
      <c r="L21" s="200">
        <f t="shared" si="5"/>
        <v>2.9700282772064606</v>
      </c>
      <c r="M21" s="201">
        <f t="shared" si="10"/>
        <v>2.6890488982989642</v>
      </c>
      <c r="O21" s="200">
        <f t="shared" si="6"/>
        <v>4.2186607423573115</v>
      </c>
      <c r="P21" s="201">
        <f t="shared" si="11"/>
        <v>4.5257602230313969</v>
      </c>
      <c r="R21" s="200">
        <f t="shared" si="7"/>
        <v>3.4990744935281701</v>
      </c>
      <c r="S21" s="201">
        <f t="shared" si="12"/>
        <v>2.9475400488215189</v>
      </c>
      <c r="U21" s="200">
        <f t="shared" si="8"/>
        <v>4.959158747334528</v>
      </c>
      <c r="V21" s="201">
        <f t="shared" si="13"/>
        <v>3.6664445217792734</v>
      </c>
    </row>
    <row r="22" spans="1:22" x14ac:dyDescent="0.2">
      <c r="A22" s="29"/>
      <c r="B22" s="30">
        <f t="shared" si="4"/>
        <v>2035</v>
      </c>
      <c r="C22" s="31">
        <f>INDEX([22]SourceEnergy!$S$20:$T$45,MATCH($B22,[22]SourceEnergy!$R$20:$R$45,0),MATCH(C$7,[22]SourceEnergy!$S$12:$T$12,0))/10</f>
        <v>3.2853421515691443</v>
      </c>
      <c r="D22" s="31">
        <f>INDEX([22]SourceEnergy!$S$20:$T$45,MATCH($B22,[22]SourceEnergy!$R$20:$R$45,0),MATCH(D$7,[22]SourceEnergy!$S$12:$T$12,0))/10</f>
        <v>4.7415834631600129</v>
      </c>
      <c r="E22" s="31">
        <f>INDEX([22]SourceEnergy!$U$20:$V$45,MATCH($B22,[22]SourceEnergy!$R$20:$R$45,0),MATCH(E$7,[22]SourceEnergy!$U$12:$V$12,0))/10</f>
        <v>3.6362867067375069</v>
      </c>
      <c r="F22" s="31">
        <f>INDEX([22]SourceEnergy!$U$20:$V$45,MATCH($B22,[22]SourceEnergy!$R$20:$R$45,0),MATCH(F$7,[22]SourceEnergy!$U$12:$V$12,0))/10</f>
        <v>5.0067350656914869</v>
      </c>
      <c r="H22" s="52"/>
      <c r="I22" s="185">
        <f t="shared" si="9"/>
        <v>0.94</v>
      </c>
      <c r="J22" s="185"/>
      <c r="L22" s="200">
        <f t="shared" si="5"/>
        <v>3.0882216224749954</v>
      </c>
      <c r="M22" s="201">
        <f t="shared" si="10"/>
        <v>2.6748211263502921</v>
      </c>
      <c r="O22" s="200">
        <f t="shared" si="6"/>
        <v>4.4570884553704122</v>
      </c>
      <c r="P22" s="201">
        <f t="shared" si="11"/>
        <v>4.5018144017455164</v>
      </c>
      <c r="R22" s="200">
        <f t="shared" si="7"/>
        <v>3.4181095043332563</v>
      </c>
      <c r="S22" s="201">
        <f t="shared" si="12"/>
        <v>2.9319445988277542</v>
      </c>
      <c r="U22" s="200">
        <f t="shared" si="8"/>
        <v>4.7063309617499973</v>
      </c>
      <c r="V22" s="201">
        <f t="shared" si="13"/>
        <v>3.6470453444153619</v>
      </c>
    </row>
    <row r="23" spans="1:22" x14ac:dyDescent="0.2">
      <c r="A23" s="29"/>
      <c r="B23" s="30">
        <f t="shared" si="4"/>
        <v>2036</v>
      </c>
      <c r="C23" s="31">
        <f>INDEX([22]SourceEnergy!$S$20:$T$45,MATCH($B23,[22]SourceEnergy!$R$20:$R$45,0),MATCH(C$7,[22]SourceEnergy!$S$12:$T$12,0))/10</f>
        <v>3.4292217618433156</v>
      </c>
      <c r="D23" s="31">
        <f>INDEX([22]SourceEnergy!$S$20:$T$45,MATCH($B23,[22]SourceEnergy!$R$20:$R$45,0),MATCH(D$7,[22]SourceEnergy!$S$12:$T$12,0))/10</f>
        <v>5.3230689327766232</v>
      </c>
      <c r="E23" s="31">
        <f>INDEX([22]SourceEnergy!$U$20:$V$45,MATCH($B23,[22]SourceEnergy!$R$20:$R$45,0),MATCH(E$7,[22]SourceEnergy!$U$12:$V$12,0))/10</f>
        <v>3.8422476830440155</v>
      </c>
      <c r="F23" s="31">
        <f>INDEX([22]SourceEnergy!$U$20:$V$45,MATCH($B23,[22]SourceEnergy!$R$20:$R$45,0),MATCH(F$7,[22]SourceEnergy!$U$12:$V$12,0))/10</f>
        <v>5.41407849455942</v>
      </c>
      <c r="H23" s="52"/>
      <c r="I23" s="185">
        <f t="shared" si="9"/>
        <v>0.93499999999999994</v>
      </c>
      <c r="J23" s="185"/>
      <c r="L23" s="200">
        <f t="shared" si="5"/>
        <v>3.2063223473234999</v>
      </c>
      <c r="M23" s="201">
        <f t="shared" si="10"/>
        <v>2.6605933544016205</v>
      </c>
      <c r="O23" s="200">
        <f t="shared" si="6"/>
        <v>4.977069452146142</v>
      </c>
      <c r="P23" s="201">
        <f t="shared" si="11"/>
        <v>4.4778685804596359</v>
      </c>
      <c r="R23" s="200">
        <f t="shared" si="7"/>
        <v>3.5925015836461545</v>
      </c>
      <c r="S23" s="201">
        <f t="shared" si="12"/>
        <v>2.9163491488339899</v>
      </c>
      <c r="U23" s="200">
        <f t="shared" si="8"/>
        <v>5.0621633924130576</v>
      </c>
      <c r="V23" s="201">
        <f t="shared" si="13"/>
        <v>3.6276461670514504</v>
      </c>
    </row>
    <row r="24" spans="1:22" x14ac:dyDescent="0.2">
      <c r="A24" s="29"/>
      <c r="B24" s="30">
        <f t="shared" si="4"/>
        <v>2037</v>
      </c>
      <c r="C24" s="31">
        <f>INDEX([22]SourceEnergy!$S$20:$T$45,MATCH($B24,[22]SourceEnergy!$R$20:$R$45,0),MATCH(C$7,[22]SourceEnergy!$S$12:$T$12,0))/10</f>
        <v>3.6860297322069897</v>
      </c>
      <c r="D24" s="31">
        <f>INDEX([22]SourceEnergy!$S$20:$T$45,MATCH($B24,[22]SourceEnergy!$R$20:$R$45,0),MATCH(D$7,[22]SourceEnergy!$S$12:$T$12,0))/10</f>
        <v>5.3500132828956639</v>
      </c>
      <c r="E24" s="31">
        <f>INDEX([22]SourceEnergy!$U$20:$V$45,MATCH($B24,[22]SourceEnergy!$R$20:$R$45,0),MATCH(E$7,[22]SourceEnergy!$U$12:$V$12,0))/10</f>
        <v>4.0603703302418923</v>
      </c>
      <c r="F24" s="31">
        <f>INDEX([22]SourceEnergy!$U$20:$V$45,MATCH($B24,[22]SourceEnergy!$R$20:$R$45,0),MATCH(F$7,[22]SourceEnergy!$U$12:$V$12,0))/10</f>
        <v>5.8173800482121933</v>
      </c>
      <c r="H24" s="52"/>
      <c r="I24" s="185">
        <f t="shared" si="9"/>
        <v>0.92999999999999994</v>
      </c>
      <c r="J24" s="185"/>
      <c r="L24" s="200">
        <f t="shared" si="5"/>
        <v>3.4280076509525004</v>
      </c>
      <c r="M24" s="201">
        <f t="shared" si="10"/>
        <v>2.6463655824529488</v>
      </c>
      <c r="O24" s="200">
        <f t="shared" si="6"/>
        <v>4.9755123530929675</v>
      </c>
      <c r="P24" s="201">
        <f t="shared" si="11"/>
        <v>4.4539227591737554</v>
      </c>
      <c r="R24" s="200">
        <f t="shared" si="7"/>
        <v>3.7761444071249595</v>
      </c>
      <c r="S24" s="201">
        <f t="shared" si="12"/>
        <v>2.9007536988402252</v>
      </c>
      <c r="U24" s="200">
        <f t="shared" si="8"/>
        <v>5.4101634448373392</v>
      </c>
      <c r="V24" s="201">
        <f t="shared" si="13"/>
        <v>3.6082469896875389</v>
      </c>
    </row>
    <row r="25" spans="1:22" x14ac:dyDescent="0.2">
      <c r="A25" s="29"/>
      <c r="B25" s="30">
        <f t="shared" si="4"/>
        <v>2038</v>
      </c>
      <c r="C25" s="31">
        <f>INDEX([22]SourceEnergy!$S$20:$T$45,MATCH($B25,[22]SourceEnergy!$R$20:$R$45,0),MATCH(C$7,[22]SourceEnergy!$S$12:$T$12,0))/10</f>
        <v>3.5485669741254133</v>
      </c>
      <c r="D25" s="31">
        <f>INDEX([22]SourceEnergy!$S$20:$T$45,MATCH($B25,[22]SourceEnergy!$R$20:$R$45,0),MATCH(D$7,[22]SourceEnergy!$S$12:$T$12,0))/10</f>
        <v>5.4085961181699052</v>
      </c>
      <c r="E25" s="31">
        <f>INDEX([22]SourceEnergy!$U$20:$V$45,MATCH($B25,[22]SourceEnergy!$R$20:$R$45,0),MATCH(E$7,[22]SourceEnergy!$U$12:$V$12,0))/10</f>
        <v>3.9527913682283398</v>
      </c>
      <c r="F25" s="31">
        <f>INDEX([22]SourceEnergy!$U$20:$V$45,MATCH($B25,[22]SourceEnergy!$R$20:$R$45,0),MATCH(F$7,[22]SourceEnergy!$U$12:$V$12,0))/10</f>
        <v>5.8214223551791253</v>
      </c>
      <c r="H25" s="52"/>
      <c r="I25" s="185">
        <f t="shared" si="9"/>
        <v>0.92499999999999993</v>
      </c>
      <c r="J25" s="185"/>
      <c r="L25" s="200">
        <f t="shared" si="5"/>
        <v>3.282424451066007</v>
      </c>
      <c r="M25" s="201">
        <f t="shared" si="10"/>
        <v>2.6321378105042768</v>
      </c>
      <c r="O25" s="200">
        <f t="shared" si="6"/>
        <v>5.0029514093071619</v>
      </c>
      <c r="P25" s="201">
        <f t="shared" si="11"/>
        <v>4.4299769378878757</v>
      </c>
      <c r="R25" s="200">
        <f t="shared" si="7"/>
        <v>3.656332015611214</v>
      </c>
      <c r="S25" s="201">
        <f t="shared" si="12"/>
        <v>2.8851582488464604</v>
      </c>
      <c r="U25" s="200">
        <f t="shared" si="8"/>
        <v>5.3848156785406909</v>
      </c>
      <c r="V25" s="201">
        <f t="shared" si="13"/>
        <v>3.5888478123236269</v>
      </c>
    </row>
    <row r="26" spans="1:22" x14ac:dyDescent="0.2">
      <c r="A26" s="29"/>
      <c r="B26" s="30">
        <f t="shared" si="4"/>
        <v>2039</v>
      </c>
      <c r="C26" s="31">
        <f>INDEX([22]SourceEnergy!$S$20:$T$45,MATCH($B26,[22]SourceEnergy!$R$20:$R$45,0),MATCH(C$7,[22]SourceEnergy!$S$12:$T$12,0))/10</f>
        <v>3.8262653356342682</v>
      </c>
      <c r="D26" s="31">
        <f>INDEX([22]SourceEnergy!$S$20:$T$45,MATCH($B26,[22]SourceEnergy!$R$20:$R$45,0),MATCH(D$7,[22]SourceEnergy!$S$12:$T$12,0))/10</f>
        <v>5.4296362373516152</v>
      </c>
      <c r="E26" s="31">
        <f>INDEX([22]SourceEnergy!$U$20:$V$45,MATCH($B26,[22]SourceEnergy!$R$20:$R$45,0),MATCH(E$7,[22]SourceEnergy!$U$12:$V$12,0))/10</f>
        <v>4.1551047665095648</v>
      </c>
      <c r="F26" s="31">
        <f>INDEX([22]SourceEnergy!$U$20:$V$45,MATCH($B26,[22]SourceEnergy!$R$20:$R$45,0),MATCH(F$7,[22]SourceEnergy!$U$12:$V$12,0))/10</f>
        <v>6.0368702277142301</v>
      </c>
      <c r="H26" s="52"/>
      <c r="I26" s="185">
        <f t="shared" si="9"/>
        <v>0.91999999999999993</v>
      </c>
      <c r="J26" s="185"/>
      <c r="L26" s="200">
        <f t="shared" si="5"/>
        <v>3.5201641087835265</v>
      </c>
      <c r="M26" s="201">
        <f t="shared" si="10"/>
        <v>2.6179100385556051</v>
      </c>
      <c r="O26" s="200">
        <f t="shared" si="6"/>
        <v>4.9952653383634855</v>
      </c>
      <c r="P26" s="201">
        <f t="shared" si="11"/>
        <v>4.4060311166019952</v>
      </c>
      <c r="R26" s="200">
        <f t="shared" si="7"/>
        <v>3.8226963851887992</v>
      </c>
      <c r="S26" s="201">
        <f t="shared" si="12"/>
        <v>2.8695627988526957</v>
      </c>
      <c r="U26" s="200">
        <f t="shared" si="8"/>
        <v>5.5539206094970917</v>
      </c>
      <c r="V26" s="201">
        <f t="shared" si="13"/>
        <v>3.5694486349597154</v>
      </c>
    </row>
    <row r="27" spans="1:22" x14ac:dyDescent="0.2">
      <c r="A27" s="29"/>
      <c r="B27" s="30">
        <f t="shared" si="4"/>
        <v>2040</v>
      </c>
      <c r="C27" s="31">
        <f>INDEX([22]SourceEnergy!$S$20:$T$45,MATCH($B27,[22]SourceEnergy!$R$20:$R$45,0),MATCH(C$7,[22]SourceEnergy!$S$12:$T$12,0))/10</f>
        <v>4.0312494142665374</v>
      </c>
      <c r="D27" s="31">
        <f>INDEX([22]SourceEnergy!$S$20:$T$45,MATCH($B27,[22]SourceEnergy!$R$20:$R$45,0),MATCH(D$7,[22]SourceEnergy!$S$12:$T$12,0))/10</f>
        <v>5.6765210131159964</v>
      </c>
      <c r="E27" s="31">
        <f>INDEX([22]SourceEnergy!$U$20:$V$45,MATCH($B27,[22]SourceEnergy!$R$20:$R$45,0),MATCH(E$7,[22]SourceEnergy!$U$12:$V$12,0))/10</f>
        <v>4.0384751414486235</v>
      </c>
      <c r="F27" s="31">
        <f>INDEX([22]SourceEnergy!$U$20:$V$45,MATCH($B27,[22]SourceEnergy!$R$20:$R$45,0),MATCH(F$7,[22]SourceEnergy!$U$12:$V$12,0))/10</f>
        <v>6.0408176217851617</v>
      </c>
      <c r="H27" s="52"/>
      <c r="I27" s="185">
        <f t="shared" si="9"/>
        <v>0.91499999999999992</v>
      </c>
      <c r="J27" s="185"/>
      <c r="L27" s="200">
        <f t="shared" si="5"/>
        <v>3.6885932140538813</v>
      </c>
      <c r="M27" s="201">
        <f t="shared" si="10"/>
        <v>2.6036822666069335</v>
      </c>
      <c r="O27" s="200">
        <f t="shared" si="6"/>
        <v>5.1940167270011361</v>
      </c>
      <c r="P27" s="201">
        <f t="shared" si="11"/>
        <v>4.3820852953161147</v>
      </c>
      <c r="R27" s="200">
        <f t="shared" si="7"/>
        <v>3.69520475442549</v>
      </c>
      <c r="S27" s="201">
        <f t="shared" si="12"/>
        <v>2.853967348858931</v>
      </c>
      <c r="U27" s="200">
        <f t="shared" si="8"/>
        <v>5.5273481239334226</v>
      </c>
      <c r="V27" s="201">
        <f t="shared" si="13"/>
        <v>3.5500494575958039</v>
      </c>
    </row>
    <row r="28" spans="1:22" x14ac:dyDescent="0.2">
      <c r="A28" s="29"/>
      <c r="B28" s="30">
        <f t="shared" ref="B28:B29" si="14">B27+1</f>
        <v>2041</v>
      </c>
      <c r="C28" s="31">
        <f>INDEX([22]SourceEnergy!$S$20:$T$45,MATCH($B28,[22]SourceEnergy!$R$20:$R$45,0),MATCH(C$7,[22]SourceEnergy!$S$12:$T$12,0))/10</f>
        <v>3.9491129736212884</v>
      </c>
      <c r="D28" s="31">
        <f>INDEX([22]SourceEnergy!$S$20:$T$45,MATCH($B28,[22]SourceEnergy!$R$20:$R$45,0),MATCH(D$7,[22]SourceEnergy!$S$12:$T$12,0))/10</f>
        <v>6.0003479602994503</v>
      </c>
      <c r="E28" s="31">
        <f>INDEX([22]SourceEnergy!$U$20:$V$45,MATCH($B28,[22]SourceEnergy!$R$20:$R$45,0),MATCH(E$7,[22]SourceEnergy!$U$12:$V$12,0))/10</f>
        <v>3.9988307968152617</v>
      </c>
      <c r="F28" s="31">
        <f>INDEX([22]SourceEnergy!$U$20:$V$45,MATCH($B28,[22]SourceEnergy!$R$20:$R$45,0),MATCH(F$7,[22]SourceEnergy!$U$12:$V$12,0))/10</f>
        <v>6.5160034810128566</v>
      </c>
      <c r="H28" s="52"/>
      <c r="I28" s="185">
        <f t="shared" si="9"/>
        <v>0.90999999999999992</v>
      </c>
      <c r="J28" s="185"/>
      <c r="L28" s="200">
        <f t="shared" ref="L28:L29" si="15">C28*1*$I28</f>
        <v>3.5936928059953721</v>
      </c>
      <c r="M28" s="201">
        <f t="shared" si="10"/>
        <v>2.5894544946582614</v>
      </c>
      <c r="O28" s="200">
        <f t="shared" ref="O28:O29" si="16">D28*1*$I28</f>
        <v>5.460316643872499</v>
      </c>
      <c r="P28" s="201">
        <f t="shared" si="11"/>
        <v>4.3581394740302342</v>
      </c>
      <c r="R28" s="200">
        <f t="shared" ref="R28:R29" si="17">E28*1*$I28</f>
        <v>3.6389360251018879</v>
      </c>
      <c r="S28" s="201">
        <f t="shared" si="12"/>
        <v>2.8383718988651663</v>
      </c>
      <c r="U28" s="200">
        <f t="shared" ref="U28:U29" si="18">F28*1*$I28</f>
        <v>5.9295631677216987</v>
      </c>
      <c r="V28" s="201">
        <f t="shared" si="13"/>
        <v>3.5306502802318924</v>
      </c>
    </row>
    <row r="29" spans="1:22" x14ac:dyDescent="0.2">
      <c r="A29" s="29"/>
      <c r="B29" s="30">
        <f t="shared" si="14"/>
        <v>2042</v>
      </c>
      <c r="C29" s="31">
        <f>INDEX([22]SourceEnergy!$S$20:$T$45,MATCH($B29,[22]SourceEnergy!$R$20:$R$45,0),MATCH(C$7,[22]SourceEnergy!$S$12:$T$12,0))/10</f>
        <v>3.9404593738671942</v>
      </c>
      <c r="D29" s="31">
        <f>INDEX([22]SourceEnergy!$S$20:$T$45,MATCH($B29,[22]SourceEnergy!$R$20:$R$45,0),MATCH(D$7,[22]SourceEnergy!$S$12:$T$12,0))/10</f>
        <v>6.3897187106903246</v>
      </c>
      <c r="E29" s="31">
        <f>INDEX([22]SourceEnergy!$U$20:$V$45,MATCH($B29,[22]SourceEnergy!$R$20:$R$45,0),MATCH(E$7,[22]SourceEnergy!$U$12:$V$12,0))/10</f>
        <v>3.7845949591540879</v>
      </c>
      <c r="F29" s="31">
        <f>INDEX([22]SourceEnergy!$U$20:$V$45,MATCH($B29,[22]SourceEnergy!$R$20:$R$45,0),MATCH(F$7,[22]SourceEnergy!$U$12:$V$12,0))/10</f>
        <v>6.4515591121888649</v>
      </c>
      <c r="H29" s="52"/>
      <c r="I29" s="185">
        <f t="shared" si="9"/>
        <v>0.90499999999999992</v>
      </c>
      <c r="J29" s="185"/>
      <c r="L29" s="200">
        <f t="shared" si="15"/>
        <v>3.5661157333498106</v>
      </c>
      <c r="M29" s="201">
        <f t="shared" si="10"/>
        <v>2.5752267227095897</v>
      </c>
      <c r="O29" s="200">
        <f t="shared" si="16"/>
        <v>5.7826954331747435</v>
      </c>
      <c r="P29" s="201">
        <f t="shared" si="11"/>
        <v>4.3341936527443536</v>
      </c>
      <c r="R29" s="200">
        <f t="shared" si="17"/>
        <v>3.4250584380344491</v>
      </c>
      <c r="S29" s="201">
        <f t="shared" si="12"/>
        <v>2.8227764488714016</v>
      </c>
      <c r="U29" s="200">
        <f t="shared" si="18"/>
        <v>5.8386609965309226</v>
      </c>
      <c r="V29" s="201">
        <f t="shared" si="13"/>
        <v>3.5112511028679809</v>
      </c>
    </row>
    <row r="30" spans="1:22" x14ac:dyDescent="0.2">
      <c r="A30" s="29"/>
      <c r="B30" s="30"/>
      <c r="C30" s="31"/>
      <c r="D30" s="31"/>
      <c r="E30" s="31"/>
      <c r="F30" s="31"/>
      <c r="H30" s="52"/>
      <c r="I30" s="185"/>
      <c r="J30" s="185"/>
      <c r="L30" s="186"/>
      <c r="O30" s="186"/>
      <c r="R30" s="186"/>
      <c r="U30" s="186"/>
    </row>
    <row r="31" spans="1:22" x14ac:dyDescent="0.2">
      <c r="A31" s="29"/>
      <c r="B31" s="30"/>
      <c r="C31" s="31"/>
      <c r="D31" s="31"/>
      <c r="E31" s="31"/>
      <c r="F31" s="31"/>
      <c r="H31" s="52"/>
      <c r="I31" s="185"/>
      <c r="J31" s="185"/>
      <c r="L31" s="186"/>
      <c r="O31" s="186"/>
      <c r="R31" s="186"/>
      <c r="U31" s="186"/>
    </row>
    <row r="32" spans="1:22" x14ac:dyDescent="0.2">
      <c r="A32" s="29"/>
      <c r="C32" s="27" t="s">
        <v>295</v>
      </c>
      <c r="D32" s="27"/>
      <c r="E32" s="45" t="s">
        <v>150</v>
      </c>
      <c r="F32" s="45"/>
      <c r="I32" s="185"/>
      <c r="J32" s="185"/>
      <c r="L32" s="186"/>
      <c r="O32" s="186"/>
      <c r="R32" s="186"/>
      <c r="U32" s="186"/>
    </row>
    <row r="33" spans="1:22" ht="14.25" x14ac:dyDescent="0.35">
      <c r="A33" s="29"/>
      <c r="B33" s="34"/>
      <c r="C33" s="28" t="s">
        <v>9</v>
      </c>
      <c r="D33" s="28" t="s">
        <v>10</v>
      </c>
      <c r="E33" s="28" t="s">
        <v>9</v>
      </c>
      <c r="F33" s="28" t="s">
        <v>10</v>
      </c>
      <c r="I33" s="185"/>
      <c r="J33" s="185"/>
      <c r="K33" s="197"/>
      <c r="L33" s="197"/>
      <c r="M33" s="197"/>
      <c r="O33" s="186"/>
      <c r="R33" s="186"/>
      <c r="U33" s="186"/>
    </row>
    <row r="34" spans="1:22" ht="33.75" customHeight="1" x14ac:dyDescent="0.2">
      <c r="B34" s="35" t="str">
        <f ca="1">"15-year ("&amp;INDEX($B:$B,MID(_xlfn.FORMULATEXT(L34),FIND("(L",_xlfn.FORMULATEXT(L34))+2,2),1)&amp;"-"&amp;INDEX($B:$B,MID(_xlfn.FORMULATEXT(L34),FIND("),",_xlfn.FORMULATEXT(L34))-2,2),1)&amp;") Nominal Levelized"</f>
        <v>15-year (2023-2037) Nominal Levelized</v>
      </c>
      <c r="C34" s="36">
        <f>M34</f>
        <v>2.8455543897343536</v>
      </c>
      <c r="D34" s="36">
        <f>P34</f>
        <v>4.7891642571760817</v>
      </c>
      <c r="E34" s="36">
        <f>S34</f>
        <v>3.1190899987529304</v>
      </c>
      <c r="F34" s="36">
        <f>V34</f>
        <v>3.8798354727822999</v>
      </c>
      <c r="I34" s="199">
        <f>-PMT('Table 3 Comparison'!$P$37,COUNT(I10:I24),NPV('Table 3 Comparison'!$P$37,I10:I24))</f>
        <v>0.97110891617189654</v>
      </c>
      <c r="J34" s="189"/>
      <c r="K34" s="197"/>
      <c r="L34" s="199">
        <f>-PMT('Table 3 Comparison'!$P$37,COUNT(L10:L24),NPV('Table 3 Comparison'!$P$37,L10:L24))</f>
        <v>2.7633432393231105</v>
      </c>
      <c r="M34" s="198">
        <f>L34/$I34</f>
        <v>2.8455543897343536</v>
      </c>
      <c r="N34" s="192"/>
      <c r="O34" s="199">
        <f>-PMT('Table 3 Comparison'!$P$37,COUNT(O10:O24),NPV('Table 3 Comparison'!$P$37,O10:O24))</f>
        <v>4.6508001111554504</v>
      </c>
      <c r="P34" s="198">
        <f>O34/$I34</f>
        <v>4.7891642571760817</v>
      </c>
      <c r="Q34" s="192"/>
      <c r="R34" s="199">
        <f>-PMT('Table 3 Comparison'!$P$37,COUNT(R10:R24),NPV('Table 3 Comparison'!$P$37,R10:R24))</f>
        <v>3.0289761081315603</v>
      </c>
      <c r="S34" s="198">
        <f>R34/$I34</f>
        <v>3.1190899987529304</v>
      </c>
      <c r="T34" s="192"/>
      <c r="U34" s="199">
        <f>-PMT('Table 3 Comparison'!$P$37,COUNT(U10:U24),NPV('Table 3 Comparison'!$P$37,U10:U24))</f>
        <v>3.767742820898897</v>
      </c>
      <c r="V34" s="198">
        <f>U34/$I34</f>
        <v>3.8798354727822999</v>
      </c>
    </row>
    <row r="35" spans="1:22" ht="24" hidden="1" x14ac:dyDescent="0.2">
      <c r="A35" s="34"/>
      <c r="B35" s="35" t="s">
        <v>76</v>
      </c>
      <c r="C35" s="36">
        <f t="shared" ref="C35:C36" si="19">M35</f>
        <v>2.9312588515048308</v>
      </c>
      <c r="D35" s="36">
        <f t="shared" ref="D35:D36" si="20">P35</f>
        <v>4.613616328635989</v>
      </c>
      <c r="E35" s="36">
        <f t="shared" ref="E35:E36" si="21">S35</f>
        <v>3.2589980204100519</v>
      </c>
      <c r="F35" s="36">
        <f t="shared" ref="F35:F36" si="22">V35</f>
        <v>4.3274412027770985</v>
      </c>
      <c r="I35" s="199">
        <f>-PMT('Table 3 Comparison'!$P$37,COUNT(I12:I26),NPV('Table 3 Comparison'!$P$37,I12:I26))</f>
        <v>0.96110891617189642</v>
      </c>
      <c r="J35" s="187"/>
      <c r="K35" s="188"/>
      <c r="L35" s="199">
        <f>-PMT('Table 3 Comparison'!$P$37,COUNT(L12:L26),NPV('Table 3 Comparison'!$P$37,L12:L26))</f>
        <v>2.8172590177890857</v>
      </c>
      <c r="M35" s="198">
        <f>L35/$I35</f>
        <v>2.9312588515048308</v>
      </c>
      <c r="N35" s="188"/>
      <c r="O35" s="199">
        <f>-PMT('Table 3 Comparison'!$P$37,COUNT(O12:O26),NPV('Table 3 Comparison'!$P$37,O12:O26))</f>
        <v>4.4341877892482993</v>
      </c>
      <c r="P35" s="198">
        <f>O35/$I35</f>
        <v>4.613616328635989</v>
      </c>
      <c r="Q35" s="188"/>
      <c r="R35" s="199">
        <f>-PMT('Table 3 Comparison'!$P$37,COUNT(R12:R26),NPV('Table 3 Comparison'!$P$37,R12:R26))</f>
        <v>3.1322520552026609</v>
      </c>
      <c r="S35" s="198">
        <f>R35/$I35</f>
        <v>3.2589980204100519</v>
      </c>
      <c r="T35" s="188"/>
      <c r="U35" s="199">
        <f>-PMT('Table 3 Comparison'!$P$37,COUNT(U12:U26),NPV('Table 3 Comparison'!$P$37,U12:U26))</f>
        <v>4.1591423241987053</v>
      </c>
      <c r="V35" s="198">
        <f>U35/$I35</f>
        <v>4.3274412027770985</v>
      </c>
    </row>
    <row r="36" spans="1:22" ht="24" hidden="1" x14ac:dyDescent="0.2">
      <c r="B36" s="35" t="s">
        <v>77</v>
      </c>
      <c r="C36" s="36">
        <f t="shared" si="19"/>
        <v>3.1280502918072792</v>
      </c>
      <c r="D36" s="36">
        <f t="shared" si="20"/>
        <v>4.6170516787023521</v>
      </c>
      <c r="E36" s="36">
        <f t="shared" si="21"/>
        <v>3.4492613182248801</v>
      </c>
      <c r="F36" s="36">
        <f t="shared" si="22"/>
        <v>4.5757748959582782</v>
      </c>
      <c r="I36" s="199">
        <f>-PMT('Table 3 Comparison'!$P$37,COUNT(I13:I27),NPV('Table 3 Comparison'!$P$37,I13:I27))</f>
        <v>0.95610891617189631</v>
      </c>
      <c r="J36" s="187"/>
      <c r="K36" s="188"/>
      <c r="L36" s="199">
        <f>-PMT('Table 3 Comparison'!$P$37,COUNT(L13:L27),NPV('Table 3 Comparison'!$P$37,L13:L27))</f>
        <v>2.9907567742310417</v>
      </c>
      <c r="M36" s="198">
        <f>L36/$I36</f>
        <v>3.1280502918072792</v>
      </c>
      <c r="N36" s="188"/>
      <c r="O36" s="199">
        <f>-PMT('Table 3 Comparison'!$P$37,COUNT(O13:O27),NPV('Table 3 Comparison'!$P$37,O13:O27))</f>
        <v>4.4144042764337401</v>
      </c>
      <c r="P36" s="198">
        <f>O36/$I36</f>
        <v>4.6170516787023521</v>
      </c>
      <c r="Q36" s="188"/>
      <c r="R36" s="199">
        <f>-PMT('Table 3 Comparison'!$P$37,COUNT(R13:R27),NPV('Table 3 Comparison'!$P$37,R13:R27))</f>
        <v>3.2978695005616365</v>
      </c>
      <c r="S36" s="198">
        <f>R36/$I36</f>
        <v>3.4492613182248801</v>
      </c>
      <c r="T36" s="188"/>
      <c r="U36" s="199">
        <f>-PMT('Table 3 Comparison'!$P$37,COUNT(U13:U27),NPV('Table 3 Comparison'!$P$37,U13:U27))</f>
        <v>4.3749391764212406</v>
      </c>
      <c r="V36" s="198">
        <f>U36/$I36</f>
        <v>4.5757748959582782</v>
      </c>
    </row>
    <row r="37" spans="1:22" hidden="1" x14ac:dyDescent="0.2">
      <c r="B37" s="35"/>
      <c r="C37" s="36"/>
      <c r="D37" s="36"/>
      <c r="E37" s="36"/>
      <c r="F37" s="36"/>
      <c r="I37" s="189"/>
      <c r="J37" s="189"/>
      <c r="K37" s="190"/>
      <c r="L37" s="190"/>
      <c r="M37" s="191"/>
      <c r="N37" s="192"/>
      <c r="O37" s="190"/>
      <c r="P37" s="191"/>
      <c r="Q37" s="192"/>
      <c r="R37" s="190"/>
      <c r="S37" s="191"/>
      <c r="T37" s="192"/>
      <c r="U37" s="190"/>
      <c r="V37" s="191"/>
    </row>
    <row r="38" spans="1:22" ht="33" hidden="1" customHeight="1" x14ac:dyDescent="0.2">
      <c r="A38" s="38"/>
      <c r="B38"/>
      <c r="C38"/>
      <c r="D38"/>
      <c r="E38"/>
      <c r="F38" s="39"/>
      <c r="H38" s="52"/>
      <c r="K38" s="193"/>
      <c r="L38" s="194"/>
      <c r="M38" s="195"/>
      <c r="O38" s="194"/>
      <c r="P38" s="195"/>
      <c r="R38" s="194"/>
      <c r="S38" s="195"/>
      <c r="U38" s="194"/>
      <c r="V38" s="195"/>
    </row>
    <row r="39" spans="1:22" ht="12.75" hidden="1" x14ac:dyDescent="0.2">
      <c r="A39" s="38"/>
      <c r="B39"/>
      <c r="C39"/>
      <c r="D39" s="41"/>
      <c r="E39" s="41"/>
      <c r="F39" s="39"/>
      <c r="L39" s="196"/>
      <c r="O39" s="196"/>
      <c r="R39" s="196"/>
      <c r="U39" s="196"/>
    </row>
    <row r="40" spans="1:22" ht="12.75" hidden="1" x14ac:dyDescent="0.2">
      <c r="A40" s="29"/>
      <c r="B40"/>
      <c r="C40"/>
      <c r="D40" s="41"/>
      <c r="E40" s="41"/>
      <c r="F40" s="29"/>
      <c r="H40" s="48"/>
    </row>
    <row r="41" spans="1:22" ht="12.75" x14ac:dyDescent="0.2">
      <c r="A41" s="37"/>
      <c r="B41" t="s">
        <v>103</v>
      </c>
      <c r="C41"/>
      <c r="D41" s="41"/>
      <c r="E41" s="41"/>
      <c r="H41" s="54"/>
      <c r="K41" s="177" t="str">
        <f ca="1">"NPV ("&amp;INDEX($B:$B,MID(_xlfn.FORMULATEXT(L34),FIND("(L",_xlfn.FORMULATEXT(L34))+2,2),1)&amp;"-"&amp;INDEX($B:$B,MID(_xlfn.FORMULATEXT(L34),FIND("),",_xlfn.FORMULATEXT(L34))-2,2),1)&amp;")"</f>
        <v>NPV (2023-2037)</v>
      </c>
      <c r="L41" s="184">
        <f>NPV('Table 3 Comparison'!$P$37,L10:L24)</f>
        <v>25.360169046527421</v>
      </c>
      <c r="M41" s="184">
        <f>NPV('Table 3 Comparison'!$P$37,M10:M24)</f>
        <v>25.360169046527421</v>
      </c>
      <c r="O41" s="184">
        <f>NPV('Table 3 Comparison'!$P$37,O10:O24)</f>
        <v>42.682022031183415</v>
      </c>
      <c r="P41" s="184">
        <f>NPV('Table 3 Comparison'!$P$37,P10:P24)</f>
        <v>42.682022031183415</v>
      </c>
      <c r="R41" s="184">
        <f>NPV('Table 3 Comparison'!$P$37,R10:R24)</f>
        <v>27.797974948246114</v>
      </c>
      <c r="S41" s="184">
        <f>NPV('Table 3 Comparison'!$P$37,S10:S24)</f>
        <v>27.797974948246111</v>
      </c>
      <c r="U41" s="184">
        <f>NPV('Table 3 Comparison'!$P$37,U10:U24)</f>
        <v>34.57789589875253</v>
      </c>
      <c r="V41" s="184">
        <f>NPV('Table 3 Comparison'!$P$37,V10:V24)</f>
        <v>34.577895898752523</v>
      </c>
    </row>
    <row r="42" spans="1:22" ht="12.75" x14ac:dyDescent="0.2">
      <c r="A42" s="38"/>
      <c r="B42" t="s">
        <v>149</v>
      </c>
      <c r="K42" s="177" t="s">
        <v>111</v>
      </c>
      <c r="M42" s="177">
        <f>M41-L41</f>
        <v>0</v>
      </c>
      <c r="P42" s="177">
        <f>P41-O41</f>
        <v>0</v>
      </c>
      <c r="S42" s="177">
        <f>S41-R41</f>
        <v>0</v>
      </c>
      <c r="V42" s="177">
        <f>V41-U41</f>
        <v>0</v>
      </c>
    </row>
    <row r="43" spans="1:22" ht="12.75" x14ac:dyDescent="0.2">
      <c r="B43" t="s">
        <v>291</v>
      </c>
    </row>
  </sheetData>
  <printOptions horizontalCentered="1"/>
  <pageMargins left="0.25" right="0.25" top="0.75" bottom="0.75" header="0.3" footer="0.3"/>
  <pageSetup scale="89" orientation="landscape" copies="3" r:id="rId1"/>
  <headerFooter alignWithMargins="0">
    <oddFooter>&amp;L&amp;8NPC Group - &amp;F   ( &amp;A )&amp;C &amp;R &amp;8&amp;D 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5">
    <tabColor rgb="FFFF0000"/>
  </sheetPr>
  <dimension ref="A1:M44"/>
  <sheetViews>
    <sheetView showGridLines="0" tabSelected="1" view="pageBreakPreview" topLeftCell="A5" zoomScale="80" zoomScaleNormal="80" zoomScaleSheetLayoutView="80" workbookViewId="0">
      <selection activeCell="B10" sqref="B10"/>
    </sheetView>
  </sheetViews>
  <sheetFormatPr defaultColWidth="9.33203125" defaultRowHeight="12" x14ac:dyDescent="0.2"/>
  <cols>
    <col min="1" max="1" width="2.83203125" style="25" customWidth="1"/>
    <col min="2" max="2" width="22.1640625" style="25" customWidth="1"/>
    <col min="3" max="6" width="18.83203125" style="25" customWidth="1"/>
    <col min="7" max="7" width="4.6640625" style="25" customWidth="1"/>
    <col min="8" max="16384" width="9.33203125" style="25"/>
  </cols>
  <sheetData>
    <row r="1" spans="1:7" x14ac:dyDescent="0.2">
      <c r="A1" s="2"/>
      <c r="B1" s="2"/>
      <c r="C1" s="2"/>
      <c r="D1" s="2"/>
      <c r="E1" s="2"/>
      <c r="F1" s="2"/>
      <c r="G1" s="26"/>
    </row>
    <row r="2" spans="1:7" x14ac:dyDescent="0.2">
      <c r="A2" s="2"/>
      <c r="B2" s="2" t="s">
        <v>18</v>
      </c>
      <c r="C2" s="2"/>
      <c r="D2" s="2"/>
      <c r="E2" s="2"/>
      <c r="F2" s="2"/>
      <c r="G2" s="26"/>
    </row>
    <row r="3" spans="1:7" x14ac:dyDescent="0.2">
      <c r="G3" s="26"/>
    </row>
    <row r="4" spans="1:7" x14ac:dyDescent="0.2">
      <c r="A4" s="26"/>
      <c r="B4" s="44" t="s">
        <v>34</v>
      </c>
      <c r="C4" s="26"/>
      <c r="D4" s="26"/>
      <c r="E4" s="26"/>
      <c r="F4" s="26"/>
      <c r="G4" s="26"/>
    </row>
    <row r="5" spans="1:7" x14ac:dyDescent="0.2">
      <c r="A5" s="26"/>
      <c r="B5" s="26"/>
    </row>
    <row r="6" spans="1:7" x14ac:dyDescent="0.2">
      <c r="A6" s="26"/>
      <c r="B6" s="26" t="s">
        <v>29</v>
      </c>
      <c r="C6" s="27" t="s">
        <v>296</v>
      </c>
      <c r="D6" s="27"/>
      <c r="E6" s="27" t="s">
        <v>78</v>
      </c>
      <c r="F6" s="27"/>
    </row>
    <row r="7" spans="1:7" ht="14.25" x14ac:dyDescent="0.35">
      <c r="A7" s="26"/>
      <c r="B7" s="26" t="s">
        <v>27</v>
      </c>
      <c r="C7" s="28" t="s">
        <v>9</v>
      </c>
      <c r="D7" s="28" t="s">
        <v>10</v>
      </c>
      <c r="E7" s="28" t="s">
        <v>9</v>
      </c>
      <c r="F7" s="28" t="s">
        <v>10</v>
      </c>
    </row>
    <row r="8" spans="1:7" x14ac:dyDescent="0.2">
      <c r="A8" s="29"/>
      <c r="B8" s="30"/>
      <c r="C8" s="31"/>
      <c r="D8" s="31"/>
      <c r="E8" s="31"/>
      <c r="F8" s="31"/>
    </row>
    <row r="9" spans="1:7" hidden="1" x14ac:dyDescent="0.2">
      <c r="A9" s="29"/>
      <c r="B9" s="30"/>
      <c r="C9" s="31"/>
      <c r="D9" s="31"/>
      <c r="E9" s="31"/>
      <c r="F9" s="31"/>
    </row>
    <row r="10" spans="1:7" x14ac:dyDescent="0.2">
      <c r="A10" s="29"/>
      <c r="B10" s="30">
        <f>[24]SourceEnergy!$R$20</f>
        <v>2023</v>
      </c>
      <c r="C10" s="31">
        <f>INDEX([24]SourceEnergy!$S$20:$T$40,MATCH($B10,[24]SourceEnergy!$R$20:$R$40,0),MATCH(C$7,[24]SourceEnergy!$S$12:$T$12,0))/10</f>
        <v>4.8390774055212642</v>
      </c>
      <c r="D10" s="31">
        <f>INDEX([24]SourceEnergy!$S$20:$T$40,MATCH($B10,[24]SourceEnergy!$R$20:$R$40,0),MATCH(D$7,[24]SourceEnergy!$S$12:$T$12,0))/10</f>
        <v>9.7381219666878902</v>
      </c>
      <c r="E10" s="31">
        <f>INDEX([24]SourceEnergy!$U$20:$V$40,MATCH($B10,[24]SourceEnergy!$R$20:$R$40,0),MATCH(E$7,[24]SourceEnergy!$U$12:$V$12,0))/10</f>
        <v>4.8117704083810677</v>
      </c>
      <c r="F10" s="31">
        <f>INDEX([24]SourceEnergy!$U$20:$V$40,MATCH($B10,[24]SourceEnergy!$R$20:$R$40,0),MATCH(F$7,[24]SourceEnergy!$U$12:$V$12,0))/10</f>
        <v>4.8148888318618113</v>
      </c>
    </row>
    <row r="11" spans="1:7" x14ac:dyDescent="0.2">
      <c r="A11" s="29"/>
      <c r="B11" s="30">
        <f t="shared" ref="B11:B30" si="0">B10+1</f>
        <v>2024</v>
      </c>
      <c r="C11" s="31">
        <f>INDEX([24]SourceEnergy!$S$20:$T$45,MATCH($B11,[24]SourceEnergy!$R$20:$R$45,0),MATCH(C$7,[24]SourceEnergy!$S$12:$T$12,0))/10</f>
        <v>5.5237589218508569</v>
      </c>
      <c r="D11" s="31">
        <f>INDEX([24]SourceEnergy!$S$20:$T$45,MATCH($B11,[24]SourceEnergy!$R$20:$R$45,0),MATCH(D$7,[24]SourceEnergy!$S$12:$T$12,0))/10</f>
        <v>11.745106441196487</v>
      </c>
      <c r="E11" s="31">
        <f>INDEX([24]SourceEnergy!$U$20:$V$45,MATCH($B11,[24]SourceEnergy!$R$20:$R$45,0),MATCH(E$7,[24]SourceEnergy!$U$12:$V$12,0))/10</f>
        <v>5.7118608426810011</v>
      </c>
      <c r="F11" s="31">
        <f>INDEX([24]SourceEnergy!$U$20:$V$45,MATCH($B11,[24]SourceEnergy!$R$20:$R$45,0),MATCH(F$7,[24]SourceEnergy!$U$12:$V$12,0))/10</f>
        <v>5.5919957006219203</v>
      </c>
    </row>
    <row r="12" spans="1:7" x14ac:dyDescent="0.2">
      <c r="A12" s="29"/>
      <c r="B12" s="30">
        <f t="shared" si="0"/>
        <v>2025</v>
      </c>
      <c r="C12" s="31">
        <f>INDEX([24]SourceEnergy!$S$20:$T$45,MATCH($B12,[24]SourceEnergy!$R$20:$R$45,0),MATCH(C$7,[24]SourceEnergy!$S$12:$T$12,0))/10</f>
        <v>3.6824400199643792</v>
      </c>
      <c r="D12" s="31">
        <f>INDEX([24]SourceEnergy!$S$20:$T$45,MATCH($B12,[24]SourceEnergy!$R$20:$R$45,0),MATCH(D$7,[24]SourceEnergy!$S$12:$T$12,0))/10</f>
        <v>9.7362924733669285</v>
      </c>
      <c r="E12" s="31">
        <f>INDEX([24]SourceEnergy!$U$20:$V$45,MATCH($B12,[24]SourceEnergy!$R$20:$R$45,0),MATCH(E$7,[24]SourceEnergy!$U$12:$V$12,0))/10</f>
        <v>4.1161080586945102</v>
      </c>
      <c r="F12" s="31">
        <f>INDEX([24]SourceEnergy!$U$20:$V$45,MATCH($B12,[24]SourceEnergy!$R$20:$R$45,0),MATCH(F$7,[24]SourceEnergy!$U$12:$V$12,0))/10</f>
        <v>5.4688930001191238</v>
      </c>
    </row>
    <row r="13" spans="1:7" x14ac:dyDescent="0.2">
      <c r="A13" s="29"/>
      <c r="B13" s="314">
        <f t="shared" si="0"/>
        <v>2026</v>
      </c>
      <c r="C13" s="31">
        <f>INDEX([24]SourceEnergy!$S$20:$T$45,MATCH($B13,[24]SourceEnergy!$R$20:$R$45,0),MATCH(C$7,[24]SourceEnergy!$S$12:$T$12,0))/10</f>
        <v>3.3815635318953157</v>
      </c>
      <c r="D13" s="31">
        <f>INDEX([24]SourceEnergy!$S$20:$T$45,MATCH($B13,[24]SourceEnergy!$R$20:$R$45,0),MATCH(D$7,[24]SourceEnergy!$S$12:$T$12,0))/10</f>
        <v>5.9842033882704992</v>
      </c>
      <c r="E13" s="31">
        <f>INDEX([24]SourceEnergy!$U$20:$V$45,MATCH($B13,[24]SourceEnergy!$R$20:$R$45,0),MATCH(E$7,[24]SourceEnergy!$U$12:$V$12,0))/10</f>
        <v>3.5166905229187888</v>
      </c>
      <c r="F13" s="31">
        <f>INDEX([24]SourceEnergy!$U$20:$V$45,MATCH($B13,[24]SourceEnergy!$R$20:$R$45,0),MATCH(F$7,[24]SourceEnergy!$U$12:$V$12,0))/10</f>
        <v>4.1877667854603384</v>
      </c>
    </row>
    <row r="14" spans="1:7" x14ac:dyDescent="0.2">
      <c r="A14" s="29"/>
      <c r="B14" s="30">
        <f t="shared" si="0"/>
        <v>2027</v>
      </c>
      <c r="C14" s="31">
        <f>INDEX([24]SourceEnergy!$S$20:$T$45,MATCH($B14,[24]SourceEnergy!$R$20:$R$45,0),MATCH(C$7,[24]SourceEnergy!$S$12:$T$12,0))/10</f>
        <v>3.4972566665860101</v>
      </c>
      <c r="D14" s="31">
        <f>INDEX([24]SourceEnergy!$S$20:$T$45,MATCH($B14,[24]SourceEnergy!$R$20:$R$45,0),MATCH(D$7,[24]SourceEnergy!$S$12:$T$12,0))/10</f>
        <v>4.2703076962771878</v>
      </c>
      <c r="E14" s="31">
        <f>INDEX([24]SourceEnergy!$U$20:$V$45,MATCH($B14,[24]SourceEnergy!$R$20:$R$45,0),MATCH(E$7,[24]SourceEnergy!$U$12:$V$12,0))/10</f>
        <v>3.7404210252720738</v>
      </c>
      <c r="F14" s="31">
        <f>INDEX([24]SourceEnergy!$U$20:$V$45,MATCH($B14,[24]SourceEnergy!$R$20:$R$45,0),MATCH(F$7,[24]SourceEnergy!$U$12:$V$12,0))/10</f>
        <v>4.0448017972426991</v>
      </c>
    </row>
    <row r="15" spans="1:7" x14ac:dyDescent="0.2">
      <c r="A15" s="29"/>
      <c r="B15" s="30">
        <f t="shared" si="0"/>
        <v>2028</v>
      </c>
      <c r="C15" s="31">
        <f>INDEX([24]SourceEnergy!$S$20:$T$45,MATCH($B15,[24]SourceEnergy!$R$20:$R$45,0),MATCH(C$7,[24]SourceEnergy!$S$12:$T$12,0))/10</f>
        <v>3.4282474930249394</v>
      </c>
      <c r="D15" s="31">
        <f>INDEX([24]SourceEnergy!$S$20:$T$45,MATCH($B15,[24]SourceEnergy!$R$20:$R$45,0),MATCH(D$7,[24]SourceEnergy!$S$12:$T$12,0))/10</f>
        <v>4.4197231434900717</v>
      </c>
      <c r="E15" s="31">
        <f>INDEX([24]SourceEnergy!$U$20:$V$45,MATCH($B15,[24]SourceEnergy!$R$20:$R$45,0),MATCH(E$7,[24]SourceEnergy!$U$12:$V$12,0))/10</f>
        <v>3.6582911960163065</v>
      </c>
      <c r="F15" s="31">
        <f>INDEX([24]SourceEnergy!$U$20:$V$45,MATCH($B15,[24]SourceEnergy!$R$20:$R$45,0),MATCH(F$7,[24]SourceEnergy!$U$12:$V$12,0))/10</f>
        <v>4.28061036729334</v>
      </c>
    </row>
    <row r="16" spans="1:7" x14ac:dyDescent="0.2">
      <c r="A16" s="29"/>
      <c r="B16" s="30">
        <f t="shared" si="0"/>
        <v>2029</v>
      </c>
      <c r="C16" s="31">
        <f>INDEX([24]SourceEnergy!$S$20:$T$45,MATCH($B16,[24]SourceEnergy!$R$20:$R$45,0),MATCH(C$7,[24]SourceEnergy!$S$12:$T$12,0))/10</f>
        <v>3.520939637529318</v>
      </c>
      <c r="D16" s="31">
        <f>INDEX([24]SourceEnergy!$S$20:$T$45,MATCH($B16,[24]SourceEnergy!$R$20:$R$45,0),MATCH(D$7,[24]SourceEnergy!$S$12:$T$12,0))/10</f>
        <v>4.4975685857869916</v>
      </c>
      <c r="E16" s="31">
        <f>INDEX([24]SourceEnergy!$U$20:$V$45,MATCH($B16,[24]SourceEnergy!$R$20:$R$45,0),MATCH(E$7,[24]SourceEnergy!$U$12:$V$12,0))/10</f>
        <v>3.9841747062810291</v>
      </c>
      <c r="F16" s="31">
        <f>INDEX([24]SourceEnergy!$U$20:$V$45,MATCH($B16,[24]SourceEnergy!$R$20:$R$45,0),MATCH(F$7,[24]SourceEnergy!$U$12:$V$12,0))/10</f>
        <v>4.516001372957156</v>
      </c>
    </row>
    <row r="17" spans="1:8" x14ac:dyDescent="0.2">
      <c r="A17" s="29"/>
      <c r="B17" s="30">
        <f t="shared" si="0"/>
        <v>2030</v>
      </c>
      <c r="C17" s="31">
        <f>INDEX([24]SourceEnergy!$S$20:$T$45,MATCH($B17,[24]SourceEnergy!$R$20:$R$45,0),MATCH(C$7,[24]SourceEnergy!$S$12:$T$12,0))/10</f>
        <v>3.5432635389297538</v>
      </c>
      <c r="D17" s="31">
        <f>INDEX([24]SourceEnergy!$S$20:$T$45,MATCH($B17,[24]SourceEnergy!$R$20:$R$45,0),MATCH(D$7,[24]SourceEnergy!$S$12:$T$12,0))/10</f>
        <v>4.5774131165904013</v>
      </c>
      <c r="E17" s="31">
        <f>INDEX([24]SourceEnergy!$U$20:$V$45,MATCH($B17,[24]SourceEnergy!$R$20:$R$45,0),MATCH(E$7,[24]SourceEnergy!$U$12:$V$12,0))/10</f>
        <v>4.0780059586360036</v>
      </c>
      <c r="F17" s="31">
        <f>INDEX([24]SourceEnergy!$U$20:$V$45,MATCH($B17,[24]SourceEnergy!$R$20:$R$45,0),MATCH(F$7,[24]SourceEnergy!$U$12:$V$12,0))/10</f>
        <v>4.7224898463180462</v>
      </c>
    </row>
    <row r="18" spans="1:8" x14ac:dyDescent="0.2">
      <c r="A18" s="29"/>
      <c r="B18" s="30">
        <f t="shared" si="0"/>
        <v>2031</v>
      </c>
      <c r="C18" s="31">
        <f>INDEX([24]SourceEnergy!$S$20:$T$45,MATCH($B18,[24]SourceEnergy!$R$20:$R$45,0),MATCH(C$7,[24]SourceEnergy!$S$12:$T$12,0))/10</f>
        <v>3.6038644496234227</v>
      </c>
      <c r="D18" s="31">
        <f>INDEX([24]SourceEnergy!$S$20:$T$45,MATCH($B18,[24]SourceEnergy!$R$20:$R$45,0),MATCH(D$7,[24]SourceEnergy!$S$12:$T$12,0))/10</f>
        <v>4.9466919181433973</v>
      </c>
      <c r="E18" s="31">
        <f>INDEX([24]SourceEnergy!$U$20:$V$45,MATCH($B18,[24]SourceEnergy!$R$20:$R$45,0),MATCH(E$7,[24]SourceEnergy!$U$12:$V$12,0))/10</f>
        <v>4.1194303842714</v>
      </c>
      <c r="F18" s="31">
        <f>INDEX([24]SourceEnergy!$U$20:$V$45,MATCH($B18,[24]SourceEnergy!$R$20:$R$45,0),MATCH(F$7,[24]SourceEnergy!$U$12:$V$12,0))/10</f>
        <v>4.8216101004252847</v>
      </c>
    </row>
    <row r="19" spans="1:8" x14ac:dyDescent="0.2">
      <c r="A19" s="29"/>
      <c r="B19" s="30">
        <f t="shared" si="0"/>
        <v>2032</v>
      </c>
      <c r="C19" s="31">
        <f>INDEX([24]SourceEnergy!$S$20:$T$45,MATCH($B19,[24]SourceEnergy!$R$20:$R$45,0),MATCH(C$7,[24]SourceEnergy!$S$12:$T$12,0))/10</f>
        <v>3.3979780987274628</v>
      </c>
      <c r="D19" s="31">
        <f>INDEX([24]SourceEnergy!$S$20:$T$45,MATCH($B19,[24]SourceEnergy!$R$20:$R$45,0),MATCH(D$7,[24]SourceEnergy!$S$12:$T$12,0))/10</f>
        <v>4.4340895402543934</v>
      </c>
      <c r="E19" s="31">
        <f>INDEX([24]SourceEnergy!$U$20:$V$45,MATCH($B19,[24]SourceEnergy!$R$20:$R$45,0),MATCH(E$7,[24]SourceEnergy!$U$12:$V$12,0))/10</f>
        <v>3.9806776073840018</v>
      </c>
      <c r="F19" s="31">
        <f>INDEX([24]SourceEnergy!$U$20:$V$45,MATCH($B19,[24]SourceEnergy!$R$20:$R$45,0),MATCH(F$7,[24]SourceEnergy!$U$12:$V$12,0))/10</f>
        <v>4.691083912226202</v>
      </c>
    </row>
    <row r="20" spans="1:8" x14ac:dyDescent="0.2">
      <c r="A20" s="29"/>
      <c r="B20" s="30">
        <f t="shared" si="0"/>
        <v>2033</v>
      </c>
      <c r="C20" s="31">
        <f>INDEX([24]SourceEnergy!$S$20:$T$45,MATCH($B20,[24]SourceEnergy!$R$20:$R$45,0),MATCH(C$7,[24]SourceEnergy!$S$12:$T$12,0))/10</f>
        <v>3.3389264419943139</v>
      </c>
      <c r="D20" s="31">
        <f>INDEX([24]SourceEnergy!$S$20:$T$45,MATCH($B20,[24]SourceEnergy!$R$20:$R$45,0),MATCH(D$7,[24]SourceEnergy!$S$12:$T$12,0))/10</f>
        <v>4.0093046611473993</v>
      </c>
      <c r="E20" s="31">
        <f>INDEX([24]SourceEnergy!$U$20:$V$45,MATCH($B20,[24]SourceEnergy!$R$20:$R$45,0),MATCH(E$7,[24]SourceEnergy!$U$12:$V$12,0))/10</f>
        <v>3.972193948752762</v>
      </c>
      <c r="F20" s="31">
        <f>INDEX([24]SourceEnergy!$U$20:$V$45,MATCH($B20,[24]SourceEnergy!$R$20:$R$45,0),MATCH(F$7,[24]SourceEnergy!$U$12:$V$12,0))/10</f>
        <v>4.9441633184625999</v>
      </c>
      <c r="H20" s="32"/>
    </row>
    <row r="21" spans="1:8" x14ac:dyDescent="0.2">
      <c r="A21" s="29"/>
      <c r="B21" s="30">
        <f t="shared" si="0"/>
        <v>2034</v>
      </c>
      <c r="C21" s="31">
        <f>INDEX([24]SourceEnergy!$S$20:$T$45,MATCH($B21,[24]SourceEnergy!$R$20:$R$45,0),MATCH(C$7,[24]SourceEnergy!$S$12:$T$12,0))/10</f>
        <v>3.3054831800965632</v>
      </c>
      <c r="D21" s="31">
        <f>INDEX([24]SourceEnergy!$S$20:$T$45,MATCH($B21,[24]SourceEnergy!$R$20:$R$45,0),MATCH(D$7,[24]SourceEnergy!$S$12:$T$12,0))/10</f>
        <v>4.1965509213129266</v>
      </c>
      <c r="E21" s="31">
        <f>INDEX([24]SourceEnergy!$U$20:$V$45,MATCH($B21,[24]SourceEnergy!$R$20:$R$45,0),MATCH(E$7,[24]SourceEnergy!$U$12:$V$12,0))/10</f>
        <v>4.0021936431585932</v>
      </c>
      <c r="F21" s="31">
        <f>INDEX([24]SourceEnergy!$U$20:$V$45,MATCH($B21,[24]SourceEnergy!$R$20:$R$45,0),MATCH(F$7,[24]SourceEnergy!$U$12:$V$12,0))/10</f>
        <v>5.0858830624395104</v>
      </c>
    </row>
    <row r="22" spans="1:8" x14ac:dyDescent="0.2">
      <c r="A22" s="29"/>
      <c r="B22" s="30">
        <f t="shared" si="0"/>
        <v>2035</v>
      </c>
      <c r="C22" s="31">
        <f>INDEX([24]SourceEnergy!$S$20:$T$45,MATCH($B22,[24]SourceEnergy!$R$20:$R$45,0),MATCH(C$7,[24]SourceEnergy!$S$12:$T$12,0))/10</f>
        <v>3.4729013553792853</v>
      </c>
      <c r="D22" s="31">
        <f>INDEX([24]SourceEnergy!$S$20:$T$45,MATCH($B22,[24]SourceEnergy!$R$20:$R$45,0),MATCH(D$7,[24]SourceEnergy!$S$12:$T$12,0))/10</f>
        <v>4.497532795747107</v>
      </c>
      <c r="E22" s="31">
        <f>INDEX([24]SourceEnergy!$U$20:$V$45,MATCH($B22,[24]SourceEnergy!$R$20:$R$45,0),MATCH(E$7,[24]SourceEnergy!$U$12:$V$12,0))/10</f>
        <v>4.1414097502769982</v>
      </c>
      <c r="F22" s="31">
        <f>INDEX([24]SourceEnergy!$U$20:$V$45,MATCH($B22,[24]SourceEnergy!$R$20:$R$45,0),MATCH(F$7,[24]SourceEnergy!$U$12:$V$12,0))/10</f>
        <v>5.0321269692832375</v>
      </c>
    </row>
    <row r="23" spans="1:8" x14ac:dyDescent="0.2">
      <c r="A23" s="29"/>
      <c r="B23" s="30">
        <f t="shared" si="0"/>
        <v>2036</v>
      </c>
      <c r="C23" s="31">
        <f>INDEX([24]SourceEnergy!$S$20:$T$45,MATCH($B23,[24]SourceEnergy!$R$20:$R$45,0),MATCH(C$7,[24]SourceEnergy!$S$12:$T$12,0))/10</f>
        <v>4.9304016220877065</v>
      </c>
      <c r="D23" s="31">
        <f>INDEX([24]SourceEnergy!$S$20:$T$45,MATCH($B23,[24]SourceEnergy!$R$20:$R$45,0),MATCH(D$7,[24]SourceEnergy!$S$12:$T$12,0))/10</f>
        <v>6.8850176423318716</v>
      </c>
      <c r="E23" s="31">
        <f>INDEX([24]SourceEnergy!$U$20:$V$45,MATCH($B23,[24]SourceEnergy!$R$20:$R$45,0),MATCH(E$7,[24]SourceEnergy!$U$12:$V$12,0))/10</f>
        <v>5.4950323854599423</v>
      </c>
      <c r="F23" s="31">
        <f>INDEX([24]SourceEnergy!$U$20:$V$45,MATCH($B23,[24]SourceEnergy!$R$20:$R$45,0),MATCH(F$7,[24]SourceEnergy!$U$12:$V$12,0))/10</f>
        <v>7.1189891026017893</v>
      </c>
    </row>
    <row r="24" spans="1:8" x14ac:dyDescent="0.2">
      <c r="A24" s="29"/>
      <c r="B24" s="30">
        <f t="shared" si="0"/>
        <v>2037</v>
      </c>
      <c r="C24" s="31">
        <f>INDEX([24]SourceEnergy!$S$20:$T$45,MATCH($B24,[24]SourceEnergy!$R$20:$R$45,0),MATCH(C$7,[24]SourceEnergy!$S$12:$T$12,0))/10</f>
        <v>5.0936622042916495</v>
      </c>
      <c r="D24" s="31">
        <f>INDEX([24]SourceEnergy!$S$20:$T$45,MATCH($B24,[24]SourceEnergy!$R$20:$R$45,0),MATCH(D$7,[24]SourceEnergy!$S$12:$T$12,0))/10</f>
        <v>6.5156119826510146</v>
      </c>
      <c r="E24" s="31">
        <f>INDEX([24]SourceEnergy!$U$20:$V$45,MATCH($B24,[24]SourceEnergy!$R$20:$R$45,0),MATCH(E$7,[24]SourceEnergy!$U$12:$V$12,0))/10</f>
        <v>5.3986916216386609</v>
      </c>
      <c r="F24" s="31">
        <f>INDEX([24]SourceEnergy!$U$20:$V$45,MATCH($B24,[24]SourceEnergy!$R$20:$R$45,0),MATCH(F$7,[24]SourceEnergy!$U$12:$V$12,0))/10</f>
        <v>7.1455502499214676</v>
      </c>
    </row>
    <row r="25" spans="1:8" x14ac:dyDescent="0.2">
      <c r="A25" s="29"/>
      <c r="B25" s="30">
        <f t="shared" si="0"/>
        <v>2038</v>
      </c>
      <c r="C25" s="31">
        <f>INDEX([24]SourceEnergy!$S$20:$T$45,MATCH($B25,[24]SourceEnergy!$R$20:$R$45,0),MATCH(C$7,[24]SourceEnergy!$S$12:$T$12,0))/10</f>
        <v>4.9065793167619081</v>
      </c>
      <c r="D25" s="31">
        <f>INDEX([24]SourceEnergy!$S$20:$T$45,MATCH($B25,[24]SourceEnergy!$R$20:$R$45,0),MATCH(D$7,[24]SourceEnergy!$S$12:$T$12,0))/10</f>
        <v>6.7810958842458717</v>
      </c>
      <c r="E25" s="31">
        <f>INDEX([24]SourceEnergy!$U$20:$V$45,MATCH($B25,[24]SourceEnergy!$R$20:$R$45,0),MATCH(E$7,[24]SourceEnergy!$U$12:$V$12,0))/10</f>
        <v>5.706136134228335</v>
      </c>
      <c r="F25" s="31">
        <f>INDEX([24]SourceEnergy!$U$20:$V$45,MATCH($B25,[24]SourceEnergy!$R$20:$R$45,0),MATCH(F$7,[24]SourceEnergy!$U$12:$V$12,0))/10</f>
        <v>7.5186064839984157</v>
      </c>
    </row>
    <row r="26" spans="1:8" x14ac:dyDescent="0.2">
      <c r="A26" s="29"/>
      <c r="B26" s="30">
        <f t="shared" si="0"/>
        <v>2039</v>
      </c>
      <c r="C26" s="31">
        <f>INDEX([24]SourceEnergy!$S$20:$T$45,MATCH($B26,[24]SourceEnergy!$R$20:$R$45,0),MATCH(C$7,[24]SourceEnergy!$S$12:$T$12,0))/10</f>
        <v>5.3748209556443509</v>
      </c>
      <c r="D26" s="31">
        <f>INDEX([24]SourceEnergy!$S$20:$T$45,MATCH($B26,[24]SourceEnergy!$R$20:$R$45,0),MATCH(D$7,[24]SourceEnergy!$S$12:$T$12,0))/10</f>
        <v>6.8306179420405071</v>
      </c>
      <c r="E26" s="31">
        <f>INDEX([24]SourceEnergy!$U$20:$V$45,MATCH($B26,[24]SourceEnergy!$R$20:$R$45,0),MATCH(E$7,[24]SourceEnergy!$U$12:$V$12,0))/10</f>
        <v>5.9017119330171974</v>
      </c>
      <c r="F26" s="31">
        <f>INDEX([24]SourceEnergy!$U$20:$V$45,MATCH($B26,[24]SourceEnergy!$R$20:$R$45,0),MATCH(F$7,[24]SourceEnergy!$U$12:$V$12,0))/10</f>
        <v>7.8431976206961753</v>
      </c>
    </row>
    <row r="27" spans="1:8" x14ac:dyDescent="0.2">
      <c r="A27" s="29"/>
      <c r="B27" s="30">
        <f t="shared" si="0"/>
        <v>2040</v>
      </c>
      <c r="C27" s="31">
        <f>INDEX([24]SourceEnergy!$S$20:$T$45,MATCH($B27,[24]SourceEnergy!$R$20:$R$45,0),MATCH(C$7,[24]SourceEnergy!$S$12:$T$12,0))/10</f>
        <v>5.5342237337214142</v>
      </c>
      <c r="D27" s="31">
        <f>INDEX([24]SourceEnergy!$S$20:$T$45,MATCH($B27,[24]SourceEnergy!$R$20:$R$45,0),MATCH(D$7,[24]SourceEnergy!$S$12:$T$12,0))/10</f>
        <v>7.0758563143107676</v>
      </c>
      <c r="E27" s="31">
        <f>INDEX([24]SourceEnergy!$U$20:$V$45,MATCH($B27,[24]SourceEnergy!$R$20:$R$45,0),MATCH(E$7,[24]SourceEnergy!$U$12:$V$12,0))/10</f>
        <v>5.9949842187128164</v>
      </c>
      <c r="F27" s="31">
        <f>INDEX([24]SourceEnergy!$U$20:$V$45,MATCH($B27,[24]SourceEnergy!$R$20:$R$45,0),MATCH(F$7,[24]SourceEnergy!$U$12:$V$12,0))/10</f>
        <v>7.9447003439536443</v>
      </c>
    </row>
    <row r="28" spans="1:8" x14ac:dyDescent="0.2">
      <c r="A28" s="29"/>
      <c r="B28" s="30">
        <f t="shared" si="0"/>
        <v>2041</v>
      </c>
      <c r="C28" s="31">
        <f>INDEX([24]SourceEnergy!$S$20:$T$45,MATCH($B28,[24]SourceEnergy!$R$20:$R$45,0),MATCH(C$7,[24]SourceEnergy!$S$12:$T$12,0))/10</f>
        <v>5.6214185584010208</v>
      </c>
      <c r="D28" s="31">
        <f>INDEX([24]SourceEnergy!$S$20:$T$45,MATCH($B28,[24]SourceEnergy!$R$20:$R$45,0),MATCH(D$7,[24]SourceEnergy!$S$12:$T$12,0))/10</f>
        <v>7.5807512698874575</v>
      </c>
      <c r="E28" s="31">
        <f>INDEX([24]SourceEnergy!$U$20:$V$45,MATCH($B28,[24]SourceEnergy!$R$20:$R$45,0),MATCH(E$7,[24]SourceEnergy!$U$12:$V$12,0))/10</f>
        <v>5.9077884745626346</v>
      </c>
      <c r="F28" s="31">
        <f>INDEX([24]SourceEnergy!$U$20:$V$45,MATCH($B28,[24]SourceEnergy!$R$20:$R$45,0),MATCH(F$7,[24]SourceEnergy!$U$12:$V$12,0))/10</f>
        <v>8.4893419057150368</v>
      </c>
    </row>
    <row r="29" spans="1:8" x14ac:dyDescent="0.2">
      <c r="A29" s="29"/>
      <c r="B29" s="30">
        <f t="shared" si="0"/>
        <v>2042</v>
      </c>
      <c r="C29" s="31">
        <f>INDEX([24]SourceEnergy!$S$20:$T$45,MATCH($B29,[24]SourceEnergy!$R$20:$R$45,0),MATCH(C$7,[24]SourceEnergy!$S$12:$T$12,0))/10</f>
        <v>5.8249343574976269</v>
      </c>
      <c r="D29" s="31">
        <f>INDEX([24]SourceEnergy!$S$20:$T$45,MATCH($B29,[24]SourceEnergy!$R$20:$R$45,0),MATCH(D$7,[24]SourceEnergy!$S$12:$T$12,0))/10</f>
        <v>8.3554437246827238</v>
      </c>
      <c r="E29" s="31">
        <f>INDEX([24]SourceEnergy!$U$20:$V$45,MATCH($B29,[24]SourceEnergy!$R$20:$R$45,0),MATCH(E$7,[24]SourceEnergy!$U$12:$V$12,0))/10</f>
        <v>5.6429564025334624</v>
      </c>
      <c r="F29" s="31">
        <f>INDEX([24]SourceEnergy!$U$20:$V$45,MATCH($B29,[24]SourceEnergy!$R$20:$R$45,0),MATCH(F$7,[24]SourceEnergy!$U$12:$V$12,0))/10</f>
        <v>8.7543515252244912</v>
      </c>
    </row>
    <row r="30" spans="1:8" hidden="1" x14ac:dyDescent="0.2">
      <c r="A30" s="29"/>
      <c r="B30" s="30">
        <f t="shared" si="0"/>
        <v>2043</v>
      </c>
      <c r="C30" s="31">
        <f>INDEX([24]SourceEnergy!$S$20:$T$45,MATCH($B30,[24]SourceEnergy!$R$20:$R$45,0),MATCH(C$7,[24]SourceEnergy!$S$12:$T$12,0))/10</f>
        <v>0</v>
      </c>
      <c r="D30" s="31">
        <f>INDEX([24]SourceEnergy!$S$20:$T$45,MATCH($B30,[24]SourceEnergy!$R$20:$R$45,0),MATCH(D$7,[24]SourceEnergy!$S$12:$T$12,0))/10</f>
        <v>0</v>
      </c>
      <c r="E30" s="31">
        <f>INDEX([24]SourceEnergy!$U$20:$V$45,MATCH($B30,[24]SourceEnergy!$R$20:$R$45,0),MATCH(E$7,[24]SourceEnergy!$U$12:$V$12,0))/10</f>
        <v>0</v>
      </c>
      <c r="F30" s="31">
        <f>INDEX([24]SourceEnergy!$U$20:$V$45,MATCH($B30,[24]SourceEnergy!$R$20:$R$45,0),MATCH(F$7,[24]SourceEnergy!$U$12:$V$12,0))/10</f>
        <v>0</v>
      </c>
      <c r="H30" s="33"/>
    </row>
    <row r="31" spans="1:8" x14ac:dyDescent="0.2">
      <c r="A31" s="29"/>
      <c r="B31" s="30"/>
      <c r="C31" s="31"/>
      <c r="D31" s="31"/>
      <c r="E31" s="31"/>
      <c r="F31" s="31"/>
    </row>
    <row r="32" spans="1:8" x14ac:dyDescent="0.2">
      <c r="A32" s="29"/>
      <c r="C32" s="27" t="s">
        <v>61</v>
      </c>
      <c r="D32" s="27"/>
      <c r="E32" s="45" t="s">
        <v>28</v>
      </c>
      <c r="F32" s="45"/>
    </row>
    <row r="33" spans="1:13" ht="14.25" x14ac:dyDescent="0.35">
      <c r="A33" s="29"/>
      <c r="B33" s="34"/>
      <c r="C33" s="28" t="s">
        <v>9</v>
      </c>
      <c r="D33" s="28" t="s">
        <v>10</v>
      </c>
      <c r="E33" s="28" t="s">
        <v>9</v>
      </c>
      <c r="F33" s="28" t="s">
        <v>10</v>
      </c>
    </row>
    <row r="34" spans="1:13" ht="33.75" customHeight="1" x14ac:dyDescent="0.2">
      <c r="B34" s="35" t="str">
        <f ca="1">"15-year ("&amp;INDEX($B:$B,MID(_xlfn.FORMULATEXT(C34),FIND("(C",_xlfn.FORMULATEXT(C34))+2,2),1)&amp;"-"&amp;INDEX($B:$B,MID(_xlfn.FORMULATEXT(C34),FIND("),",_xlfn.FORMULATEXT(C34))-2,2),1)&amp;") Nominal Levelized"</f>
        <v>15-year (2023-2037) Nominal Levelized</v>
      </c>
      <c r="C34" s="36">
        <f>-PMT('Table 3 Comparison'!$P$37,COUNT(C10:C24),NPV('Table 3 Comparison'!$P$37,C10:C24))</f>
        <v>3.9413834544384563</v>
      </c>
      <c r="D34" s="36">
        <f>-PMT('Table 3 Comparison'!$P$37,COUNT(D10:D24),NPV('Table 3 Comparison'!$P$37,D10:D24))</f>
        <v>6.4630238620275353</v>
      </c>
      <c r="E34" s="36">
        <f>-PMT('Table 3 Comparison'!$P$37,COUNT(E10:E24),NPV('Table 3 Comparison'!$P$37,E10:E24))</f>
        <v>4.3062659688113385</v>
      </c>
      <c r="F34" s="36">
        <f>-PMT('Table 3 Comparison'!$P$37,COUNT(F10:F24),NPV('Table 3 Comparison'!$P$37,F10:F24))</f>
        <v>4.9854589667580038</v>
      </c>
    </row>
    <row r="35" spans="1:13" ht="24" hidden="1" x14ac:dyDescent="0.2">
      <c r="A35" s="34"/>
      <c r="B35" s="35" t="s">
        <v>76</v>
      </c>
      <c r="C35" s="36">
        <f>-PMT('Table 3 Comparison'!$P$37,COUNT(C11:C25),NPV('Table 3 Comparison'!$P$37,C11:C25))</f>
        <v>3.8823332514562239</v>
      </c>
      <c r="D35" s="36">
        <f>-PMT('Table 3 Comparison'!$P$37,COUNT(D11:D25),NPV('Table 3 Comparison'!$P$37,D11:D25))</f>
        <v>6.1189313757836326</v>
      </c>
      <c r="E35" s="36">
        <f>-PMT('Table 3 Comparison'!$P$37,COUNT(E11:E25),NPV('Table 3 Comparison'!$P$37,E11:E25))</f>
        <v>4.307408490066754</v>
      </c>
      <c r="F35" s="36">
        <f>-PMT('Table 3 Comparison'!$P$37,COUNT(F11:F25),NPV('Table 3 Comparison'!$P$37,F11:F25))</f>
        <v>5.1057860710682945</v>
      </c>
    </row>
    <row r="36" spans="1:13" ht="24" hidden="1" x14ac:dyDescent="0.2">
      <c r="B36" s="35" t="s">
        <v>77</v>
      </c>
      <c r="C36" s="36">
        <f>-PMT('Table 3 Comparison'!$P$37,COUNT(C12:C26),NPV('Table 3 Comparison'!$P$37,C12:C26))</f>
        <v>3.7634212339001061</v>
      </c>
      <c r="D36" s="36">
        <f>-PMT('Table 3 Comparison'!$P$37,COUNT(D12:D26),NPV('Table 3 Comparison'!$P$37,D12:D26))</f>
        <v>5.5344654455402154</v>
      </c>
      <c r="E36" s="36">
        <f>-PMT('Table 3 Comparison'!$P$37,COUNT(E12:E26),NPV('Table 3 Comparison'!$P$37,E12:E26))</f>
        <v>4.2184073307748493</v>
      </c>
      <c r="F36" s="36">
        <f>-PMT('Table 3 Comparison'!$P$37,COUNT(F12:F26),NPV('Table 3 Comparison'!$P$37,F12:F26))</f>
        <v>5.1627519253464156</v>
      </c>
    </row>
    <row r="37" spans="1:13" x14ac:dyDescent="0.2">
      <c r="B37" s="35"/>
      <c r="C37" s="36"/>
      <c r="D37" s="36"/>
      <c r="E37" s="36"/>
      <c r="F37" s="36"/>
    </row>
    <row r="38" spans="1:13" ht="7.5" customHeight="1" x14ac:dyDescent="0.2">
      <c r="A38" s="38"/>
      <c r="B38"/>
      <c r="C38"/>
      <c r="D38"/>
      <c r="E38"/>
      <c r="F38" s="39"/>
      <c r="H38" s="52"/>
      <c r="I38" s="52"/>
      <c r="J38" s="53"/>
      <c r="K38" s="53"/>
      <c r="L38" s="52"/>
    </row>
    <row r="39" spans="1:13" ht="12.75" hidden="1" x14ac:dyDescent="0.2">
      <c r="A39" s="38"/>
      <c r="B39"/>
      <c r="C39"/>
      <c r="D39" s="41"/>
      <c r="E39" s="41"/>
      <c r="F39" s="39"/>
    </row>
    <row r="40" spans="1:13" ht="12.75" hidden="1" x14ac:dyDescent="0.2">
      <c r="A40" s="29"/>
      <c r="B40"/>
      <c r="C40"/>
      <c r="D40" s="41"/>
      <c r="E40" s="41"/>
      <c r="F40" s="29"/>
      <c r="H40" s="48"/>
      <c r="I40" s="48"/>
      <c r="J40" s="47"/>
      <c r="K40" s="49"/>
      <c r="L40" s="48"/>
      <c r="M40" s="48"/>
    </row>
    <row r="41" spans="1:13" ht="12.75" x14ac:dyDescent="0.2">
      <c r="A41" s="37"/>
      <c r="B41" t="s">
        <v>103</v>
      </c>
      <c r="C41"/>
      <c r="D41" s="41"/>
      <c r="E41" s="41"/>
      <c r="H41" s="54"/>
      <c r="I41" s="50"/>
      <c r="J41" s="54"/>
      <c r="K41" s="55"/>
    </row>
    <row r="42" spans="1:13" ht="12.75" x14ac:dyDescent="0.2">
      <c r="A42" s="29"/>
      <c r="B42" t="s">
        <v>292</v>
      </c>
      <c r="C42" s="29"/>
      <c r="D42" s="29"/>
      <c r="E42" s="29"/>
      <c r="F42" s="29"/>
    </row>
    <row r="43" spans="1:13" x14ac:dyDescent="0.2">
      <c r="A43" s="37"/>
    </row>
    <row r="44" spans="1:13" x14ac:dyDescent="0.2">
      <c r="A44" s="37"/>
    </row>
  </sheetData>
  <printOptions horizontalCentered="1"/>
  <pageMargins left="0.25" right="0.25" top="0.75" bottom="0.75" header="0.3" footer="0.3"/>
  <pageSetup scale="89" orientation="landscape" copies="3" r:id="rId1"/>
  <headerFooter alignWithMargins="0">
    <oddFooter>&amp;L&amp;8NPC Group - &amp;F   ( &amp;A )&amp;C &amp;R &amp;8&amp;D 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B1:AQ313"/>
  <sheetViews>
    <sheetView view="pageBreakPreview" zoomScale="70" zoomScaleNormal="100" zoomScaleSheetLayoutView="70" workbookViewId="0">
      <selection activeCell="A31" sqref="A31"/>
    </sheetView>
  </sheetViews>
  <sheetFormatPr defaultColWidth="8.83203125" defaultRowHeight="12.75" x14ac:dyDescent="0.2"/>
  <cols>
    <col min="1" max="1" width="1.5" style="40" customWidth="1"/>
    <col min="2" max="2" width="25.83203125" style="40" bestFit="1" customWidth="1"/>
    <col min="3" max="3" width="20.33203125" style="40" bestFit="1" customWidth="1"/>
    <col min="4" max="4" width="18.83203125" style="40" customWidth="1"/>
    <col min="5" max="5" width="7.83203125" style="40" bestFit="1" customWidth="1"/>
    <col min="6" max="6" width="3" style="40" customWidth="1"/>
    <col min="7" max="7" width="8.1640625" style="40" customWidth="1"/>
    <col min="8" max="9" width="21.1640625" style="40" customWidth="1"/>
    <col min="10" max="12" width="8.83203125" style="40"/>
    <col min="13" max="13" width="14" style="93" bestFit="1" customWidth="1"/>
    <col min="14" max="14" width="9" style="61" bestFit="1" customWidth="1"/>
    <col min="15" max="15" width="7.83203125" style="61" bestFit="1" customWidth="1"/>
    <col min="16" max="16" width="9" style="61" bestFit="1" customWidth="1"/>
    <col min="17" max="17" width="10.33203125" style="61" customWidth="1"/>
    <col min="18" max="18" width="3.1640625" style="40" customWidth="1"/>
    <col min="19" max="19" width="10" style="40" customWidth="1"/>
    <col min="20" max="20" width="10.83203125" style="40" customWidth="1"/>
    <col min="21" max="21" width="10.1640625" style="40" customWidth="1"/>
    <col min="22" max="22" width="3.1640625" style="40" customWidth="1"/>
    <col min="23" max="23" width="8.83203125" style="40"/>
    <col min="24" max="24" width="10.1640625" style="40" customWidth="1"/>
    <col min="25" max="25" width="9.6640625" style="40" customWidth="1"/>
    <col min="26" max="26" width="8.83203125" style="40"/>
    <col min="27" max="27" width="9.83203125" style="40" customWidth="1"/>
    <col min="28" max="28" width="8.83203125" style="40"/>
    <col min="29" max="29" width="10.5" style="40" customWidth="1"/>
    <col min="30" max="30" width="8.83203125" style="154"/>
    <col min="32" max="32" width="12.33203125" customWidth="1"/>
    <col min="38" max="38" width="22.83203125" customWidth="1"/>
    <col min="39" max="39" width="14.5" customWidth="1"/>
    <col min="43" max="43" width="8.83203125" style="154"/>
    <col min="44" max="16384" width="8.83203125" style="40"/>
  </cols>
  <sheetData>
    <row r="1" spans="2:41" ht="15.75" x14ac:dyDescent="0.25">
      <c r="B1" s="1" t="s">
        <v>47</v>
      </c>
      <c r="C1" s="56"/>
      <c r="D1" s="56"/>
      <c r="E1" s="56"/>
      <c r="F1" s="56"/>
      <c r="G1" s="56"/>
      <c r="H1" s="56"/>
      <c r="I1" s="56"/>
      <c r="M1" s="213" t="s">
        <v>48</v>
      </c>
      <c r="N1" s="212"/>
      <c r="O1" s="213"/>
      <c r="P1" s="212"/>
      <c r="Q1" s="57"/>
      <c r="AE1" t="s">
        <v>25</v>
      </c>
      <c r="AF1" t="s">
        <v>85</v>
      </c>
      <c r="AG1" t="s">
        <v>20</v>
      </c>
      <c r="AH1" t="s">
        <v>21</v>
      </c>
      <c r="AI1" t="s">
        <v>91</v>
      </c>
      <c r="AJ1" t="s">
        <v>90</v>
      </c>
    </row>
    <row r="2" spans="2:41" ht="15.75" x14ac:dyDescent="0.25">
      <c r="B2" s="1" t="s">
        <v>49</v>
      </c>
      <c r="C2" s="56"/>
      <c r="D2" s="56"/>
      <c r="E2" s="56"/>
      <c r="F2" s="56"/>
      <c r="G2" s="56"/>
      <c r="H2" s="56"/>
      <c r="I2" s="56"/>
      <c r="M2" s="58"/>
      <c r="N2" s="59"/>
      <c r="O2" s="59"/>
      <c r="P2" s="59"/>
      <c r="Q2" s="59"/>
      <c r="AD2" s="154" t="str">
        <f t="shared" ref="AD2:AD65" si="0">IF(AND(AE2&gt;=6,AE2&lt;=9),"Summer","Winter")</f>
        <v>Winter</v>
      </c>
      <c r="AE2">
        <f t="shared" ref="AE2:AE65" si="1">MONTH(AF2)</f>
        <v>1</v>
      </c>
      <c r="AF2" s="152">
        <v>42736</v>
      </c>
      <c r="AG2" s="153">
        <v>400</v>
      </c>
      <c r="AH2" s="153">
        <v>344</v>
      </c>
      <c r="AI2">
        <f t="shared" ref="AI2:AI65" si="2">AG2/16</f>
        <v>25</v>
      </c>
      <c r="AJ2">
        <f t="shared" ref="AJ2:AJ65" si="3">EDATE(AF2,1)-AF2-AI2</f>
        <v>6</v>
      </c>
    </row>
    <row r="3" spans="2:41" x14ac:dyDescent="0.2">
      <c r="B3" s="56"/>
      <c r="C3" s="56"/>
      <c r="D3" s="56"/>
      <c r="E3" s="56"/>
      <c r="F3" s="56"/>
      <c r="G3" s="56"/>
      <c r="H3" s="56"/>
      <c r="I3" s="56"/>
      <c r="M3" s="60" t="str">
        <f>"Official Forward Price Curve dated "&amp;TEXT(C4,"mmmm YYYY")</f>
        <v>Official Forward Price Curve dated March 2023</v>
      </c>
      <c r="AD3" s="154" t="str">
        <f t="shared" si="0"/>
        <v>Winter</v>
      </c>
      <c r="AE3">
        <f t="shared" si="1"/>
        <v>2</v>
      </c>
      <c r="AF3" s="152">
        <v>42767</v>
      </c>
      <c r="AG3" s="153">
        <v>384</v>
      </c>
      <c r="AH3" s="153">
        <v>288</v>
      </c>
      <c r="AI3">
        <f t="shared" si="2"/>
        <v>24</v>
      </c>
      <c r="AJ3">
        <f t="shared" si="3"/>
        <v>4</v>
      </c>
      <c r="AM3" s="157"/>
      <c r="AN3" s="157"/>
      <c r="AO3" s="155"/>
    </row>
    <row r="4" spans="2:41" x14ac:dyDescent="0.2">
      <c r="B4" s="62" t="s">
        <v>50</v>
      </c>
      <c r="C4" s="63">
        <v>45016</v>
      </c>
      <c r="D4" s="63"/>
      <c r="E4" s="56"/>
      <c r="F4" s="64"/>
      <c r="G4" s="56"/>
      <c r="H4" s="56"/>
      <c r="I4" s="56"/>
      <c r="M4" s="65"/>
      <c r="N4" s="66"/>
      <c r="O4" s="66"/>
      <c r="P4" s="66"/>
      <c r="Q4" s="66"/>
      <c r="AD4" s="154" t="str">
        <f t="shared" si="0"/>
        <v>Winter</v>
      </c>
      <c r="AE4">
        <f t="shared" si="1"/>
        <v>3</v>
      </c>
      <c r="AF4" s="152">
        <v>42795</v>
      </c>
      <c r="AG4" s="153">
        <v>432</v>
      </c>
      <c r="AH4" s="153">
        <v>312</v>
      </c>
      <c r="AI4">
        <f t="shared" si="2"/>
        <v>27</v>
      </c>
      <c r="AJ4">
        <f t="shared" si="3"/>
        <v>4</v>
      </c>
      <c r="AM4" s="157"/>
      <c r="AN4" s="157"/>
      <c r="AO4" s="155"/>
    </row>
    <row r="5" spans="2:41" x14ac:dyDescent="0.2">
      <c r="B5" s="62"/>
      <c r="C5" s="67"/>
      <c r="D5" s="67"/>
      <c r="F5" s="64"/>
      <c r="G5" s="148"/>
      <c r="H5" s="149" t="s">
        <v>75</v>
      </c>
      <c r="I5" s="149"/>
      <c r="M5" s="211"/>
      <c r="N5" s="68" t="s">
        <v>48</v>
      </c>
      <c r="O5" s="68"/>
      <c r="P5" s="68"/>
      <c r="Q5" s="68"/>
      <c r="W5" s="211"/>
      <c r="X5" s="68" t="s">
        <v>48</v>
      </c>
      <c r="Y5" s="68"/>
      <c r="Z5" s="68"/>
      <c r="AA5" s="68"/>
      <c r="AD5" s="154" t="str">
        <f t="shared" si="0"/>
        <v>Winter</v>
      </c>
      <c r="AE5">
        <f t="shared" si="1"/>
        <v>4</v>
      </c>
      <c r="AF5" s="152">
        <v>42826</v>
      </c>
      <c r="AG5" s="153">
        <v>400</v>
      </c>
      <c r="AH5" s="153">
        <v>320</v>
      </c>
      <c r="AI5">
        <f t="shared" si="2"/>
        <v>25</v>
      </c>
      <c r="AJ5">
        <f t="shared" si="3"/>
        <v>5</v>
      </c>
      <c r="AM5" s="157"/>
      <c r="AN5" s="157"/>
      <c r="AO5" s="155"/>
    </row>
    <row r="6" spans="2:41" x14ac:dyDescent="0.2">
      <c r="B6" s="69" t="s">
        <v>51</v>
      </c>
      <c r="G6" s="150" t="s">
        <v>0</v>
      </c>
      <c r="H6" s="150" t="str">
        <f>C7</f>
        <v>East Side</v>
      </c>
      <c r="I6" s="150" t="str">
        <f>D7</f>
        <v>West Side</v>
      </c>
      <c r="M6" s="70"/>
      <c r="N6" s="68" t="s">
        <v>20</v>
      </c>
      <c r="O6" s="68"/>
      <c r="P6" s="68" t="s">
        <v>21</v>
      </c>
      <c r="Q6" s="68"/>
      <c r="W6" s="70"/>
      <c r="X6" s="68" t="s">
        <v>20</v>
      </c>
      <c r="Y6" s="68"/>
      <c r="Z6" s="68" t="s">
        <v>21</v>
      </c>
      <c r="AA6" s="68"/>
      <c r="AD6" s="154" t="str">
        <f t="shared" si="0"/>
        <v>Winter</v>
      </c>
      <c r="AE6">
        <f t="shared" si="1"/>
        <v>5</v>
      </c>
      <c r="AF6" s="152">
        <v>42856</v>
      </c>
      <c r="AG6" s="153">
        <v>416</v>
      </c>
      <c r="AH6" s="153">
        <v>328</v>
      </c>
      <c r="AI6">
        <f t="shared" si="2"/>
        <v>26</v>
      </c>
      <c r="AJ6">
        <f t="shared" si="3"/>
        <v>5</v>
      </c>
      <c r="AM6" s="157"/>
      <c r="AN6" s="157"/>
      <c r="AO6" s="155"/>
    </row>
    <row r="7" spans="2:41" ht="38.25" x14ac:dyDescent="0.2">
      <c r="B7" s="210" t="s">
        <v>25</v>
      </c>
      <c r="C7" s="209" t="str">
        <f>C263</f>
        <v>East Side</v>
      </c>
      <c r="D7" s="209" t="str">
        <f>D263</f>
        <v>West Side</v>
      </c>
      <c r="E7" s="208" t="s">
        <v>0</v>
      </c>
      <c r="G7" s="148"/>
      <c r="H7" s="147" t="s">
        <v>8</v>
      </c>
      <c r="I7" s="147" t="s">
        <v>8</v>
      </c>
      <c r="K7" s="40" t="s">
        <v>25</v>
      </c>
      <c r="L7" s="40" t="s">
        <v>0</v>
      </c>
      <c r="M7" s="207" t="s">
        <v>52</v>
      </c>
      <c r="N7" s="71" t="s">
        <v>53</v>
      </c>
      <c r="O7" s="71" t="s">
        <v>54</v>
      </c>
      <c r="P7" s="71" t="s">
        <v>53</v>
      </c>
      <c r="Q7" s="72" t="s">
        <v>54</v>
      </c>
      <c r="S7" s="40" t="s">
        <v>58</v>
      </c>
      <c r="T7" s="99" t="s">
        <v>57</v>
      </c>
      <c r="U7" s="99" t="s">
        <v>59</v>
      </c>
      <c r="V7" s="99"/>
      <c r="W7" s="207" t="s">
        <v>0</v>
      </c>
      <c r="X7" s="71" t="s">
        <v>53</v>
      </c>
      <c r="Y7" s="71" t="s">
        <v>54</v>
      </c>
      <c r="Z7" s="71" t="s">
        <v>53</v>
      </c>
      <c r="AA7" s="72" t="s">
        <v>54</v>
      </c>
      <c r="AD7" s="154" t="str">
        <f t="shared" si="0"/>
        <v>Summer</v>
      </c>
      <c r="AE7">
        <f t="shared" si="1"/>
        <v>6</v>
      </c>
      <c r="AF7" s="152">
        <v>42887</v>
      </c>
      <c r="AG7" s="153">
        <v>416</v>
      </c>
      <c r="AH7" s="153">
        <v>304</v>
      </c>
      <c r="AI7">
        <f t="shared" si="2"/>
        <v>26</v>
      </c>
      <c r="AJ7">
        <f t="shared" si="3"/>
        <v>4</v>
      </c>
      <c r="AM7" s="157"/>
      <c r="AN7" s="157"/>
      <c r="AO7" s="155"/>
    </row>
    <row r="8" spans="2:41" x14ac:dyDescent="0.2">
      <c r="B8" s="206">
        <v>44927</v>
      </c>
      <c r="C8" s="73">
        <v>16.069061757071886</v>
      </c>
      <c r="D8" s="73">
        <v>14.949258196243322</v>
      </c>
      <c r="E8" s="205">
        <f t="shared" ref="E8:E71" si="4">YEAR(B8)</f>
        <v>2023</v>
      </c>
      <c r="G8" s="74">
        <f>YEAR(B8)</f>
        <v>2023</v>
      </c>
      <c r="H8" s="75">
        <f t="shared" ref="H8:H27" si="5">ROUND(AVERAGEIF($E$8:$E$247,$G8,$C$8:$C$247),2)</f>
        <v>5.46</v>
      </c>
      <c r="I8" s="75">
        <f t="shared" ref="I8:I27" si="6">ROUND(AVERAGEIF($E$8:$E$247,$G8,$D$8:$D$247),2)</f>
        <v>4.7699999999999996</v>
      </c>
      <c r="K8">
        <f>MONTH(M8)</f>
        <v>1</v>
      </c>
      <c r="L8" s="101">
        <f>YEAR(M8)</f>
        <v>2023</v>
      </c>
      <c r="M8" s="76">
        <f t="shared" ref="M8:M71" si="7">B8</f>
        <v>44927</v>
      </c>
      <c r="N8" s="77">
        <v>146.05679999999998</v>
      </c>
      <c r="O8" s="77">
        <v>141.4376</v>
      </c>
      <c r="P8" s="77">
        <v>145.0744186046511</v>
      </c>
      <c r="Q8" s="78">
        <v>128.70325581395349</v>
      </c>
      <c r="S8" s="311">
        <f>O9*$AO$20+Q9*$AO$22</f>
        <v>66.873049905838059</v>
      </c>
      <c r="T8" s="100">
        <f>O8/S8</f>
        <v>2.1150164408405785</v>
      </c>
      <c r="U8" s="100">
        <f>Q8/S8</f>
        <v>1.9245907879957127</v>
      </c>
      <c r="W8" s="74">
        <f>G8</f>
        <v>2023</v>
      </c>
      <c r="X8" s="79">
        <f>ROUND(AVERAGEIF($E$8:$E$247,$W8,N$8:N$247),2)</f>
        <v>125.27</v>
      </c>
      <c r="Y8" s="79">
        <f>ROUND(AVERAGEIF($E$8:$E$247,$W8,O$8:O$247),2)</f>
        <v>112.17</v>
      </c>
      <c r="Z8" s="79">
        <f>ROUND(AVERAGEIF($E$8:$E$247,$W8,P$8:P$247),2)</f>
        <v>83.88</v>
      </c>
      <c r="AA8" s="79">
        <f>ROUND(AVERAGEIF($E$8:$E$247,$W8,Q$8:Q$247),2)</f>
        <v>77.44</v>
      </c>
      <c r="AD8" s="154" t="str">
        <f t="shared" si="0"/>
        <v>Summer</v>
      </c>
      <c r="AE8">
        <f t="shared" si="1"/>
        <v>7</v>
      </c>
      <c r="AF8" s="152">
        <v>42917</v>
      </c>
      <c r="AG8" s="153">
        <v>400</v>
      </c>
      <c r="AH8" s="153">
        <v>344</v>
      </c>
      <c r="AI8">
        <f t="shared" si="2"/>
        <v>25</v>
      </c>
      <c r="AJ8">
        <f t="shared" si="3"/>
        <v>6</v>
      </c>
      <c r="AM8" s="157"/>
      <c r="AN8" s="157"/>
      <c r="AO8" s="155"/>
    </row>
    <row r="9" spans="2:41" x14ac:dyDescent="0.2">
      <c r="B9" s="80">
        <f t="shared" ref="B9:B72" si="8">EDATE(B8,1)</f>
        <v>44958</v>
      </c>
      <c r="C9" s="73">
        <v>7.0939600059384995</v>
      </c>
      <c r="D9" s="73">
        <v>6.7532858793758104</v>
      </c>
      <c r="E9" s="81">
        <f t="shared" si="4"/>
        <v>2023</v>
      </c>
      <c r="G9" s="74">
        <f t="shared" ref="G9:G27" si="9">G8+1</f>
        <v>2024</v>
      </c>
      <c r="H9" s="75">
        <f t="shared" si="5"/>
        <v>4.74</v>
      </c>
      <c r="I9" s="75">
        <f t="shared" si="6"/>
        <v>4.01</v>
      </c>
      <c r="K9">
        <f t="shared" ref="K9:K72" si="10">MONTH(M9)</f>
        <v>2</v>
      </c>
      <c r="L9" s="101">
        <f t="shared" ref="L9:L72" si="11">YEAR(M9)</f>
        <v>2023</v>
      </c>
      <c r="M9" s="76">
        <f t="shared" si="7"/>
        <v>44958</v>
      </c>
      <c r="N9" s="77">
        <v>91.571666666666673</v>
      </c>
      <c r="O9" s="77">
        <v>69.320416666666674</v>
      </c>
      <c r="P9" s="77">
        <v>72.666666666666657</v>
      </c>
      <c r="Q9" s="78">
        <v>63.752500000000012</v>
      </c>
      <c r="S9" s="311">
        <f t="shared" ref="S9:S10" si="12">O10*$AO$20+Q10*$AO$22</f>
        <v>63.499512450303413</v>
      </c>
      <c r="T9" s="100">
        <f t="shared" ref="T9:T72" si="13">O9/S9</f>
        <v>1.0916684867607271</v>
      </c>
      <c r="U9" s="100">
        <f t="shared" ref="U9:U72" si="14">Q9/S9</f>
        <v>1.0039840864903427</v>
      </c>
      <c r="W9" s="74">
        <f t="shared" ref="W9:W27" si="15">W8+1</f>
        <v>2024</v>
      </c>
      <c r="X9" s="79">
        <f t="shared" ref="X9:AA27" si="16">ROUND(AVERAGEIF($E$8:$E$247,$W9,N$8:N$247),2)</f>
        <v>112.71</v>
      </c>
      <c r="Y9" s="79">
        <f t="shared" si="16"/>
        <v>109.38</v>
      </c>
      <c r="Z9" s="79">
        <f t="shared" si="16"/>
        <v>74.77</v>
      </c>
      <c r="AA9" s="79">
        <f t="shared" si="16"/>
        <v>76.400000000000006</v>
      </c>
      <c r="AD9" s="154" t="str">
        <f t="shared" si="0"/>
        <v>Summer</v>
      </c>
      <c r="AE9">
        <f t="shared" si="1"/>
        <v>8</v>
      </c>
      <c r="AF9" s="152">
        <v>42948</v>
      </c>
      <c r="AG9" s="153">
        <v>432</v>
      </c>
      <c r="AH9" s="153">
        <v>312</v>
      </c>
      <c r="AI9">
        <f t="shared" si="2"/>
        <v>27</v>
      </c>
      <c r="AJ9">
        <f t="shared" si="3"/>
        <v>4</v>
      </c>
      <c r="AM9" s="157"/>
      <c r="AN9" s="157"/>
      <c r="AO9" s="155"/>
    </row>
    <row r="10" spans="2:41" x14ac:dyDescent="0.2">
      <c r="B10" s="80">
        <f t="shared" si="8"/>
        <v>44986</v>
      </c>
      <c r="C10" s="73">
        <v>5.9321211546902228</v>
      </c>
      <c r="D10" s="73">
        <v>5.4512548570192383</v>
      </c>
      <c r="E10" s="81">
        <f t="shared" si="4"/>
        <v>2023</v>
      </c>
      <c r="G10" s="74">
        <f t="shared" si="9"/>
        <v>2025</v>
      </c>
      <c r="H10" s="75">
        <f t="shared" si="5"/>
        <v>5.16</v>
      </c>
      <c r="I10" s="75">
        <f t="shared" si="6"/>
        <v>4.43</v>
      </c>
      <c r="K10">
        <f t="shared" si="10"/>
        <v>3</v>
      </c>
      <c r="L10" s="101">
        <f t="shared" si="11"/>
        <v>2023</v>
      </c>
      <c r="M10" s="76">
        <f t="shared" si="7"/>
        <v>44986</v>
      </c>
      <c r="N10" s="77">
        <v>87.31259259259258</v>
      </c>
      <c r="O10" s="77">
        <v>61.368518518518528</v>
      </c>
      <c r="P10" s="77">
        <v>83.669487179487191</v>
      </c>
      <c r="Q10" s="78">
        <v>66.216666666666669</v>
      </c>
      <c r="S10" s="311">
        <f t="shared" si="12"/>
        <v>49.726909491525419</v>
      </c>
      <c r="T10" s="100">
        <f t="shared" si="13"/>
        <v>1.2341108495587707</v>
      </c>
      <c r="U10" s="100">
        <f t="shared" si="14"/>
        <v>1.3316063142422208</v>
      </c>
      <c r="W10" s="74">
        <f t="shared" si="15"/>
        <v>2025</v>
      </c>
      <c r="X10" s="79">
        <f t="shared" si="16"/>
        <v>109.47</v>
      </c>
      <c r="Y10" s="79">
        <f t="shared" si="16"/>
        <v>101.23</v>
      </c>
      <c r="Z10" s="79">
        <f t="shared" si="16"/>
        <v>76.47</v>
      </c>
      <c r="AA10" s="79">
        <f t="shared" si="16"/>
        <v>80.62</v>
      </c>
      <c r="AD10" s="154" t="str">
        <f t="shared" si="0"/>
        <v>Summer</v>
      </c>
      <c r="AE10">
        <f t="shared" si="1"/>
        <v>9</v>
      </c>
      <c r="AF10" s="152">
        <v>42979</v>
      </c>
      <c r="AG10" s="153">
        <v>400</v>
      </c>
      <c r="AH10" s="153">
        <v>320</v>
      </c>
      <c r="AI10">
        <f t="shared" si="2"/>
        <v>25</v>
      </c>
      <c r="AJ10">
        <f t="shared" si="3"/>
        <v>5</v>
      </c>
      <c r="AM10" s="157"/>
      <c r="AN10" s="157"/>
      <c r="AO10" s="155"/>
    </row>
    <row r="11" spans="2:41" x14ac:dyDescent="0.2">
      <c r="B11" s="80">
        <f t="shared" si="8"/>
        <v>45017</v>
      </c>
      <c r="C11" s="73">
        <v>3.7553640991584714</v>
      </c>
      <c r="D11" s="73">
        <v>3.2927316226777927</v>
      </c>
      <c r="E11" s="81">
        <f t="shared" si="4"/>
        <v>2023</v>
      </c>
      <c r="G11" s="74">
        <f t="shared" si="9"/>
        <v>2026</v>
      </c>
      <c r="H11" s="75">
        <f t="shared" si="5"/>
        <v>5.29</v>
      </c>
      <c r="I11" s="75">
        <f t="shared" si="6"/>
        <v>4.8</v>
      </c>
      <c r="K11">
        <f t="shared" si="10"/>
        <v>4</v>
      </c>
      <c r="L11" s="101">
        <f t="shared" si="11"/>
        <v>2023</v>
      </c>
      <c r="M11" s="76">
        <f t="shared" si="7"/>
        <v>45017</v>
      </c>
      <c r="N11" s="77">
        <v>92.03</v>
      </c>
      <c r="O11" s="77">
        <v>46.017299999999999</v>
      </c>
      <c r="P11" s="77">
        <v>83.503600000000006</v>
      </c>
      <c r="Q11" s="78">
        <v>54.456899999999997</v>
      </c>
      <c r="S11" s="98">
        <v>49.768233333333335</v>
      </c>
      <c r="T11" s="100">
        <f t="shared" si="13"/>
        <v>0.92463197742602876</v>
      </c>
      <c r="U11" s="100">
        <f t="shared" si="14"/>
        <v>1.094210028217464</v>
      </c>
      <c r="W11" s="74">
        <f t="shared" si="15"/>
        <v>2026</v>
      </c>
      <c r="X11" s="79">
        <f t="shared" si="16"/>
        <v>90.26</v>
      </c>
      <c r="Y11" s="79">
        <f t="shared" si="16"/>
        <v>81.89</v>
      </c>
      <c r="Z11" s="79">
        <f t="shared" si="16"/>
        <v>66.48</v>
      </c>
      <c r="AA11" s="79">
        <f t="shared" si="16"/>
        <v>70.34</v>
      </c>
      <c r="AD11" s="154" t="str">
        <f t="shared" si="0"/>
        <v>Winter</v>
      </c>
      <c r="AE11">
        <f t="shared" si="1"/>
        <v>10</v>
      </c>
      <c r="AF11" s="152">
        <v>43009</v>
      </c>
      <c r="AG11" s="153">
        <v>416</v>
      </c>
      <c r="AH11" s="153">
        <v>328</v>
      </c>
      <c r="AI11">
        <f t="shared" si="2"/>
        <v>26</v>
      </c>
      <c r="AJ11">
        <f t="shared" si="3"/>
        <v>5</v>
      </c>
      <c r="AM11" s="157"/>
      <c r="AN11" s="157"/>
      <c r="AO11" s="155"/>
    </row>
    <row r="12" spans="2:41" x14ac:dyDescent="0.2">
      <c r="B12" s="80">
        <f t="shared" si="8"/>
        <v>45047</v>
      </c>
      <c r="C12" s="73">
        <v>2.7906474814965021</v>
      </c>
      <c r="D12" s="73">
        <v>2.4127623758785246</v>
      </c>
      <c r="E12" s="81">
        <f t="shared" si="4"/>
        <v>2023</v>
      </c>
      <c r="G12" s="74">
        <f t="shared" si="9"/>
        <v>2027</v>
      </c>
      <c r="H12" s="75">
        <f t="shared" si="5"/>
        <v>5.33</v>
      </c>
      <c r="I12" s="75">
        <f t="shared" si="6"/>
        <v>5.22</v>
      </c>
      <c r="K12">
        <f t="shared" si="10"/>
        <v>5</v>
      </c>
      <c r="L12" s="101">
        <f t="shared" si="11"/>
        <v>2023</v>
      </c>
      <c r="M12" s="76">
        <f t="shared" si="7"/>
        <v>45047</v>
      </c>
      <c r="N12" s="77">
        <v>69.491699999999994</v>
      </c>
      <c r="O12" s="77">
        <v>43.398200000000003</v>
      </c>
      <c r="P12" s="77">
        <v>57.008699999999997</v>
      </c>
      <c r="Q12" s="78">
        <v>44.978499999999997</v>
      </c>
      <c r="S12" s="98">
        <v>44.094891397849459</v>
      </c>
      <c r="T12" s="100">
        <f t="shared" si="13"/>
        <v>0.98420017884694388</v>
      </c>
      <c r="U12" s="100">
        <f t="shared" si="14"/>
        <v>1.0200387975599738</v>
      </c>
      <c r="W12" s="74">
        <f t="shared" si="15"/>
        <v>2027</v>
      </c>
      <c r="X12" s="79">
        <f t="shared" si="16"/>
        <v>63.39</v>
      </c>
      <c r="Y12" s="79">
        <f t="shared" si="16"/>
        <v>60.6</v>
      </c>
      <c r="Z12" s="79">
        <f t="shared" si="16"/>
        <v>54.49</v>
      </c>
      <c r="AA12" s="79">
        <f t="shared" si="16"/>
        <v>60.34</v>
      </c>
      <c r="AD12" s="154" t="str">
        <f t="shared" si="0"/>
        <v>Winter</v>
      </c>
      <c r="AE12">
        <f t="shared" si="1"/>
        <v>11</v>
      </c>
      <c r="AF12" s="152">
        <v>43040</v>
      </c>
      <c r="AG12" s="153">
        <v>400</v>
      </c>
      <c r="AH12" s="153">
        <v>320</v>
      </c>
      <c r="AI12">
        <f t="shared" si="2"/>
        <v>25</v>
      </c>
      <c r="AJ12">
        <f t="shared" si="3"/>
        <v>5</v>
      </c>
      <c r="AM12" s="157"/>
      <c r="AN12" s="157"/>
      <c r="AO12" s="155"/>
    </row>
    <row r="13" spans="2:41" x14ac:dyDescent="0.2">
      <c r="B13" s="80">
        <f t="shared" si="8"/>
        <v>45078</v>
      </c>
      <c r="C13" s="73">
        <v>3.0659186971509684</v>
      </c>
      <c r="D13" s="73">
        <v>2.5157033469646102</v>
      </c>
      <c r="E13" s="81">
        <f t="shared" si="4"/>
        <v>2023</v>
      </c>
      <c r="G13" s="74">
        <f t="shared" si="9"/>
        <v>2028</v>
      </c>
      <c r="H13" s="75">
        <f t="shared" si="5"/>
        <v>5.34</v>
      </c>
      <c r="I13" s="75">
        <f t="shared" si="6"/>
        <v>5.42</v>
      </c>
      <c r="K13">
        <f t="shared" si="10"/>
        <v>6</v>
      </c>
      <c r="L13" s="101">
        <f t="shared" si="11"/>
        <v>2023</v>
      </c>
      <c r="M13" s="76">
        <f t="shared" si="7"/>
        <v>45078</v>
      </c>
      <c r="N13" s="77">
        <v>72.969300000000004</v>
      </c>
      <c r="O13" s="77">
        <v>91.364099999999993</v>
      </c>
      <c r="P13" s="77">
        <v>41.615600000000001</v>
      </c>
      <c r="Q13" s="78">
        <v>63.813600000000001</v>
      </c>
      <c r="S13" s="98">
        <v>79.731666666666669</v>
      </c>
      <c r="T13" s="100">
        <f t="shared" si="13"/>
        <v>1.1458947720479107</v>
      </c>
      <c r="U13" s="100">
        <f t="shared" si="14"/>
        <v>0.80035452246075378</v>
      </c>
      <c r="W13" s="74">
        <f t="shared" si="15"/>
        <v>2028</v>
      </c>
      <c r="X13" s="79">
        <f t="shared" si="16"/>
        <v>57.2</v>
      </c>
      <c r="Y13" s="79">
        <f t="shared" si="16"/>
        <v>57.55</v>
      </c>
      <c r="Z13" s="79">
        <f t="shared" si="16"/>
        <v>51.55</v>
      </c>
      <c r="AA13" s="79">
        <f t="shared" si="16"/>
        <v>57.85</v>
      </c>
      <c r="AD13" s="154" t="str">
        <f t="shared" si="0"/>
        <v>Winter</v>
      </c>
      <c r="AE13">
        <f t="shared" si="1"/>
        <v>12</v>
      </c>
      <c r="AF13" s="152">
        <v>43070</v>
      </c>
      <c r="AG13" s="153">
        <v>400</v>
      </c>
      <c r="AH13" s="153">
        <v>344</v>
      </c>
      <c r="AI13">
        <f t="shared" si="2"/>
        <v>25</v>
      </c>
      <c r="AJ13">
        <f t="shared" si="3"/>
        <v>6</v>
      </c>
      <c r="AM13" s="157"/>
      <c r="AN13" s="157"/>
      <c r="AO13" s="155"/>
    </row>
    <row r="14" spans="2:41" x14ac:dyDescent="0.2">
      <c r="B14" s="80">
        <f t="shared" si="8"/>
        <v>45108</v>
      </c>
      <c r="C14" s="73">
        <v>3.8537114579742475</v>
      </c>
      <c r="D14" s="73">
        <v>2.8072831297542229</v>
      </c>
      <c r="E14" s="81">
        <f t="shared" si="4"/>
        <v>2023</v>
      </c>
      <c r="G14" s="74">
        <f t="shared" si="9"/>
        <v>2029</v>
      </c>
      <c r="H14" s="75">
        <f t="shared" si="5"/>
        <v>5.5</v>
      </c>
      <c r="I14" s="75">
        <f t="shared" si="6"/>
        <v>5.59</v>
      </c>
      <c r="K14">
        <f t="shared" si="10"/>
        <v>7</v>
      </c>
      <c r="L14" s="101">
        <f t="shared" si="11"/>
        <v>2023</v>
      </c>
      <c r="M14" s="76">
        <f t="shared" si="7"/>
        <v>45108</v>
      </c>
      <c r="N14" s="77">
        <v>163.42089999999999</v>
      </c>
      <c r="O14" s="77">
        <v>203.9684</v>
      </c>
      <c r="P14" s="77">
        <v>71.418099999999995</v>
      </c>
      <c r="Q14" s="78">
        <v>87.998800000000003</v>
      </c>
      <c r="S14" s="98">
        <v>150.348047311828</v>
      </c>
      <c r="T14" s="100">
        <f t="shared" si="13"/>
        <v>1.3566414971586642</v>
      </c>
      <c r="U14" s="100">
        <f t="shared" si="14"/>
        <v>0.58530058469922719</v>
      </c>
      <c r="W14" s="74">
        <f t="shared" si="15"/>
        <v>2029</v>
      </c>
      <c r="X14" s="79">
        <f t="shared" si="16"/>
        <v>56.94</v>
      </c>
      <c r="Y14" s="79">
        <f t="shared" si="16"/>
        <v>57.54</v>
      </c>
      <c r="Z14" s="79">
        <f t="shared" si="16"/>
        <v>52.87</v>
      </c>
      <c r="AA14" s="79">
        <f t="shared" si="16"/>
        <v>59.83</v>
      </c>
      <c r="AD14" s="154" t="str">
        <f t="shared" si="0"/>
        <v>Winter</v>
      </c>
      <c r="AE14">
        <f t="shared" si="1"/>
        <v>1</v>
      </c>
      <c r="AF14" s="152">
        <v>43101</v>
      </c>
      <c r="AG14" s="153">
        <v>416</v>
      </c>
      <c r="AH14" s="153">
        <v>328</v>
      </c>
      <c r="AI14">
        <f t="shared" si="2"/>
        <v>26</v>
      </c>
      <c r="AJ14">
        <f t="shared" si="3"/>
        <v>5</v>
      </c>
      <c r="AM14" s="157"/>
      <c r="AN14" s="157"/>
      <c r="AO14" s="155"/>
    </row>
    <row r="15" spans="2:41" x14ac:dyDescent="0.2">
      <c r="B15" s="80">
        <f t="shared" si="8"/>
        <v>45139</v>
      </c>
      <c r="C15" s="73">
        <v>3.8750031542127141</v>
      </c>
      <c r="D15" s="73">
        <v>3.0373986606931398</v>
      </c>
      <c r="E15" s="81">
        <f t="shared" si="4"/>
        <v>2023</v>
      </c>
      <c r="G15" s="74">
        <f t="shared" si="9"/>
        <v>2030</v>
      </c>
      <c r="H15" s="75">
        <f t="shared" si="5"/>
        <v>5.54</v>
      </c>
      <c r="I15" s="75">
        <f t="shared" si="6"/>
        <v>5.61</v>
      </c>
      <c r="K15">
        <f t="shared" si="10"/>
        <v>8</v>
      </c>
      <c r="L15" s="101">
        <f t="shared" si="11"/>
        <v>2023</v>
      </c>
      <c r="M15" s="76">
        <f t="shared" si="7"/>
        <v>45139</v>
      </c>
      <c r="N15" s="77">
        <v>254.7646</v>
      </c>
      <c r="O15" s="77">
        <v>264.95800000000003</v>
      </c>
      <c r="P15" s="77">
        <v>100.3045</v>
      </c>
      <c r="Q15" s="78">
        <v>111.9432</v>
      </c>
      <c r="S15" s="98">
        <v>200.79050322580645</v>
      </c>
      <c r="T15" s="100">
        <f t="shared" si="13"/>
        <v>1.319574361054475</v>
      </c>
      <c r="U15" s="100">
        <f t="shared" si="14"/>
        <v>0.55751242315534266</v>
      </c>
      <c r="W15" s="74">
        <f t="shared" si="15"/>
        <v>2030</v>
      </c>
      <c r="X15" s="79">
        <f t="shared" si="16"/>
        <v>57.66</v>
      </c>
      <c r="Y15" s="79">
        <f t="shared" si="16"/>
        <v>58.54</v>
      </c>
      <c r="Z15" s="79">
        <f t="shared" si="16"/>
        <v>54.8</v>
      </c>
      <c r="AA15" s="79">
        <f t="shared" si="16"/>
        <v>62.29</v>
      </c>
      <c r="AD15" s="154" t="str">
        <f t="shared" si="0"/>
        <v>Winter</v>
      </c>
      <c r="AE15">
        <f t="shared" si="1"/>
        <v>2</v>
      </c>
      <c r="AF15" s="152">
        <v>43132</v>
      </c>
      <c r="AG15" s="153">
        <v>384</v>
      </c>
      <c r="AH15" s="153">
        <v>288</v>
      </c>
      <c r="AI15">
        <f t="shared" si="2"/>
        <v>24</v>
      </c>
      <c r="AJ15">
        <f t="shared" si="3"/>
        <v>4</v>
      </c>
      <c r="AO15" s="155"/>
    </row>
    <row r="16" spans="2:41" x14ac:dyDescent="0.2">
      <c r="B16" s="80">
        <f t="shared" si="8"/>
        <v>45170</v>
      </c>
      <c r="C16" s="73">
        <v>3.3244607229037819</v>
      </c>
      <c r="D16" s="73">
        <v>2.7779232049022058</v>
      </c>
      <c r="E16" s="81">
        <f t="shared" si="4"/>
        <v>2023</v>
      </c>
      <c r="G16" s="74">
        <f t="shared" si="9"/>
        <v>2031</v>
      </c>
      <c r="H16" s="75">
        <f t="shared" si="5"/>
        <v>5.78</v>
      </c>
      <c r="I16" s="75">
        <f t="shared" si="6"/>
        <v>5.87</v>
      </c>
      <c r="K16">
        <f t="shared" si="10"/>
        <v>9</v>
      </c>
      <c r="L16" s="101">
        <f t="shared" si="11"/>
        <v>2023</v>
      </c>
      <c r="M16" s="76">
        <f t="shared" si="7"/>
        <v>45170</v>
      </c>
      <c r="N16" s="77">
        <v>210.59610000000001</v>
      </c>
      <c r="O16" s="77">
        <v>194.19460000000001</v>
      </c>
      <c r="P16" s="77">
        <v>93.921000000000006</v>
      </c>
      <c r="Q16" s="78">
        <v>94.418700000000001</v>
      </c>
      <c r="S16" s="98">
        <v>149.84975555555556</v>
      </c>
      <c r="T16" s="100">
        <f t="shared" si="13"/>
        <v>1.2959287072577437</v>
      </c>
      <c r="U16" s="100">
        <f t="shared" si="14"/>
        <v>0.63008911592782046</v>
      </c>
      <c r="W16" s="74">
        <f t="shared" si="15"/>
        <v>2031</v>
      </c>
      <c r="X16" s="79">
        <f t="shared" si="16"/>
        <v>58.57</v>
      </c>
      <c r="Y16" s="79">
        <f t="shared" si="16"/>
        <v>61.33</v>
      </c>
      <c r="Z16" s="79">
        <f t="shared" si="16"/>
        <v>55.04</v>
      </c>
      <c r="AA16" s="79">
        <f t="shared" si="16"/>
        <v>64.849999999999994</v>
      </c>
      <c r="AD16" s="154" t="str">
        <f t="shared" si="0"/>
        <v>Winter</v>
      </c>
      <c r="AE16">
        <f t="shared" si="1"/>
        <v>3</v>
      </c>
      <c r="AF16" s="152">
        <v>43160</v>
      </c>
      <c r="AG16" s="153">
        <v>432</v>
      </c>
      <c r="AH16" s="153">
        <v>312</v>
      </c>
      <c r="AI16">
        <f t="shared" si="2"/>
        <v>27</v>
      </c>
      <c r="AJ16">
        <f t="shared" si="3"/>
        <v>4</v>
      </c>
      <c r="AO16" t="s">
        <v>89</v>
      </c>
    </row>
    <row r="17" spans="2:41" x14ac:dyDescent="0.2">
      <c r="B17" s="80">
        <f t="shared" si="8"/>
        <v>45200</v>
      </c>
      <c r="C17" s="73">
        <v>3.3923913728074622</v>
      </c>
      <c r="D17" s="73">
        <v>2.9807500578922452</v>
      </c>
      <c r="E17" s="81">
        <f t="shared" si="4"/>
        <v>2023</v>
      </c>
      <c r="G17" s="74">
        <f t="shared" si="9"/>
        <v>2032</v>
      </c>
      <c r="H17" s="75">
        <f t="shared" si="5"/>
        <v>6.01</v>
      </c>
      <c r="I17" s="75">
        <f t="shared" si="6"/>
        <v>6.19</v>
      </c>
      <c r="K17">
        <f t="shared" si="10"/>
        <v>10</v>
      </c>
      <c r="L17" s="101">
        <f t="shared" si="11"/>
        <v>2023</v>
      </c>
      <c r="M17" s="76">
        <f t="shared" si="7"/>
        <v>45200</v>
      </c>
      <c r="N17" s="77">
        <v>84.851900000000001</v>
      </c>
      <c r="O17" s="77">
        <v>63.646299999999997</v>
      </c>
      <c r="P17" s="77">
        <v>73.038600000000002</v>
      </c>
      <c r="Q17" s="78">
        <v>54.263500000000001</v>
      </c>
      <c r="S17" s="98">
        <v>59.509796774193546</v>
      </c>
      <c r="T17" s="100">
        <f t="shared" si="13"/>
        <v>1.0695096177441534</v>
      </c>
      <c r="U17" s="100">
        <f t="shared" si="14"/>
        <v>0.91184146042204928</v>
      </c>
      <c r="W17" s="74">
        <f t="shared" si="15"/>
        <v>2032</v>
      </c>
      <c r="X17" s="79">
        <f t="shared" si="16"/>
        <v>55.78</v>
      </c>
      <c r="Y17" s="79">
        <f t="shared" si="16"/>
        <v>60.97</v>
      </c>
      <c r="Z17" s="79">
        <f t="shared" si="16"/>
        <v>54.89</v>
      </c>
      <c r="AA17" s="79">
        <f t="shared" si="16"/>
        <v>66.349999999999994</v>
      </c>
      <c r="AD17" s="154" t="str">
        <f t="shared" si="0"/>
        <v>Winter</v>
      </c>
      <c r="AE17">
        <f t="shared" si="1"/>
        <v>4</v>
      </c>
      <c r="AF17" s="152">
        <v>43191</v>
      </c>
      <c r="AG17" s="153">
        <v>400</v>
      </c>
      <c r="AH17" s="153">
        <v>320</v>
      </c>
      <c r="AI17">
        <f t="shared" si="2"/>
        <v>25</v>
      </c>
      <c r="AJ17">
        <f t="shared" si="3"/>
        <v>5</v>
      </c>
      <c r="AL17" s="120" t="s">
        <v>88</v>
      </c>
      <c r="AM17" s="156">
        <f>SUM(AG2:AG253)</f>
        <v>103168</v>
      </c>
      <c r="AN17" s="156">
        <f>SUM(AH2:AH253)</f>
        <v>80912</v>
      </c>
      <c r="AO17" s="155">
        <f>AM17/SUM(AM17:AN17)</f>
        <v>0.56045197740112995</v>
      </c>
    </row>
    <row r="18" spans="2:41" x14ac:dyDescent="0.2">
      <c r="B18" s="80">
        <f t="shared" si="8"/>
        <v>45231</v>
      </c>
      <c r="C18" s="73">
        <v>4.9978866582175812</v>
      </c>
      <c r="D18" s="73">
        <v>4.3606147447644883</v>
      </c>
      <c r="E18" s="81">
        <f t="shared" si="4"/>
        <v>2023</v>
      </c>
      <c r="G18" s="74">
        <f t="shared" si="9"/>
        <v>2033</v>
      </c>
      <c r="H18" s="75">
        <f t="shared" si="5"/>
        <v>6.38</v>
      </c>
      <c r="I18" s="75">
        <f t="shared" si="6"/>
        <v>6.42</v>
      </c>
      <c r="K18">
        <f t="shared" si="10"/>
        <v>11</v>
      </c>
      <c r="L18" s="101">
        <f t="shared" si="11"/>
        <v>2023</v>
      </c>
      <c r="M18" s="76">
        <f t="shared" si="7"/>
        <v>45231</v>
      </c>
      <c r="N18" s="77">
        <v>95.66</v>
      </c>
      <c r="O18" s="77">
        <v>65.721000000000004</v>
      </c>
      <c r="P18" s="77">
        <v>81.304699999999997</v>
      </c>
      <c r="Q18" s="78">
        <v>67.124200000000002</v>
      </c>
      <c r="S18" s="98">
        <v>66.345725658807211</v>
      </c>
      <c r="T18" s="100">
        <f t="shared" si="13"/>
        <v>0.99058378437188321</v>
      </c>
      <c r="U18" s="100">
        <f t="shared" si="14"/>
        <v>1.0117336020288061</v>
      </c>
      <c r="W18" s="74">
        <f t="shared" si="15"/>
        <v>2033</v>
      </c>
      <c r="X18" s="79">
        <f t="shared" si="16"/>
        <v>46.68</v>
      </c>
      <c r="Y18" s="79">
        <f t="shared" si="16"/>
        <v>53.64</v>
      </c>
      <c r="Z18" s="79">
        <f t="shared" si="16"/>
        <v>48.09</v>
      </c>
      <c r="AA18" s="79">
        <f t="shared" si="16"/>
        <v>62.45</v>
      </c>
      <c r="AD18" s="154" t="str">
        <f t="shared" si="0"/>
        <v>Winter</v>
      </c>
      <c r="AE18">
        <f t="shared" si="1"/>
        <v>5</v>
      </c>
      <c r="AF18" s="152">
        <v>43221</v>
      </c>
      <c r="AG18" s="153">
        <v>416</v>
      </c>
      <c r="AH18" s="153">
        <v>328</v>
      </c>
      <c r="AI18">
        <f t="shared" si="2"/>
        <v>26</v>
      </c>
      <c r="AJ18">
        <f t="shared" si="3"/>
        <v>5</v>
      </c>
    </row>
    <row r="19" spans="2:41" x14ac:dyDescent="0.2">
      <c r="B19" s="82">
        <f t="shared" si="8"/>
        <v>45261</v>
      </c>
      <c r="C19" s="83">
        <v>7.4180427973233298</v>
      </c>
      <c r="D19" s="83">
        <v>5.9081986496185381</v>
      </c>
      <c r="E19" s="84">
        <f t="shared" si="4"/>
        <v>2023</v>
      </c>
      <c r="G19" s="74">
        <f t="shared" si="9"/>
        <v>2034</v>
      </c>
      <c r="H19" s="75">
        <f t="shared" si="5"/>
        <v>6.59</v>
      </c>
      <c r="I19" s="75">
        <f t="shared" si="6"/>
        <v>6.67</v>
      </c>
      <c r="K19">
        <f t="shared" si="10"/>
        <v>12</v>
      </c>
      <c r="L19" s="101">
        <f t="shared" si="11"/>
        <v>2023</v>
      </c>
      <c r="M19" s="85">
        <f t="shared" si="7"/>
        <v>45261</v>
      </c>
      <c r="N19" s="86">
        <v>134.52420000000001</v>
      </c>
      <c r="O19" s="86">
        <v>100.6724</v>
      </c>
      <c r="P19" s="86">
        <v>102.97929999999999</v>
      </c>
      <c r="Q19" s="87">
        <v>91.596900000000005</v>
      </c>
      <c r="S19" s="98">
        <v>96.476201075268818</v>
      </c>
      <c r="T19" s="100">
        <f t="shared" si="13"/>
        <v>1.0434946533752649</v>
      </c>
      <c r="U19" s="100">
        <f t="shared" si="14"/>
        <v>0.94942482165666864</v>
      </c>
      <c r="W19" s="74">
        <f t="shared" si="15"/>
        <v>2034</v>
      </c>
      <c r="X19" s="79">
        <f t="shared" si="16"/>
        <v>48.27</v>
      </c>
      <c r="Y19" s="79">
        <f t="shared" si="16"/>
        <v>55.57</v>
      </c>
      <c r="Z19" s="79">
        <f t="shared" si="16"/>
        <v>49.7</v>
      </c>
      <c r="AA19" s="79">
        <f t="shared" si="16"/>
        <v>64.62</v>
      </c>
      <c r="AD19" s="154" t="str">
        <f t="shared" si="0"/>
        <v>Summer</v>
      </c>
      <c r="AE19">
        <f t="shared" si="1"/>
        <v>6</v>
      </c>
      <c r="AF19" s="152">
        <v>43252</v>
      </c>
      <c r="AG19" s="153">
        <v>416</v>
      </c>
      <c r="AH19" s="153">
        <v>304</v>
      </c>
      <c r="AI19">
        <f t="shared" si="2"/>
        <v>26</v>
      </c>
      <c r="AJ19">
        <f t="shared" si="3"/>
        <v>4</v>
      </c>
      <c r="AL19" t="s">
        <v>87</v>
      </c>
      <c r="AM19">
        <f>SUMIF($AD$2:$AD$253,"Summer",$AG$2:$AG$253)</f>
        <v>34464</v>
      </c>
      <c r="AN19" s="219">
        <f>AM19/$AM$23</f>
        <v>0.18722294654498045</v>
      </c>
      <c r="AO19" s="219"/>
    </row>
    <row r="20" spans="2:41" x14ac:dyDescent="0.2">
      <c r="B20" s="206">
        <f>EDATE(B19,1)</f>
        <v>45292</v>
      </c>
      <c r="C20" s="73">
        <v>7.9346199036804226</v>
      </c>
      <c r="D20" s="73">
        <v>5.9865953449024092</v>
      </c>
      <c r="E20" s="205">
        <f t="shared" si="4"/>
        <v>2024</v>
      </c>
      <c r="G20" s="74">
        <f t="shared" si="9"/>
        <v>2035</v>
      </c>
      <c r="H20" s="75">
        <f t="shared" si="5"/>
        <v>6.67</v>
      </c>
      <c r="I20" s="75">
        <f t="shared" si="6"/>
        <v>6.71</v>
      </c>
      <c r="K20">
        <f t="shared" si="10"/>
        <v>1</v>
      </c>
      <c r="L20" s="101">
        <f t="shared" si="11"/>
        <v>2024</v>
      </c>
      <c r="M20" s="76">
        <f t="shared" si="7"/>
        <v>45292</v>
      </c>
      <c r="N20" s="204">
        <v>130.74879999999999</v>
      </c>
      <c r="O20" s="204">
        <v>102.2308</v>
      </c>
      <c r="P20" s="204">
        <v>105.3544</v>
      </c>
      <c r="Q20" s="203">
        <v>98.775199999999998</v>
      </c>
      <c r="S20" s="98">
        <v>100.70736344086021</v>
      </c>
      <c r="T20" s="100">
        <f t="shared" si="13"/>
        <v>1.0151273601759461</v>
      </c>
      <c r="U20" s="100">
        <f t="shared" si="14"/>
        <v>0.98081407977684909</v>
      </c>
      <c r="W20" s="74">
        <f t="shared" si="15"/>
        <v>2035</v>
      </c>
      <c r="X20" s="79">
        <f t="shared" si="16"/>
        <v>49.9</v>
      </c>
      <c r="Y20" s="79">
        <f t="shared" si="16"/>
        <v>59.12</v>
      </c>
      <c r="Z20" s="79">
        <f t="shared" si="16"/>
        <v>49.54</v>
      </c>
      <c r="AA20" s="79">
        <f t="shared" si="16"/>
        <v>65.290000000000006</v>
      </c>
      <c r="AD20" s="154" t="str">
        <f t="shared" si="0"/>
        <v>Summer</v>
      </c>
      <c r="AE20">
        <f t="shared" si="1"/>
        <v>7</v>
      </c>
      <c r="AF20" s="152">
        <v>43282</v>
      </c>
      <c r="AG20" s="153">
        <v>400</v>
      </c>
      <c r="AH20" s="153">
        <v>344</v>
      </c>
      <c r="AI20">
        <f t="shared" si="2"/>
        <v>25</v>
      </c>
      <c r="AJ20">
        <f t="shared" si="3"/>
        <v>6</v>
      </c>
      <c r="AL20" t="s">
        <v>86</v>
      </c>
      <c r="AM20">
        <f>SUMIF($AD$2:$AD$253,"Winter",$AG$2:$AG$253)</f>
        <v>68704</v>
      </c>
      <c r="AN20" s="219">
        <f>AM20/$AM$23</f>
        <v>0.3732290308561495</v>
      </c>
      <c r="AO20" s="219">
        <f>AN20+AN19</f>
        <v>0.56045197740112995</v>
      </c>
    </row>
    <row r="21" spans="2:41" x14ac:dyDescent="0.2">
      <c r="B21" s="80">
        <f t="shared" si="8"/>
        <v>45323</v>
      </c>
      <c r="C21" s="73">
        <v>7.319188493359019</v>
      </c>
      <c r="D21" s="73">
        <v>5.5541189915266589</v>
      </c>
      <c r="E21" s="81">
        <f t="shared" si="4"/>
        <v>2024</v>
      </c>
      <c r="G21" s="74">
        <f t="shared" si="9"/>
        <v>2036</v>
      </c>
      <c r="H21" s="75">
        <f t="shared" si="5"/>
        <v>6.85</v>
      </c>
      <c r="I21" s="75">
        <f t="shared" si="6"/>
        <v>6.85</v>
      </c>
      <c r="K21">
        <f t="shared" si="10"/>
        <v>2</v>
      </c>
      <c r="L21" s="101">
        <f t="shared" si="11"/>
        <v>2024</v>
      </c>
      <c r="M21" s="76">
        <f t="shared" si="7"/>
        <v>45323</v>
      </c>
      <c r="N21" s="77">
        <v>109.21120000000001</v>
      </c>
      <c r="O21" s="77">
        <v>83.262600000000006</v>
      </c>
      <c r="P21" s="77">
        <v>90.209199999999996</v>
      </c>
      <c r="Q21" s="78">
        <v>88.858000000000004</v>
      </c>
      <c r="S21" s="98">
        <v>85.642252873563223</v>
      </c>
      <c r="T21" s="100">
        <f t="shared" si="13"/>
        <v>0.97221403228291547</v>
      </c>
      <c r="U21" s="100">
        <f t="shared" si="14"/>
        <v>1.0375486050230873</v>
      </c>
      <c r="W21" s="74">
        <f t="shared" si="15"/>
        <v>2036</v>
      </c>
      <c r="X21" s="79">
        <f t="shared" si="16"/>
        <v>53.29</v>
      </c>
      <c r="Y21" s="79">
        <f t="shared" si="16"/>
        <v>60.31</v>
      </c>
      <c r="Z21" s="79">
        <f t="shared" si="16"/>
        <v>48.8</v>
      </c>
      <c r="AA21" s="79">
        <f t="shared" si="16"/>
        <v>64.16</v>
      </c>
      <c r="AD21" s="154" t="str">
        <f t="shared" si="0"/>
        <v>Summer</v>
      </c>
      <c r="AE21">
        <f t="shared" si="1"/>
        <v>8</v>
      </c>
      <c r="AF21" s="152">
        <v>43313</v>
      </c>
      <c r="AG21" s="153">
        <v>432</v>
      </c>
      <c r="AH21" s="153">
        <v>312</v>
      </c>
      <c r="AI21">
        <f t="shared" si="2"/>
        <v>27</v>
      </c>
      <c r="AJ21">
        <f t="shared" si="3"/>
        <v>4</v>
      </c>
      <c r="AL21" t="s">
        <v>43</v>
      </c>
      <c r="AM21">
        <f>SUMIF($AD$2:$AD$253,"Summer",$AH$2:$AH$253)</f>
        <v>27024</v>
      </c>
      <c r="AN21" s="219">
        <f>AM21/$AM$23</f>
        <v>0.1468057366362451</v>
      </c>
    </row>
    <row r="22" spans="2:41" x14ac:dyDescent="0.2">
      <c r="B22" s="80">
        <f t="shared" si="8"/>
        <v>45352</v>
      </c>
      <c r="C22" s="73">
        <v>4.7758446831592822</v>
      </c>
      <c r="D22" s="73">
        <v>4.4253412104876313</v>
      </c>
      <c r="E22" s="81">
        <f t="shared" si="4"/>
        <v>2024</v>
      </c>
      <c r="G22" s="74">
        <f t="shared" si="9"/>
        <v>2037</v>
      </c>
      <c r="H22" s="75">
        <f t="shared" si="5"/>
        <v>7.24</v>
      </c>
      <c r="I22" s="75">
        <f t="shared" si="6"/>
        <v>7.21</v>
      </c>
      <c r="K22">
        <f t="shared" si="10"/>
        <v>3</v>
      </c>
      <c r="L22" s="101">
        <f t="shared" si="11"/>
        <v>2024</v>
      </c>
      <c r="M22" s="76">
        <f t="shared" si="7"/>
        <v>45352</v>
      </c>
      <c r="N22" s="77">
        <v>69.183000000000007</v>
      </c>
      <c r="O22" s="77">
        <v>58.084299999999999</v>
      </c>
      <c r="P22" s="77">
        <v>54.981299999999997</v>
      </c>
      <c r="Q22" s="78">
        <v>56.6023</v>
      </c>
      <c r="S22" s="98">
        <v>57.432060430686406</v>
      </c>
      <c r="T22" s="100">
        <f t="shared" si="13"/>
        <v>1.0113567154725498</v>
      </c>
      <c r="U22" s="100">
        <f t="shared" si="14"/>
        <v>0.98555231303797941</v>
      </c>
      <c r="W22" s="74">
        <f t="shared" si="15"/>
        <v>2037</v>
      </c>
      <c r="X22" s="79">
        <f t="shared" si="16"/>
        <v>55.08</v>
      </c>
      <c r="Y22" s="79">
        <f t="shared" si="16"/>
        <v>63.45</v>
      </c>
      <c r="Z22" s="79">
        <f t="shared" si="16"/>
        <v>53.72</v>
      </c>
      <c r="AA22" s="79">
        <f t="shared" si="16"/>
        <v>67.53</v>
      </c>
      <c r="AD22" s="154" t="str">
        <f t="shared" si="0"/>
        <v>Summer</v>
      </c>
      <c r="AE22">
        <f t="shared" si="1"/>
        <v>9</v>
      </c>
      <c r="AF22" s="152">
        <v>43344</v>
      </c>
      <c r="AG22" s="153">
        <v>384</v>
      </c>
      <c r="AH22" s="153">
        <v>336</v>
      </c>
      <c r="AI22">
        <f t="shared" si="2"/>
        <v>24</v>
      </c>
      <c r="AJ22">
        <f t="shared" si="3"/>
        <v>6</v>
      </c>
      <c r="AL22" t="s">
        <v>44</v>
      </c>
      <c r="AM22">
        <f>SUMIF($AD$2:$AD$253,"Winter",$AH$2:$AH$253)</f>
        <v>53888</v>
      </c>
      <c r="AN22" s="219">
        <f>AM22/$AM$23</f>
        <v>0.29274228596262497</v>
      </c>
      <c r="AO22" s="219">
        <f>AN21+AN22</f>
        <v>0.43954802259887005</v>
      </c>
    </row>
    <row r="23" spans="2:41" x14ac:dyDescent="0.2">
      <c r="B23" s="80">
        <f t="shared" si="8"/>
        <v>45383</v>
      </c>
      <c r="C23" s="73">
        <v>3.1688285623035588</v>
      </c>
      <c r="D23" s="73">
        <v>2.9234800810204087</v>
      </c>
      <c r="E23" s="81">
        <f t="shared" si="4"/>
        <v>2024</v>
      </c>
      <c r="G23" s="74">
        <f t="shared" si="9"/>
        <v>2038</v>
      </c>
      <c r="H23" s="75">
        <f t="shared" si="5"/>
        <v>7.59</v>
      </c>
      <c r="I23" s="75">
        <f t="shared" si="6"/>
        <v>7.58</v>
      </c>
      <c r="K23">
        <f t="shared" si="10"/>
        <v>4</v>
      </c>
      <c r="L23" s="101">
        <f t="shared" si="11"/>
        <v>2024</v>
      </c>
      <c r="M23" s="76">
        <f t="shared" si="7"/>
        <v>45383</v>
      </c>
      <c r="N23" s="77">
        <v>59.027500000000003</v>
      </c>
      <c r="O23" s="77">
        <v>43.972700000000003</v>
      </c>
      <c r="P23" s="77">
        <v>52.430599999999998</v>
      </c>
      <c r="Q23" s="78">
        <v>48.2211</v>
      </c>
      <c r="S23" s="98">
        <v>45.766468888888888</v>
      </c>
      <c r="T23" s="100">
        <f t="shared" si="13"/>
        <v>0.96080604572653905</v>
      </c>
      <c r="U23" s="100">
        <f t="shared" si="14"/>
        <v>1.0536338321636836</v>
      </c>
      <c r="W23" s="74">
        <f t="shared" si="15"/>
        <v>2038</v>
      </c>
      <c r="X23" s="79">
        <f t="shared" si="16"/>
        <v>58.13</v>
      </c>
      <c r="Y23" s="79">
        <f t="shared" si="16"/>
        <v>64.45</v>
      </c>
      <c r="Z23" s="79">
        <f t="shared" si="16"/>
        <v>57.33</v>
      </c>
      <c r="AA23" s="79">
        <f t="shared" si="16"/>
        <v>70.540000000000006</v>
      </c>
      <c r="AD23" s="154" t="str">
        <f t="shared" si="0"/>
        <v>Winter</v>
      </c>
      <c r="AE23">
        <f t="shared" si="1"/>
        <v>10</v>
      </c>
      <c r="AF23" s="152">
        <v>43374</v>
      </c>
      <c r="AG23" s="153">
        <v>432</v>
      </c>
      <c r="AH23" s="153">
        <v>312</v>
      </c>
      <c r="AI23">
        <f t="shared" si="2"/>
        <v>27</v>
      </c>
      <c r="AJ23">
        <f t="shared" si="3"/>
        <v>4</v>
      </c>
      <c r="AM23">
        <f>SUM(AM19:AM22)</f>
        <v>184080</v>
      </c>
    </row>
    <row r="24" spans="2:41" x14ac:dyDescent="0.2">
      <c r="B24" s="80">
        <f t="shared" si="8"/>
        <v>45413</v>
      </c>
      <c r="C24" s="73">
        <v>3.0958284609145292</v>
      </c>
      <c r="D24" s="73">
        <v>2.8095097201750989</v>
      </c>
      <c r="E24" s="81">
        <f t="shared" si="4"/>
        <v>2024</v>
      </c>
      <c r="G24" s="74">
        <f t="shared" si="9"/>
        <v>2039</v>
      </c>
      <c r="H24" s="75">
        <f t="shared" si="5"/>
        <v>8.02</v>
      </c>
      <c r="I24" s="75">
        <f t="shared" si="6"/>
        <v>7.92</v>
      </c>
      <c r="K24">
        <f t="shared" si="10"/>
        <v>5</v>
      </c>
      <c r="L24" s="101">
        <f t="shared" si="11"/>
        <v>2024</v>
      </c>
      <c r="M24" s="76">
        <f t="shared" si="7"/>
        <v>45413</v>
      </c>
      <c r="N24" s="77">
        <v>51.5809</v>
      </c>
      <c r="O24" s="77">
        <v>40.347700000000003</v>
      </c>
      <c r="P24" s="77">
        <v>41.715899999999998</v>
      </c>
      <c r="Q24" s="78">
        <v>48.859900000000003</v>
      </c>
      <c r="S24" s="98">
        <v>44.100390322580644</v>
      </c>
      <c r="T24" s="100">
        <f t="shared" si="13"/>
        <v>0.91490573450414203</v>
      </c>
      <c r="U24" s="100">
        <f t="shared" si="14"/>
        <v>1.1079244342874297</v>
      </c>
      <c r="W24" s="74">
        <f t="shared" si="15"/>
        <v>2039</v>
      </c>
      <c r="X24" s="79">
        <f t="shared" si="16"/>
        <v>59.03</v>
      </c>
      <c r="Y24" s="79">
        <f t="shared" si="16"/>
        <v>66.430000000000007</v>
      </c>
      <c r="Z24" s="79">
        <f t="shared" si="16"/>
        <v>58.5</v>
      </c>
      <c r="AA24" s="79">
        <f t="shared" si="16"/>
        <v>71.84</v>
      </c>
      <c r="AD24" s="154" t="str">
        <f t="shared" si="0"/>
        <v>Winter</v>
      </c>
      <c r="AE24">
        <f t="shared" si="1"/>
        <v>11</v>
      </c>
      <c r="AF24" s="152">
        <v>43405</v>
      </c>
      <c r="AG24" s="153">
        <v>400</v>
      </c>
      <c r="AH24" s="153">
        <v>320</v>
      </c>
      <c r="AI24">
        <f t="shared" si="2"/>
        <v>25</v>
      </c>
      <c r="AJ24">
        <f t="shared" si="3"/>
        <v>5</v>
      </c>
    </row>
    <row r="25" spans="2:41" x14ac:dyDescent="0.2">
      <c r="B25" s="80">
        <f t="shared" si="8"/>
        <v>45444</v>
      </c>
      <c r="C25" s="73">
        <v>3.2352383767616342</v>
      </c>
      <c r="D25" s="73">
        <v>2.9110008184289873</v>
      </c>
      <c r="E25" s="81">
        <f t="shared" si="4"/>
        <v>2024</v>
      </c>
      <c r="G25" s="74">
        <f t="shared" si="9"/>
        <v>2040</v>
      </c>
      <c r="H25" s="75">
        <f t="shared" si="5"/>
        <v>8.48</v>
      </c>
      <c r="I25" s="75">
        <f t="shared" si="6"/>
        <v>8.33</v>
      </c>
      <c r="K25">
        <f t="shared" si="10"/>
        <v>6</v>
      </c>
      <c r="L25" s="101">
        <f t="shared" si="11"/>
        <v>2024</v>
      </c>
      <c r="M25" s="76">
        <f t="shared" si="7"/>
        <v>45444</v>
      </c>
      <c r="N25" s="77">
        <v>55.642099999999999</v>
      </c>
      <c r="O25" s="77">
        <v>93.358999999999995</v>
      </c>
      <c r="P25" s="77">
        <v>42.585700000000003</v>
      </c>
      <c r="Q25" s="78">
        <v>66.325000000000003</v>
      </c>
      <c r="S25" s="98">
        <v>81.34388888888887</v>
      </c>
      <c r="T25" s="100">
        <f t="shared" si="13"/>
        <v>1.1477076062532869</v>
      </c>
      <c r="U25" s="100">
        <f t="shared" si="14"/>
        <v>0.81536549218339172</v>
      </c>
      <c r="W25" s="74">
        <f t="shared" si="15"/>
        <v>2040</v>
      </c>
      <c r="X25" s="79">
        <f t="shared" si="16"/>
        <v>63.86</v>
      </c>
      <c r="Y25" s="79">
        <f t="shared" si="16"/>
        <v>71.47</v>
      </c>
      <c r="Z25" s="79">
        <f t="shared" si="16"/>
        <v>59.91</v>
      </c>
      <c r="AA25" s="79">
        <f t="shared" si="16"/>
        <v>74.540000000000006</v>
      </c>
      <c r="AD25" s="154" t="str">
        <f t="shared" si="0"/>
        <v>Winter</v>
      </c>
      <c r="AE25">
        <f t="shared" si="1"/>
        <v>12</v>
      </c>
      <c r="AF25" s="152">
        <v>43435</v>
      </c>
      <c r="AG25" s="153">
        <v>400</v>
      </c>
      <c r="AH25" s="153">
        <v>344</v>
      </c>
      <c r="AI25">
        <f t="shared" si="2"/>
        <v>25</v>
      </c>
      <c r="AJ25">
        <f t="shared" si="3"/>
        <v>6</v>
      </c>
    </row>
    <row r="26" spans="2:41" x14ac:dyDescent="0.2">
      <c r="B26" s="80">
        <f t="shared" si="8"/>
        <v>45474</v>
      </c>
      <c r="C26" s="73">
        <v>3.6489056179661365</v>
      </c>
      <c r="D26" s="73">
        <v>3.2117976499375747</v>
      </c>
      <c r="E26" s="81">
        <f t="shared" si="4"/>
        <v>2024</v>
      </c>
      <c r="G26" s="74">
        <f t="shared" si="9"/>
        <v>2041</v>
      </c>
      <c r="H26" s="75">
        <f t="shared" si="5"/>
        <v>8.8800000000000008</v>
      </c>
      <c r="I26" s="75">
        <f t="shared" si="6"/>
        <v>8.76</v>
      </c>
      <c r="K26">
        <f t="shared" si="10"/>
        <v>7</v>
      </c>
      <c r="L26" s="101">
        <f t="shared" si="11"/>
        <v>2024</v>
      </c>
      <c r="M26" s="76">
        <f t="shared" si="7"/>
        <v>45474</v>
      </c>
      <c r="N26" s="77">
        <v>179.69970000000001</v>
      </c>
      <c r="O26" s="77">
        <v>223.81319999999999</v>
      </c>
      <c r="P26" s="77">
        <v>83.412700000000001</v>
      </c>
      <c r="Q26" s="78">
        <v>87.234999999999999</v>
      </c>
      <c r="S26" s="98">
        <v>163.60130537634407</v>
      </c>
      <c r="T26" s="100">
        <f t="shared" si="13"/>
        <v>1.3680404290488153</v>
      </c>
      <c r="U26" s="100">
        <f t="shared" si="14"/>
        <v>0.53321701681613687</v>
      </c>
      <c r="W26" s="74">
        <f t="shared" si="15"/>
        <v>2041</v>
      </c>
      <c r="X26" s="79">
        <f t="shared" si="16"/>
        <v>64.010000000000005</v>
      </c>
      <c r="Y26" s="79">
        <f t="shared" si="16"/>
        <v>73.55</v>
      </c>
      <c r="Z26" s="79">
        <f t="shared" si="16"/>
        <v>61.88</v>
      </c>
      <c r="AA26" s="79">
        <f t="shared" si="16"/>
        <v>76.959999999999994</v>
      </c>
      <c r="AD26" s="154" t="str">
        <f t="shared" si="0"/>
        <v>Winter</v>
      </c>
      <c r="AE26">
        <f t="shared" si="1"/>
        <v>1</v>
      </c>
      <c r="AF26" s="152">
        <v>43466</v>
      </c>
      <c r="AG26" s="153">
        <v>416</v>
      </c>
      <c r="AH26" s="153">
        <v>328</v>
      </c>
      <c r="AI26">
        <f t="shared" si="2"/>
        <v>26</v>
      </c>
      <c r="AJ26">
        <f t="shared" si="3"/>
        <v>5</v>
      </c>
    </row>
    <row r="27" spans="2:41" x14ac:dyDescent="0.2">
      <c r="B27" s="80">
        <f t="shared" si="8"/>
        <v>45505</v>
      </c>
      <c r="C27" s="73">
        <v>3.6919959555916053</v>
      </c>
      <c r="D27" s="73">
        <v>3.2468017226006509</v>
      </c>
      <c r="E27" s="81">
        <f t="shared" si="4"/>
        <v>2024</v>
      </c>
      <c r="G27" s="74">
        <f t="shared" si="9"/>
        <v>2042</v>
      </c>
      <c r="H27" s="75">
        <f t="shared" si="5"/>
        <v>9.35</v>
      </c>
      <c r="I27" s="75">
        <f t="shared" si="6"/>
        <v>9.17</v>
      </c>
      <c r="K27">
        <f t="shared" si="10"/>
        <v>8</v>
      </c>
      <c r="L27" s="101">
        <f t="shared" si="11"/>
        <v>2024</v>
      </c>
      <c r="M27" s="76">
        <f t="shared" si="7"/>
        <v>45505</v>
      </c>
      <c r="N27" s="77">
        <v>224.18870000000001</v>
      </c>
      <c r="O27" s="77">
        <v>237.21369999999999</v>
      </c>
      <c r="P27" s="77">
        <v>116.6082</v>
      </c>
      <c r="Q27" s="78">
        <v>99.947000000000003</v>
      </c>
      <c r="S27" s="98">
        <v>179.65024516129031</v>
      </c>
      <c r="T27" s="100">
        <f t="shared" si="13"/>
        <v>1.3204195729709642</v>
      </c>
      <c r="U27" s="100">
        <f t="shared" si="14"/>
        <v>0.55634212973251107</v>
      </c>
      <c r="W27" s="74">
        <f t="shared" si="15"/>
        <v>2042</v>
      </c>
      <c r="X27" s="79">
        <f t="shared" si="16"/>
        <v>69.88</v>
      </c>
      <c r="Y27" s="79">
        <f t="shared" si="16"/>
        <v>78.510000000000005</v>
      </c>
      <c r="Z27" s="79">
        <f t="shared" si="16"/>
        <v>58.33</v>
      </c>
      <c r="AA27" s="79">
        <f t="shared" si="16"/>
        <v>76.02</v>
      </c>
      <c r="AD27" s="154" t="str">
        <f t="shared" si="0"/>
        <v>Winter</v>
      </c>
      <c r="AE27">
        <f t="shared" si="1"/>
        <v>2</v>
      </c>
      <c r="AF27" s="152">
        <v>43497</v>
      </c>
      <c r="AG27" s="153">
        <v>384</v>
      </c>
      <c r="AH27" s="153">
        <v>288</v>
      </c>
      <c r="AI27">
        <f t="shared" si="2"/>
        <v>24</v>
      </c>
      <c r="AJ27">
        <f t="shared" si="3"/>
        <v>4</v>
      </c>
    </row>
    <row r="28" spans="2:41" x14ac:dyDescent="0.2">
      <c r="B28" s="80">
        <f t="shared" si="8"/>
        <v>45536</v>
      </c>
      <c r="C28" s="73">
        <v>3.5819888583595256</v>
      </c>
      <c r="D28" s="73">
        <v>3.2359276763591631</v>
      </c>
      <c r="E28" s="81">
        <f t="shared" si="4"/>
        <v>2024</v>
      </c>
      <c r="G28" s="74"/>
      <c r="H28" s="75"/>
      <c r="I28" s="75"/>
      <c r="K28">
        <f t="shared" si="10"/>
        <v>9</v>
      </c>
      <c r="L28" s="101">
        <f t="shared" si="11"/>
        <v>2024</v>
      </c>
      <c r="M28" s="76">
        <f t="shared" si="7"/>
        <v>45536</v>
      </c>
      <c r="N28" s="77">
        <v>169.4495</v>
      </c>
      <c r="O28" s="77">
        <v>189.8124</v>
      </c>
      <c r="P28" s="77">
        <v>82.511499999999998</v>
      </c>
      <c r="Q28" s="78">
        <v>84.017600000000002</v>
      </c>
      <c r="S28" s="98">
        <v>140.44149333333334</v>
      </c>
      <c r="T28" s="100">
        <f t="shared" si="13"/>
        <v>1.3515407412358285</v>
      </c>
      <c r="U28" s="100">
        <f t="shared" si="14"/>
        <v>0.59823915287333884</v>
      </c>
      <c r="W28" s="74"/>
      <c r="X28" s="79"/>
      <c r="Y28" s="79"/>
      <c r="Z28" s="79"/>
      <c r="AA28" s="79"/>
      <c r="AD28" s="154" t="str">
        <f t="shared" si="0"/>
        <v>Winter</v>
      </c>
      <c r="AE28">
        <f t="shared" si="1"/>
        <v>3</v>
      </c>
      <c r="AF28" s="152">
        <v>43525</v>
      </c>
      <c r="AG28" s="153">
        <v>416</v>
      </c>
      <c r="AH28" s="153">
        <v>328</v>
      </c>
      <c r="AI28">
        <f t="shared" si="2"/>
        <v>26</v>
      </c>
      <c r="AJ28">
        <f t="shared" si="3"/>
        <v>5</v>
      </c>
    </row>
    <row r="29" spans="2:41" x14ac:dyDescent="0.2">
      <c r="B29" s="80">
        <f t="shared" si="8"/>
        <v>45566</v>
      </c>
      <c r="C29" s="73">
        <v>3.5196346050897294</v>
      </c>
      <c r="D29" s="73">
        <v>3.3023111396048175</v>
      </c>
      <c r="E29" s="81">
        <f t="shared" si="4"/>
        <v>2024</v>
      </c>
      <c r="G29" s="74"/>
      <c r="H29" s="75"/>
      <c r="I29" s="75"/>
      <c r="K29">
        <f t="shared" si="10"/>
        <v>10</v>
      </c>
      <c r="L29" s="101">
        <f t="shared" si="11"/>
        <v>2024</v>
      </c>
      <c r="M29" s="76">
        <f t="shared" si="7"/>
        <v>45566</v>
      </c>
      <c r="N29" s="77">
        <v>78.818100000000001</v>
      </c>
      <c r="O29" s="77">
        <v>63.6631</v>
      </c>
      <c r="P29" s="77">
        <v>56.063099999999999</v>
      </c>
      <c r="Q29" s="78">
        <v>63.645400000000002</v>
      </c>
      <c r="S29" s="98">
        <v>63.655677419354838</v>
      </c>
      <c r="T29" s="100">
        <f t="shared" si="13"/>
        <v>1.0001166051630597</v>
      </c>
      <c r="U29" s="100">
        <f t="shared" si="14"/>
        <v>0.99983854669730199</v>
      </c>
      <c r="W29" s="74"/>
      <c r="X29" s="79"/>
      <c r="Y29" s="79"/>
      <c r="Z29" s="79"/>
      <c r="AA29" s="79"/>
      <c r="AD29" s="154" t="str">
        <f t="shared" si="0"/>
        <v>Winter</v>
      </c>
      <c r="AE29">
        <f t="shared" si="1"/>
        <v>4</v>
      </c>
      <c r="AF29" s="152">
        <v>43556</v>
      </c>
      <c r="AG29" s="153">
        <v>416</v>
      </c>
      <c r="AH29" s="153">
        <v>304</v>
      </c>
      <c r="AI29">
        <f t="shared" si="2"/>
        <v>26</v>
      </c>
      <c r="AJ29">
        <f t="shared" si="3"/>
        <v>4</v>
      </c>
    </row>
    <row r="30" spans="2:41" x14ac:dyDescent="0.2">
      <c r="B30" s="80">
        <f t="shared" si="8"/>
        <v>45597</v>
      </c>
      <c r="C30" s="73">
        <v>5.6477903386393589</v>
      </c>
      <c r="D30" s="73">
        <v>4.7984763400884027</v>
      </c>
      <c r="E30" s="81">
        <f t="shared" si="4"/>
        <v>2024</v>
      </c>
      <c r="G30" s="74"/>
      <c r="H30" s="75"/>
      <c r="I30" s="75"/>
      <c r="K30">
        <f t="shared" si="10"/>
        <v>11</v>
      </c>
      <c r="L30" s="101">
        <f t="shared" si="11"/>
        <v>2024</v>
      </c>
      <c r="M30" s="76">
        <f t="shared" si="7"/>
        <v>45597</v>
      </c>
      <c r="N30" s="77">
        <v>93.857699999999994</v>
      </c>
      <c r="O30" s="77">
        <v>69.709100000000007</v>
      </c>
      <c r="P30" s="77">
        <v>69.922700000000006</v>
      </c>
      <c r="Q30" s="78">
        <v>69.817800000000005</v>
      </c>
      <c r="S30" s="98">
        <v>69.757494868238552</v>
      </c>
      <c r="T30" s="100">
        <f t="shared" si="13"/>
        <v>0.99930624131027135</v>
      </c>
      <c r="U30" s="100">
        <f t="shared" si="14"/>
        <v>1.0008644968096312</v>
      </c>
      <c r="W30" s="74"/>
      <c r="X30" s="79"/>
      <c r="Y30" s="79"/>
      <c r="Z30" s="79"/>
      <c r="AA30" s="79"/>
      <c r="AD30" s="154" t="str">
        <f t="shared" si="0"/>
        <v>Winter</v>
      </c>
      <c r="AE30">
        <f t="shared" si="1"/>
        <v>5</v>
      </c>
      <c r="AF30" s="152">
        <v>43586</v>
      </c>
      <c r="AG30" s="153">
        <v>416</v>
      </c>
      <c r="AH30" s="153">
        <v>328</v>
      </c>
      <c r="AI30">
        <f t="shared" si="2"/>
        <v>26</v>
      </c>
      <c r="AJ30">
        <f t="shared" si="3"/>
        <v>5</v>
      </c>
    </row>
    <row r="31" spans="2:41" x14ac:dyDescent="0.2">
      <c r="B31" s="82">
        <f t="shared" si="8"/>
        <v>45627</v>
      </c>
      <c r="C31" s="83">
        <v>7.3171607127648794</v>
      </c>
      <c r="D31" s="83">
        <v>5.7342656909273098</v>
      </c>
      <c r="E31" s="84">
        <f t="shared" si="4"/>
        <v>2024</v>
      </c>
      <c r="G31" s="74"/>
      <c r="H31" s="75"/>
      <c r="I31" s="75"/>
      <c r="K31">
        <f t="shared" si="10"/>
        <v>12</v>
      </c>
      <c r="L31" s="101">
        <f t="shared" si="11"/>
        <v>2024</v>
      </c>
      <c r="M31" s="85">
        <f t="shared" si="7"/>
        <v>45627</v>
      </c>
      <c r="N31" s="86">
        <v>131.09880000000001</v>
      </c>
      <c r="O31" s="86">
        <v>107.0984</v>
      </c>
      <c r="P31" s="86">
        <v>101.3976</v>
      </c>
      <c r="Q31" s="87">
        <v>104.50409999999999</v>
      </c>
      <c r="S31" s="98">
        <v>105.89888494623655</v>
      </c>
      <c r="T31" s="100">
        <f t="shared" si="13"/>
        <v>1.0113269847399473</v>
      </c>
      <c r="U31" s="100">
        <f t="shared" si="14"/>
        <v>0.98682908751168941</v>
      </c>
      <c r="W31" s="74"/>
      <c r="X31" s="79"/>
      <c r="Y31" s="79"/>
      <c r="Z31" s="79"/>
      <c r="AA31" s="79"/>
      <c r="AD31" s="154" t="str">
        <f t="shared" si="0"/>
        <v>Summer</v>
      </c>
      <c r="AE31">
        <f t="shared" si="1"/>
        <v>6</v>
      </c>
      <c r="AF31" s="152">
        <v>43617</v>
      </c>
      <c r="AG31" s="153">
        <v>400</v>
      </c>
      <c r="AH31" s="153">
        <v>320</v>
      </c>
      <c r="AI31">
        <f t="shared" si="2"/>
        <v>25</v>
      </c>
      <c r="AJ31">
        <f t="shared" si="3"/>
        <v>5</v>
      </c>
    </row>
    <row r="32" spans="2:41" x14ac:dyDescent="0.2">
      <c r="B32" s="206">
        <f t="shared" si="8"/>
        <v>45658</v>
      </c>
      <c r="C32" s="73">
        <v>7.6421125529757683</v>
      </c>
      <c r="D32" s="73">
        <v>5.8771817272440092</v>
      </c>
      <c r="E32" s="205">
        <f t="shared" si="4"/>
        <v>2025</v>
      </c>
      <c r="G32" s="74"/>
      <c r="H32" s="89" t="s">
        <v>55</v>
      </c>
      <c r="I32" s="89" t="s">
        <v>55</v>
      </c>
      <c r="K32">
        <f t="shared" si="10"/>
        <v>1</v>
      </c>
      <c r="L32" s="101">
        <f t="shared" si="11"/>
        <v>2025</v>
      </c>
      <c r="M32" s="76">
        <f t="shared" si="7"/>
        <v>45658</v>
      </c>
      <c r="N32" s="204">
        <v>117.13379999999999</v>
      </c>
      <c r="O32" s="204">
        <v>100.2653</v>
      </c>
      <c r="P32" s="204">
        <v>96.423900000000003</v>
      </c>
      <c r="Q32" s="203">
        <v>104.8329</v>
      </c>
      <c r="S32" s="98">
        <v>102.27897311827957</v>
      </c>
      <c r="T32" s="100">
        <f t="shared" si="13"/>
        <v>0.98031195409098526</v>
      </c>
      <c r="U32" s="100">
        <f t="shared" si="14"/>
        <v>1.0249702045675309</v>
      </c>
      <c r="W32" s="74"/>
      <c r="X32" s="79"/>
      <c r="Y32" s="79"/>
      <c r="Z32" s="79"/>
      <c r="AA32" s="79"/>
      <c r="AD32" s="154" t="str">
        <f t="shared" si="0"/>
        <v>Summer</v>
      </c>
      <c r="AE32">
        <f t="shared" si="1"/>
        <v>7</v>
      </c>
      <c r="AF32" s="152">
        <v>43647</v>
      </c>
      <c r="AG32" s="153">
        <v>416</v>
      </c>
      <c r="AH32" s="153">
        <v>328</v>
      </c>
      <c r="AI32">
        <f t="shared" si="2"/>
        <v>26</v>
      </c>
      <c r="AJ32">
        <f t="shared" si="3"/>
        <v>5</v>
      </c>
    </row>
    <row r="33" spans="2:36" x14ac:dyDescent="0.2">
      <c r="B33" s="80">
        <f t="shared" si="8"/>
        <v>45689</v>
      </c>
      <c r="C33" s="73">
        <v>7.3430149153401603</v>
      </c>
      <c r="D33" s="73">
        <v>5.6921158164483989</v>
      </c>
      <c r="E33" s="81">
        <f t="shared" si="4"/>
        <v>2025</v>
      </c>
      <c r="G33" s="74"/>
      <c r="H33" s="91">
        <f>ROUND(AVERAGE(H8:H30)-AVERAGE(C8:C260),2)</f>
        <v>0</v>
      </c>
      <c r="I33" s="91">
        <f>ROUND(AVERAGE(I8:I30)-AVERAGE(D8:D260),2)</f>
        <v>0</v>
      </c>
      <c r="K33">
        <f t="shared" si="10"/>
        <v>2</v>
      </c>
      <c r="L33" s="101">
        <f t="shared" si="11"/>
        <v>2025</v>
      </c>
      <c r="M33" s="76">
        <f t="shared" si="7"/>
        <v>45689</v>
      </c>
      <c r="N33" s="77">
        <v>101.24469999999999</v>
      </c>
      <c r="O33" s="77">
        <v>77.297499999999999</v>
      </c>
      <c r="P33" s="77">
        <v>84.2791</v>
      </c>
      <c r="Q33" s="78">
        <v>82.440299999999993</v>
      </c>
      <c r="S33" s="98">
        <v>79.501557142857138</v>
      </c>
      <c r="T33" s="100">
        <f t="shared" si="13"/>
        <v>0.97227655379256728</v>
      </c>
      <c r="U33" s="100">
        <f t="shared" si="14"/>
        <v>1.0369645949432438</v>
      </c>
      <c r="W33" s="74"/>
      <c r="X33" s="79"/>
      <c r="Y33" s="79"/>
      <c r="Z33" s="79"/>
      <c r="AA33" s="79"/>
      <c r="AD33" s="154" t="str">
        <f t="shared" si="0"/>
        <v>Summer</v>
      </c>
      <c r="AE33">
        <f t="shared" si="1"/>
        <v>8</v>
      </c>
      <c r="AF33" s="152">
        <v>43678</v>
      </c>
      <c r="AG33" s="153">
        <v>432</v>
      </c>
      <c r="AH33" s="153">
        <v>312</v>
      </c>
      <c r="AI33">
        <f t="shared" si="2"/>
        <v>27</v>
      </c>
      <c r="AJ33">
        <f t="shared" si="3"/>
        <v>4</v>
      </c>
    </row>
    <row r="34" spans="2:36" x14ac:dyDescent="0.2">
      <c r="B34" s="80">
        <f t="shared" si="8"/>
        <v>45717</v>
      </c>
      <c r="C34" s="73">
        <v>5.6143319588360541</v>
      </c>
      <c r="D34" s="73">
        <v>4.5500820552292716</v>
      </c>
      <c r="E34" s="81">
        <f t="shared" si="4"/>
        <v>2025</v>
      </c>
      <c r="G34" s="74"/>
      <c r="H34" s="75"/>
      <c r="I34" s="75"/>
      <c r="K34">
        <f t="shared" si="10"/>
        <v>3</v>
      </c>
      <c r="L34" s="101">
        <f t="shared" si="11"/>
        <v>2025</v>
      </c>
      <c r="M34" s="76">
        <f t="shared" si="7"/>
        <v>45717</v>
      </c>
      <c r="N34" s="77">
        <v>84.253900000000002</v>
      </c>
      <c r="O34" s="77">
        <v>64.990499999999997</v>
      </c>
      <c r="P34" s="77">
        <v>70.264499999999998</v>
      </c>
      <c r="Q34" s="78">
        <v>69.874300000000005</v>
      </c>
      <c r="S34" s="98">
        <v>67.139897846567976</v>
      </c>
      <c r="T34" s="100">
        <f t="shared" si="13"/>
        <v>0.96798628065416614</v>
      </c>
      <c r="U34" s="100">
        <f t="shared" si="14"/>
        <v>1.0407269334797149</v>
      </c>
      <c r="W34" s="74"/>
      <c r="X34" s="79"/>
      <c r="Y34" s="79"/>
      <c r="Z34" s="79"/>
      <c r="AA34" s="79"/>
      <c r="AD34" s="154" t="str">
        <f t="shared" si="0"/>
        <v>Summer</v>
      </c>
      <c r="AE34">
        <f t="shared" si="1"/>
        <v>9</v>
      </c>
      <c r="AF34" s="152">
        <v>43709</v>
      </c>
      <c r="AG34" s="153">
        <v>384</v>
      </c>
      <c r="AH34" s="153">
        <v>336</v>
      </c>
      <c r="AI34">
        <f t="shared" si="2"/>
        <v>24</v>
      </c>
      <c r="AJ34">
        <f t="shared" si="3"/>
        <v>6</v>
      </c>
    </row>
    <row r="35" spans="2:36" x14ac:dyDescent="0.2">
      <c r="B35" s="80">
        <f t="shared" si="8"/>
        <v>45748</v>
      </c>
      <c r="C35" s="73">
        <v>3.6935167910372098</v>
      </c>
      <c r="D35" s="73">
        <v>3.4950406639420466</v>
      </c>
      <c r="E35" s="81">
        <f t="shared" si="4"/>
        <v>2025</v>
      </c>
      <c r="G35" s="74"/>
      <c r="K35">
        <f t="shared" si="10"/>
        <v>4</v>
      </c>
      <c r="L35" s="101">
        <f t="shared" si="11"/>
        <v>2025</v>
      </c>
      <c r="M35" s="76">
        <f t="shared" si="7"/>
        <v>45748</v>
      </c>
      <c r="N35" s="77">
        <v>56.75</v>
      </c>
      <c r="O35" s="77">
        <v>35.836799999999997</v>
      </c>
      <c r="P35" s="77">
        <v>51.119199999999999</v>
      </c>
      <c r="Q35" s="78">
        <v>47.005099999999999</v>
      </c>
      <c r="S35" s="98">
        <v>40.552304444444445</v>
      </c>
      <c r="T35" s="100">
        <f t="shared" si="13"/>
        <v>0.88371796599365737</v>
      </c>
      <c r="U35" s="100">
        <f t="shared" si="14"/>
        <v>1.1591227833771003</v>
      </c>
      <c r="X35" s="88"/>
      <c r="Y35" s="88"/>
      <c r="Z35" s="88"/>
      <c r="AA35" s="88"/>
      <c r="AD35" s="154" t="str">
        <f t="shared" si="0"/>
        <v>Winter</v>
      </c>
      <c r="AE35">
        <f t="shared" si="1"/>
        <v>10</v>
      </c>
      <c r="AF35" s="152">
        <v>43739</v>
      </c>
      <c r="AG35" s="153">
        <v>432</v>
      </c>
      <c r="AH35" s="153">
        <v>312</v>
      </c>
      <c r="AI35">
        <f t="shared" si="2"/>
        <v>27</v>
      </c>
      <c r="AJ35">
        <f t="shared" si="3"/>
        <v>4</v>
      </c>
    </row>
    <row r="36" spans="2:36" x14ac:dyDescent="0.2">
      <c r="B36" s="80">
        <f t="shared" si="8"/>
        <v>45778</v>
      </c>
      <c r="C36" s="73">
        <v>3.6854056686606507</v>
      </c>
      <c r="D36" s="73">
        <v>3.4227541470224412</v>
      </c>
      <c r="E36" s="81">
        <f t="shared" si="4"/>
        <v>2025</v>
      </c>
      <c r="G36" s="74"/>
      <c r="K36">
        <f t="shared" si="10"/>
        <v>5</v>
      </c>
      <c r="L36" s="101">
        <f t="shared" si="11"/>
        <v>2025</v>
      </c>
      <c r="M36" s="76">
        <f t="shared" si="7"/>
        <v>45778</v>
      </c>
      <c r="N36" s="77">
        <v>54.182499999999997</v>
      </c>
      <c r="O36" s="77">
        <v>30.4754</v>
      </c>
      <c r="P36" s="77">
        <v>45.282899999999998</v>
      </c>
      <c r="Q36" s="78">
        <v>41.955500000000001</v>
      </c>
      <c r="S36" s="98">
        <v>35.53651935483871</v>
      </c>
      <c r="T36" s="100">
        <f t="shared" si="13"/>
        <v>0.85757976732885688</v>
      </c>
      <c r="U36" s="100">
        <f t="shared" si="14"/>
        <v>1.1806305389975473</v>
      </c>
      <c r="X36" s="90" t="s">
        <v>55</v>
      </c>
      <c r="Y36" s="90"/>
      <c r="Z36" s="90"/>
      <c r="AA36" s="90"/>
      <c r="AD36" s="154" t="str">
        <f t="shared" si="0"/>
        <v>Winter</v>
      </c>
      <c r="AE36">
        <f t="shared" si="1"/>
        <v>11</v>
      </c>
      <c r="AF36" s="152">
        <v>43770</v>
      </c>
      <c r="AG36" s="153">
        <v>400</v>
      </c>
      <c r="AH36" s="153">
        <v>320</v>
      </c>
      <c r="AI36">
        <f t="shared" si="2"/>
        <v>25</v>
      </c>
      <c r="AJ36">
        <f t="shared" si="3"/>
        <v>5</v>
      </c>
    </row>
    <row r="37" spans="2:36" x14ac:dyDescent="0.2">
      <c r="B37" s="80">
        <f t="shared" si="8"/>
        <v>45809</v>
      </c>
      <c r="C37" s="73">
        <v>3.8293780908445707</v>
      </c>
      <c r="D37" s="73">
        <v>3.5573334145539999</v>
      </c>
      <c r="E37" s="81">
        <f t="shared" si="4"/>
        <v>2025</v>
      </c>
      <c r="K37">
        <f t="shared" si="10"/>
        <v>6</v>
      </c>
      <c r="L37" s="101">
        <f t="shared" si="11"/>
        <v>2025</v>
      </c>
      <c r="M37" s="76">
        <f t="shared" si="7"/>
        <v>45809</v>
      </c>
      <c r="N37" s="77">
        <v>55.7913</v>
      </c>
      <c r="O37" s="77">
        <v>72.398899999999998</v>
      </c>
      <c r="P37" s="77">
        <v>44.838000000000001</v>
      </c>
      <c r="Q37" s="78">
        <v>71.856800000000007</v>
      </c>
      <c r="S37" s="98">
        <v>72.157966666666667</v>
      </c>
      <c r="T37" s="100">
        <f t="shared" si="13"/>
        <v>1.0033389706565086</v>
      </c>
      <c r="U37" s="100">
        <f t="shared" si="14"/>
        <v>0.99582628667936424</v>
      </c>
      <c r="X37" s="91">
        <f>ROUND(AVERAGE(X8:X34)-AVERAGE(N8:N260),2)</f>
        <v>0</v>
      </c>
      <c r="Y37" s="91">
        <f>ROUND(AVERAGE(Y8:Y34)-AVERAGE(O8:O260),2)</f>
        <v>0</v>
      </c>
      <c r="Z37" s="91">
        <f>ROUND(AVERAGE(Z8:Z34)-AVERAGE(P8:P260),2)</f>
        <v>0</v>
      </c>
      <c r="AA37" s="91">
        <f>ROUND(AVERAGE(AA8:AA34)-AVERAGE(Q8:Q260),2)</f>
        <v>0</v>
      </c>
      <c r="AD37" s="154" t="str">
        <f t="shared" si="0"/>
        <v>Winter</v>
      </c>
      <c r="AE37">
        <f t="shared" si="1"/>
        <v>12</v>
      </c>
      <c r="AF37" s="152">
        <v>43800</v>
      </c>
      <c r="AG37" s="153">
        <v>400</v>
      </c>
      <c r="AH37" s="153">
        <v>344</v>
      </c>
      <c r="AI37">
        <f t="shared" si="2"/>
        <v>25</v>
      </c>
      <c r="AJ37">
        <f t="shared" si="3"/>
        <v>6</v>
      </c>
    </row>
    <row r="38" spans="2:36" x14ac:dyDescent="0.2">
      <c r="B38" s="80">
        <f t="shared" si="8"/>
        <v>45839</v>
      </c>
      <c r="C38" s="73">
        <v>4.1675105049173675</v>
      </c>
      <c r="D38" s="73">
        <v>3.7731055606886672</v>
      </c>
      <c r="E38" s="81">
        <f t="shared" si="4"/>
        <v>2025</v>
      </c>
      <c r="K38">
        <f t="shared" si="10"/>
        <v>7</v>
      </c>
      <c r="L38" s="101">
        <f t="shared" si="11"/>
        <v>2025</v>
      </c>
      <c r="M38" s="76">
        <f t="shared" si="7"/>
        <v>45839</v>
      </c>
      <c r="N38" s="77">
        <v>177.65039999999999</v>
      </c>
      <c r="O38" s="77">
        <v>211.25479999999999</v>
      </c>
      <c r="P38" s="77">
        <v>87.797799999999995</v>
      </c>
      <c r="Q38" s="78">
        <v>102.6498</v>
      </c>
      <c r="S38" s="98">
        <v>163.37517634408599</v>
      </c>
      <c r="T38" s="100">
        <f t="shared" si="13"/>
        <v>1.293065474984243</v>
      </c>
      <c r="U38" s="100">
        <f t="shared" si="14"/>
        <v>0.6283072024590094</v>
      </c>
      <c r="AD38" s="154" t="str">
        <f t="shared" si="0"/>
        <v>Winter</v>
      </c>
      <c r="AE38">
        <f t="shared" si="1"/>
        <v>1</v>
      </c>
      <c r="AF38" s="152">
        <v>43831</v>
      </c>
      <c r="AG38" s="153">
        <v>416</v>
      </c>
      <c r="AH38" s="153">
        <v>328</v>
      </c>
      <c r="AI38">
        <f t="shared" si="2"/>
        <v>26</v>
      </c>
      <c r="AJ38">
        <f t="shared" si="3"/>
        <v>5</v>
      </c>
    </row>
    <row r="39" spans="2:36" x14ac:dyDescent="0.2">
      <c r="B39" s="80">
        <f t="shared" si="8"/>
        <v>45870</v>
      </c>
      <c r="C39" s="73">
        <v>4.2065452813545567</v>
      </c>
      <c r="D39" s="73">
        <v>3.814944748132107</v>
      </c>
      <c r="E39" s="81">
        <f t="shared" si="4"/>
        <v>2025</v>
      </c>
      <c r="K39">
        <f t="shared" si="10"/>
        <v>8</v>
      </c>
      <c r="L39" s="101">
        <f t="shared" si="11"/>
        <v>2025</v>
      </c>
      <c r="M39" s="76">
        <f t="shared" si="7"/>
        <v>45870</v>
      </c>
      <c r="N39" s="77">
        <v>201.24940000000001</v>
      </c>
      <c r="O39" s="77">
        <v>212.62110000000001</v>
      </c>
      <c r="P39" s="77">
        <v>100.4003</v>
      </c>
      <c r="Q39" s="78">
        <v>102.63030000000001</v>
      </c>
      <c r="S39" s="98">
        <v>164.13053225806451</v>
      </c>
      <c r="T39" s="100">
        <f t="shared" si="13"/>
        <v>1.2954390452209903</v>
      </c>
      <c r="U39" s="100">
        <f t="shared" si="14"/>
        <v>0.62529682069532977</v>
      </c>
      <c r="AD39" s="154" t="str">
        <f t="shared" si="0"/>
        <v>Winter</v>
      </c>
      <c r="AE39">
        <f t="shared" si="1"/>
        <v>2</v>
      </c>
      <c r="AF39" s="152">
        <v>43862</v>
      </c>
      <c r="AG39" s="153">
        <v>400</v>
      </c>
      <c r="AH39" s="153">
        <v>296</v>
      </c>
      <c r="AI39">
        <f t="shared" si="2"/>
        <v>25</v>
      </c>
      <c r="AJ39">
        <f t="shared" si="3"/>
        <v>4</v>
      </c>
    </row>
    <row r="40" spans="2:36" x14ac:dyDescent="0.2">
      <c r="B40" s="80">
        <f t="shared" si="8"/>
        <v>45901</v>
      </c>
      <c r="C40" s="73">
        <v>4.1533160407583907</v>
      </c>
      <c r="D40" s="73">
        <v>3.8328092526716944</v>
      </c>
      <c r="E40" s="81">
        <f t="shared" si="4"/>
        <v>2025</v>
      </c>
      <c r="K40">
        <f t="shared" si="10"/>
        <v>9</v>
      </c>
      <c r="L40" s="101">
        <f t="shared" si="11"/>
        <v>2025</v>
      </c>
      <c r="M40" s="76">
        <f t="shared" si="7"/>
        <v>45901</v>
      </c>
      <c r="N40" s="77">
        <v>166.0256</v>
      </c>
      <c r="O40" s="77">
        <v>174.95910000000001</v>
      </c>
      <c r="P40" s="77">
        <v>84.880499999999998</v>
      </c>
      <c r="Q40" s="78">
        <v>99.428700000000006</v>
      </c>
      <c r="S40" s="98">
        <v>141.39003333333332</v>
      </c>
      <c r="T40" s="100">
        <f t="shared" si="13"/>
        <v>1.2374217324606334</v>
      </c>
      <c r="U40" s="100">
        <f t="shared" si="14"/>
        <v>0.70322283442420874</v>
      </c>
      <c r="AD40" s="154" t="str">
        <f t="shared" si="0"/>
        <v>Winter</v>
      </c>
      <c r="AE40">
        <f t="shared" si="1"/>
        <v>3</v>
      </c>
      <c r="AF40" s="152">
        <v>43891</v>
      </c>
      <c r="AG40" s="153">
        <v>416</v>
      </c>
      <c r="AH40" s="153">
        <v>328</v>
      </c>
      <c r="AI40">
        <f t="shared" si="2"/>
        <v>26</v>
      </c>
      <c r="AJ40">
        <f t="shared" si="3"/>
        <v>5</v>
      </c>
    </row>
    <row r="41" spans="2:36" x14ac:dyDescent="0.2">
      <c r="B41" s="80">
        <f t="shared" si="8"/>
        <v>45931</v>
      </c>
      <c r="C41" s="73">
        <v>4.1016076356078273</v>
      </c>
      <c r="D41" s="73">
        <v>3.8963447514255312</v>
      </c>
      <c r="E41" s="81">
        <f t="shared" si="4"/>
        <v>2025</v>
      </c>
      <c r="K41">
        <f t="shared" si="10"/>
        <v>10</v>
      </c>
      <c r="L41" s="101">
        <f t="shared" si="11"/>
        <v>2025</v>
      </c>
      <c r="M41" s="76">
        <f t="shared" si="7"/>
        <v>45931</v>
      </c>
      <c r="N41" s="77">
        <v>88.3018</v>
      </c>
      <c r="O41" s="77">
        <v>66.263400000000004</v>
      </c>
      <c r="P41" s="77">
        <v>74.6297</v>
      </c>
      <c r="Q41" s="78">
        <v>70.624899999999997</v>
      </c>
      <c r="S41" s="98">
        <v>68.092416129032259</v>
      </c>
      <c r="T41" s="100">
        <f t="shared" si="13"/>
        <v>0.97313920943021992</v>
      </c>
      <c r="U41" s="100">
        <f t="shared" si="14"/>
        <v>1.0371918638658495</v>
      </c>
      <c r="AD41" s="154" t="str">
        <f t="shared" si="0"/>
        <v>Winter</v>
      </c>
      <c r="AE41">
        <f t="shared" si="1"/>
        <v>4</v>
      </c>
      <c r="AF41" s="152">
        <v>43922</v>
      </c>
      <c r="AG41" s="153">
        <v>416</v>
      </c>
      <c r="AH41" s="153">
        <v>304</v>
      </c>
      <c r="AI41">
        <f t="shared" si="2"/>
        <v>26</v>
      </c>
      <c r="AJ41">
        <f t="shared" si="3"/>
        <v>4</v>
      </c>
    </row>
    <row r="42" spans="2:36" x14ac:dyDescent="0.2">
      <c r="B42" s="80">
        <f t="shared" si="8"/>
        <v>45962</v>
      </c>
      <c r="C42" s="73">
        <v>6.2110063986616648</v>
      </c>
      <c r="D42" s="73">
        <v>5.2741899725672123</v>
      </c>
      <c r="E42" s="81">
        <f t="shared" si="4"/>
        <v>2025</v>
      </c>
      <c r="K42">
        <f t="shared" si="10"/>
        <v>11</v>
      </c>
      <c r="L42" s="101">
        <f t="shared" si="11"/>
        <v>2025</v>
      </c>
      <c r="M42" s="76">
        <f t="shared" si="7"/>
        <v>45962</v>
      </c>
      <c r="N42" s="77">
        <v>97.458799999999997</v>
      </c>
      <c r="O42" s="77">
        <v>65.646500000000003</v>
      </c>
      <c r="P42" s="77">
        <v>82.311099999999996</v>
      </c>
      <c r="Q42" s="78">
        <v>69.403400000000005</v>
      </c>
      <c r="S42" s="98">
        <v>67.402499029126218</v>
      </c>
      <c r="T42" s="100">
        <f t="shared" si="13"/>
        <v>0.97394756790297332</v>
      </c>
      <c r="U42" s="100">
        <f t="shared" si="14"/>
        <v>1.0296858573449799</v>
      </c>
      <c r="AD42" s="154" t="str">
        <f t="shared" si="0"/>
        <v>Winter</v>
      </c>
      <c r="AE42">
        <f t="shared" si="1"/>
        <v>5</v>
      </c>
      <c r="AF42" s="152">
        <v>43952</v>
      </c>
      <c r="AG42" s="153">
        <v>400</v>
      </c>
      <c r="AH42" s="153">
        <v>344</v>
      </c>
      <c r="AI42">
        <f t="shared" si="2"/>
        <v>25</v>
      </c>
      <c r="AJ42">
        <f t="shared" si="3"/>
        <v>6</v>
      </c>
    </row>
    <row r="43" spans="2:36" x14ac:dyDescent="0.2">
      <c r="B43" s="82">
        <f t="shared" si="8"/>
        <v>45992</v>
      </c>
      <c r="C43" s="83">
        <v>7.303980138902971</v>
      </c>
      <c r="D43" s="83">
        <v>5.9968997982455328</v>
      </c>
      <c r="E43" s="84">
        <f t="shared" si="4"/>
        <v>2025</v>
      </c>
      <c r="K43">
        <f t="shared" si="10"/>
        <v>12</v>
      </c>
      <c r="L43" s="101">
        <f t="shared" si="11"/>
        <v>2025</v>
      </c>
      <c r="M43" s="85">
        <f t="shared" si="7"/>
        <v>45992</v>
      </c>
      <c r="N43" s="86">
        <v>113.584</v>
      </c>
      <c r="O43" s="86">
        <v>102.8023</v>
      </c>
      <c r="P43" s="86">
        <v>95.372500000000002</v>
      </c>
      <c r="Q43" s="87">
        <v>104.6835</v>
      </c>
      <c r="S43" s="98">
        <v>103.63164623655913</v>
      </c>
      <c r="T43" s="100">
        <f t="shared" si="13"/>
        <v>0.99199717203501725</v>
      </c>
      <c r="U43" s="100">
        <f t="shared" si="14"/>
        <v>1.0101499281507098</v>
      </c>
      <c r="AD43" s="154" t="str">
        <f t="shared" si="0"/>
        <v>Summer</v>
      </c>
      <c r="AE43">
        <f t="shared" si="1"/>
        <v>6</v>
      </c>
      <c r="AF43" s="152">
        <v>43983</v>
      </c>
      <c r="AG43" s="153">
        <v>416</v>
      </c>
      <c r="AH43" s="153">
        <v>304</v>
      </c>
      <c r="AI43">
        <f t="shared" si="2"/>
        <v>26</v>
      </c>
      <c r="AJ43">
        <f t="shared" si="3"/>
        <v>4</v>
      </c>
    </row>
    <row r="44" spans="2:36" x14ac:dyDescent="0.2">
      <c r="B44" s="206">
        <f t="shared" si="8"/>
        <v>46023</v>
      </c>
      <c r="C44" s="73">
        <v>7.5749930153097438</v>
      </c>
      <c r="D44" s="73">
        <v>6.2205944637847148</v>
      </c>
      <c r="E44" s="205">
        <f t="shared" si="4"/>
        <v>2026</v>
      </c>
      <c r="K44">
        <f t="shared" si="10"/>
        <v>1</v>
      </c>
      <c r="L44" s="101">
        <f t="shared" si="11"/>
        <v>2026</v>
      </c>
      <c r="M44" s="76">
        <f t="shared" si="7"/>
        <v>46023</v>
      </c>
      <c r="N44" s="204">
        <v>117.1144</v>
      </c>
      <c r="O44" s="204">
        <v>97.678899999999999</v>
      </c>
      <c r="P44" s="204">
        <v>88.61</v>
      </c>
      <c r="Q44" s="203">
        <v>97.301299999999998</v>
      </c>
      <c r="S44" s="98">
        <v>97.512431182795709</v>
      </c>
      <c r="T44" s="100">
        <f t="shared" si="13"/>
        <v>1.0017071548230834</v>
      </c>
      <c r="U44" s="100">
        <f t="shared" si="14"/>
        <v>0.99783482802925993</v>
      </c>
      <c r="AD44" s="154" t="str">
        <f t="shared" si="0"/>
        <v>Summer</v>
      </c>
      <c r="AE44">
        <f t="shared" si="1"/>
        <v>7</v>
      </c>
      <c r="AF44" s="152">
        <v>44013</v>
      </c>
      <c r="AG44" s="153">
        <v>416</v>
      </c>
      <c r="AH44" s="153">
        <v>328</v>
      </c>
      <c r="AI44">
        <f t="shared" si="2"/>
        <v>26</v>
      </c>
      <c r="AJ44">
        <f t="shared" si="3"/>
        <v>5</v>
      </c>
    </row>
    <row r="45" spans="2:36" x14ac:dyDescent="0.2">
      <c r="B45" s="80">
        <f t="shared" si="8"/>
        <v>46054</v>
      </c>
      <c r="C45" s="73">
        <v>7.2953620713778768</v>
      </c>
      <c r="D45" s="73">
        <v>5.9534553944521598</v>
      </c>
      <c r="E45" s="81">
        <f t="shared" si="4"/>
        <v>2026</v>
      </c>
      <c r="K45">
        <f t="shared" si="10"/>
        <v>2</v>
      </c>
      <c r="L45" s="101">
        <f t="shared" si="11"/>
        <v>2026</v>
      </c>
      <c r="M45" s="76">
        <f t="shared" si="7"/>
        <v>46054</v>
      </c>
      <c r="N45" s="77">
        <v>100.8399</v>
      </c>
      <c r="O45" s="77">
        <v>70.234300000000005</v>
      </c>
      <c r="P45" s="77">
        <v>77.189099999999996</v>
      </c>
      <c r="Q45" s="78">
        <v>71.560199999999995</v>
      </c>
      <c r="S45" s="98">
        <v>70.802542857142853</v>
      </c>
      <c r="T45" s="100">
        <f t="shared" si="13"/>
        <v>0.99197425919730897</v>
      </c>
      <c r="U45" s="100">
        <f t="shared" si="14"/>
        <v>1.0107009877369215</v>
      </c>
      <c r="AD45" s="154" t="str">
        <f t="shared" si="0"/>
        <v>Summer</v>
      </c>
      <c r="AE45">
        <f t="shared" si="1"/>
        <v>8</v>
      </c>
      <c r="AF45" s="152">
        <v>44044</v>
      </c>
      <c r="AG45" s="153">
        <v>416</v>
      </c>
      <c r="AH45" s="153">
        <v>328</v>
      </c>
      <c r="AI45">
        <f t="shared" si="2"/>
        <v>26</v>
      </c>
      <c r="AJ45">
        <f t="shared" si="3"/>
        <v>5</v>
      </c>
    </row>
    <row r="46" spans="2:36" x14ac:dyDescent="0.2">
      <c r="B46" s="80">
        <f t="shared" si="8"/>
        <v>46082</v>
      </c>
      <c r="C46" s="73">
        <v>5.7510043708810716</v>
      </c>
      <c r="D46" s="73">
        <v>4.6952764631394253</v>
      </c>
      <c r="E46" s="81">
        <f t="shared" si="4"/>
        <v>2026</v>
      </c>
      <c r="K46">
        <f t="shared" si="10"/>
        <v>3</v>
      </c>
      <c r="L46" s="101">
        <f t="shared" si="11"/>
        <v>2026</v>
      </c>
      <c r="M46" s="76">
        <f t="shared" si="7"/>
        <v>46082</v>
      </c>
      <c r="N46" s="77">
        <v>82.997299999999996</v>
      </c>
      <c r="O46" s="77">
        <v>60.9831</v>
      </c>
      <c r="P46" s="77">
        <v>63.989199999999997</v>
      </c>
      <c r="Q46" s="78">
        <v>61.328000000000003</v>
      </c>
      <c r="S46" s="98">
        <v>61.134893135935393</v>
      </c>
      <c r="T46" s="100">
        <f t="shared" si="13"/>
        <v>0.99751707857576732</v>
      </c>
      <c r="U46" s="100">
        <f t="shared" si="14"/>
        <v>1.0031587012614094</v>
      </c>
      <c r="AD46" s="154" t="str">
        <f t="shared" si="0"/>
        <v>Summer</v>
      </c>
      <c r="AE46">
        <f t="shared" si="1"/>
        <v>9</v>
      </c>
      <c r="AF46" s="152">
        <v>44075</v>
      </c>
      <c r="AG46" s="153">
        <v>400</v>
      </c>
      <c r="AH46" s="153">
        <v>320</v>
      </c>
      <c r="AI46">
        <f t="shared" si="2"/>
        <v>25</v>
      </c>
      <c r="AJ46">
        <f t="shared" si="3"/>
        <v>5</v>
      </c>
    </row>
    <row r="47" spans="2:36" x14ac:dyDescent="0.2">
      <c r="B47" s="80">
        <f t="shared" si="8"/>
        <v>46113</v>
      </c>
      <c r="C47" s="73">
        <v>3.6218347470343706</v>
      </c>
      <c r="D47" s="73">
        <v>3.5163745070443948</v>
      </c>
      <c r="E47" s="81">
        <f t="shared" si="4"/>
        <v>2026</v>
      </c>
      <c r="K47">
        <f t="shared" si="10"/>
        <v>4</v>
      </c>
      <c r="L47" s="101">
        <f t="shared" si="11"/>
        <v>2026</v>
      </c>
      <c r="M47" s="76">
        <f t="shared" si="7"/>
        <v>46113</v>
      </c>
      <c r="N47" s="77">
        <v>70.697400000000002</v>
      </c>
      <c r="O47" s="77">
        <v>38.062800000000003</v>
      </c>
      <c r="P47" s="77">
        <v>54.476199999999999</v>
      </c>
      <c r="Q47" s="78">
        <v>40.548900000000003</v>
      </c>
      <c r="S47" s="98">
        <v>39.112486666666669</v>
      </c>
      <c r="T47" s="100">
        <f t="shared" si="13"/>
        <v>0.97316236434639036</v>
      </c>
      <c r="U47" s="100">
        <f t="shared" si="14"/>
        <v>1.0367251856312554</v>
      </c>
      <c r="AD47" s="154" t="str">
        <f t="shared" si="0"/>
        <v>Winter</v>
      </c>
      <c r="AE47">
        <f t="shared" si="1"/>
        <v>10</v>
      </c>
      <c r="AF47" s="152">
        <v>44105</v>
      </c>
      <c r="AG47" s="153">
        <v>432</v>
      </c>
      <c r="AH47" s="153">
        <v>312</v>
      </c>
      <c r="AI47">
        <f t="shared" si="2"/>
        <v>27</v>
      </c>
      <c r="AJ47">
        <f t="shared" si="3"/>
        <v>4</v>
      </c>
    </row>
    <row r="48" spans="2:36" x14ac:dyDescent="0.2">
      <c r="B48" s="80">
        <f t="shared" si="8"/>
        <v>46143</v>
      </c>
      <c r="C48" s="73">
        <v>4.1411493571935516</v>
      </c>
      <c r="D48" s="73">
        <v>4.0489956481869918</v>
      </c>
      <c r="E48" s="81">
        <f t="shared" si="4"/>
        <v>2026</v>
      </c>
      <c r="K48">
        <f t="shared" si="10"/>
        <v>5</v>
      </c>
      <c r="L48" s="101">
        <f t="shared" si="11"/>
        <v>2026</v>
      </c>
      <c r="M48" s="76">
        <f t="shared" si="7"/>
        <v>46143</v>
      </c>
      <c r="N48" s="77">
        <v>37.645400000000002</v>
      </c>
      <c r="O48" s="77">
        <v>30.5566</v>
      </c>
      <c r="P48" s="77">
        <v>36.582700000000003</v>
      </c>
      <c r="Q48" s="78">
        <v>41.263100000000001</v>
      </c>
      <c r="S48" s="98">
        <v>35.506917204301075</v>
      </c>
      <c r="T48" s="100">
        <f t="shared" si="13"/>
        <v>0.86058161073748674</v>
      </c>
      <c r="U48" s="100">
        <f t="shared" si="14"/>
        <v>1.1621144061192015</v>
      </c>
      <c r="AD48" s="154" t="str">
        <f t="shared" si="0"/>
        <v>Winter</v>
      </c>
      <c r="AE48">
        <f t="shared" si="1"/>
        <v>11</v>
      </c>
      <c r="AF48" s="152">
        <v>44136</v>
      </c>
      <c r="AG48" s="153">
        <v>384</v>
      </c>
      <c r="AH48" s="153">
        <v>336</v>
      </c>
      <c r="AI48">
        <f t="shared" si="2"/>
        <v>24</v>
      </c>
      <c r="AJ48">
        <f t="shared" si="3"/>
        <v>6</v>
      </c>
    </row>
    <row r="49" spans="2:36" x14ac:dyDescent="0.2">
      <c r="B49" s="80">
        <f t="shared" si="8"/>
        <v>46174</v>
      </c>
      <c r="C49" s="73">
        <v>4.1917424830173378</v>
      </c>
      <c r="D49" s="73">
        <v>4.0939934871577197</v>
      </c>
      <c r="E49" s="81">
        <f t="shared" si="4"/>
        <v>2026</v>
      </c>
      <c r="K49">
        <f t="shared" si="10"/>
        <v>6</v>
      </c>
      <c r="L49" s="101">
        <f t="shared" si="11"/>
        <v>2026</v>
      </c>
      <c r="M49" s="76">
        <f t="shared" si="7"/>
        <v>46174</v>
      </c>
      <c r="N49" s="77">
        <v>44.105499999999999</v>
      </c>
      <c r="O49" s="77">
        <v>59.150500000000001</v>
      </c>
      <c r="P49" s="77">
        <v>39.7547</v>
      </c>
      <c r="Q49" s="78">
        <v>59.424199999999999</v>
      </c>
      <c r="S49" s="98">
        <v>59.266062222222224</v>
      </c>
      <c r="T49" s="100">
        <f t="shared" si="13"/>
        <v>0.99805011134721733</v>
      </c>
      <c r="U49" s="100">
        <f t="shared" si="14"/>
        <v>1.0026682686827553</v>
      </c>
      <c r="AD49" s="154" t="str">
        <f t="shared" si="0"/>
        <v>Winter</v>
      </c>
      <c r="AE49">
        <f t="shared" si="1"/>
        <v>12</v>
      </c>
      <c r="AF49" s="152">
        <v>44166</v>
      </c>
      <c r="AG49" s="153">
        <v>416</v>
      </c>
      <c r="AH49" s="153">
        <v>328</v>
      </c>
      <c r="AI49">
        <f t="shared" si="2"/>
        <v>26</v>
      </c>
      <c r="AJ49">
        <f t="shared" si="3"/>
        <v>5</v>
      </c>
    </row>
    <row r="50" spans="2:36" x14ac:dyDescent="0.2">
      <c r="B50" s="80">
        <f t="shared" si="8"/>
        <v>46204</v>
      </c>
      <c r="C50" s="73">
        <v>4.3601496613606407</v>
      </c>
      <c r="D50" s="73">
        <v>4.217802270792947</v>
      </c>
      <c r="E50" s="81">
        <f t="shared" si="4"/>
        <v>2026</v>
      </c>
      <c r="K50">
        <f t="shared" si="10"/>
        <v>7</v>
      </c>
      <c r="L50" s="101">
        <f t="shared" si="11"/>
        <v>2026</v>
      </c>
      <c r="M50" s="76">
        <f t="shared" si="7"/>
        <v>46204</v>
      </c>
      <c r="N50" s="77">
        <v>121.53400000000001</v>
      </c>
      <c r="O50" s="77">
        <v>141.17259999999999</v>
      </c>
      <c r="P50" s="77">
        <v>71.204099999999997</v>
      </c>
      <c r="Q50" s="78">
        <v>86.010900000000007</v>
      </c>
      <c r="S50" s="98">
        <v>116.85400107526881</v>
      </c>
      <c r="T50" s="100">
        <f t="shared" si="13"/>
        <v>1.2081109649730086</v>
      </c>
      <c r="U50" s="100">
        <f t="shared" si="14"/>
        <v>0.73605438588789152</v>
      </c>
      <c r="AD50" s="154" t="str">
        <f t="shared" si="0"/>
        <v>Winter</v>
      </c>
      <c r="AE50">
        <f t="shared" si="1"/>
        <v>1</v>
      </c>
      <c r="AF50" s="152">
        <v>44197</v>
      </c>
      <c r="AG50" s="153">
        <v>400</v>
      </c>
      <c r="AH50" s="153">
        <v>344</v>
      </c>
      <c r="AI50">
        <f t="shared" si="2"/>
        <v>25</v>
      </c>
      <c r="AJ50">
        <f t="shared" si="3"/>
        <v>6</v>
      </c>
    </row>
    <row r="51" spans="2:36" x14ac:dyDescent="0.2">
      <c r="B51" s="80">
        <f t="shared" si="8"/>
        <v>46235</v>
      </c>
      <c r="C51" s="73">
        <v>4.6381583808171962</v>
      </c>
      <c r="D51" s="73">
        <v>4.3883176720939927</v>
      </c>
      <c r="E51" s="81">
        <f t="shared" si="4"/>
        <v>2026</v>
      </c>
      <c r="K51">
        <f t="shared" si="10"/>
        <v>8</v>
      </c>
      <c r="L51" s="101">
        <f t="shared" si="11"/>
        <v>2026</v>
      </c>
      <c r="M51" s="76">
        <f t="shared" si="7"/>
        <v>46235</v>
      </c>
      <c r="N51" s="77">
        <v>141.98840000000001</v>
      </c>
      <c r="O51" s="77">
        <v>148.07990000000001</v>
      </c>
      <c r="P51" s="77">
        <v>81.460700000000003</v>
      </c>
      <c r="Q51" s="78">
        <v>89.560500000000005</v>
      </c>
      <c r="S51" s="98">
        <v>122.2810247311828</v>
      </c>
      <c r="T51" s="100">
        <f t="shared" si="13"/>
        <v>1.2109802017568327</v>
      </c>
      <c r="U51" s="100">
        <f t="shared" si="14"/>
        <v>0.73241535386938283</v>
      </c>
      <c r="AD51" s="154" t="str">
        <f t="shared" si="0"/>
        <v>Winter</v>
      </c>
      <c r="AE51">
        <f t="shared" si="1"/>
        <v>2</v>
      </c>
      <c r="AF51" s="152">
        <v>44228</v>
      </c>
      <c r="AG51" s="153">
        <v>384</v>
      </c>
      <c r="AH51" s="153">
        <v>288</v>
      </c>
      <c r="AI51">
        <f t="shared" si="2"/>
        <v>24</v>
      </c>
      <c r="AJ51">
        <f t="shared" si="3"/>
        <v>4</v>
      </c>
    </row>
    <row r="52" spans="2:36" x14ac:dyDescent="0.2">
      <c r="B52" s="80">
        <f t="shared" si="8"/>
        <v>46266</v>
      </c>
      <c r="C52" s="73">
        <v>4.6471820044611176</v>
      </c>
      <c r="D52" s="73">
        <v>4.5500302740566934</v>
      </c>
      <c r="E52" s="81">
        <f t="shared" si="4"/>
        <v>2026</v>
      </c>
      <c r="K52">
        <f t="shared" si="10"/>
        <v>9</v>
      </c>
      <c r="L52" s="101">
        <f t="shared" si="11"/>
        <v>2026</v>
      </c>
      <c r="M52" s="76">
        <f t="shared" si="7"/>
        <v>46266</v>
      </c>
      <c r="N52" s="77">
        <v>120.55249999999999</v>
      </c>
      <c r="O52" s="77">
        <v>126.3569</v>
      </c>
      <c r="P52" s="77">
        <v>70.497399999999999</v>
      </c>
      <c r="Q52" s="78">
        <v>82.709500000000006</v>
      </c>
      <c r="S52" s="98">
        <v>106.95805555555556</v>
      </c>
      <c r="T52" s="100">
        <f t="shared" si="13"/>
        <v>1.1813687089175662</v>
      </c>
      <c r="U52" s="100">
        <f t="shared" si="14"/>
        <v>0.77328911385304211</v>
      </c>
      <c r="AD52" s="154" t="str">
        <f t="shared" si="0"/>
        <v>Winter</v>
      </c>
      <c r="AE52">
        <f t="shared" si="1"/>
        <v>3</v>
      </c>
      <c r="AF52" s="152">
        <v>44256</v>
      </c>
      <c r="AG52" s="153">
        <v>432</v>
      </c>
      <c r="AH52" s="153">
        <v>312</v>
      </c>
      <c r="AI52">
        <f t="shared" si="2"/>
        <v>27</v>
      </c>
      <c r="AJ52">
        <f t="shared" si="3"/>
        <v>4</v>
      </c>
    </row>
    <row r="53" spans="2:36" x14ac:dyDescent="0.2">
      <c r="B53" s="80">
        <f t="shared" si="8"/>
        <v>46296</v>
      </c>
      <c r="C53" s="73">
        <v>4.7117668163844675</v>
      </c>
      <c r="D53" s="73">
        <v>4.6040898182286609</v>
      </c>
      <c r="E53" s="81">
        <f t="shared" si="4"/>
        <v>2026</v>
      </c>
      <c r="K53">
        <f t="shared" si="10"/>
        <v>10</v>
      </c>
      <c r="L53" s="101">
        <f t="shared" si="11"/>
        <v>2026</v>
      </c>
      <c r="M53" s="76">
        <f t="shared" si="7"/>
        <v>46296</v>
      </c>
      <c r="N53" s="77">
        <v>74.516999999999996</v>
      </c>
      <c r="O53" s="77">
        <v>63.0319</v>
      </c>
      <c r="P53" s="77">
        <v>65.996499999999997</v>
      </c>
      <c r="Q53" s="78">
        <v>66.821700000000007</v>
      </c>
      <c r="S53" s="98">
        <v>64.621170967741932</v>
      </c>
      <c r="T53" s="100">
        <f t="shared" si="13"/>
        <v>0.97540634216400568</v>
      </c>
      <c r="U53" s="100">
        <f t="shared" si="14"/>
        <v>1.0340527570036846</v>
      </c>
      <c r="AD53" s="154" t="str">
        <f t="shared" si="0"/>
        <v>Winter</v>
      </c>
      <c r="AE53">
        <f t="shared" si="1"/>
        <v>4</v>
      </c>
      <c r="AF53" s="152">
        <v>44287</v>
      </c>
      <c r="AG53" s="153">
        <v>416</v>
      </c>
      <c r="AH53" s="153">
        <v>304</v>
      </c>
      <c r="AI53">
        <f t="shared" si="2"/>
        <v>26</v>
      </c>
      <c r="AJ53">
        <f t="shared" si="3"/>
        <v>4</v>
      </c>
    </row>
    <row r="54" spans="2:36" x14ac:dyDescent="0.2">
      <c r="B54" s="80">
        <f t="shared" si="8"/>
        <v>46327</v>
      </c>
      <c r="C54" s="73">
        <v>5.9871394210686413</v>
      </c>
      <c r="D54" s="73">
        <v>5.3820501550482573</v>
      </c>
      <c r="E54" s="81">
        <f t="shared" si="4"/>
        <v>2026</v>
      </c>
      <c r="K54">
        <f t="shared" si="10"/>
        <v>11</v>
      </c>
      <c r="L54" s="101">
        <f t="shared" si="11"/>
        <v>2026</v>
      </c>
      <c r="M54" s="76">
        <f t="shared" si="7"/>
        <v>46327</v>
      </c>
      <c r="N54" s="77">
        <v>81.048299999999998</v>
      </c>
      <c r="O54" s="77">
        <v>63.887900000000002</v>
      </c>
      <c r="P54" s="77">
        <v>70.414400000000001</v>
      </c>
      <c r="Q54" s="78">
        <v>64.585800000000006</v>
      </c>
      <c r="S54" s="98">
        <v>64.214102912621371</v>
      </c>
      <c r="T54" s="100">
        <f t="shared" si="13"/>
        <v>0.99492007366255286</v>
      </c>
      <c r="U54" s="100">
        <f t="shared" si="14"/>
        <v>1.0057884027109187</v>
      </c>
      <c r="AD54" s="154" t="str">
        <f t="shared" si="0"/>
        <v>Winter</v>
      </c>
      <c r="AE54">
        <f t="shared" si="1"/>
        <v>5</v>
      </c>
      <c r="AF54" s="152">
        <v>44317</v>
      </c>
      <c r="AG54" s="153">
        <v>400</v>
      </c>
      <c r="AH54" s="153">
        <v>344</v>
      </c>
      <c r="AI54">
        <f t="shared" si="2"/>
        <v>25</v>
      </c>
      <c r="AJ54">
        <f t="shared" si="3"/>
        <v>6</v>
      </c>
    </row>
    <row r="55" spans="2:36" x14ac:dyDescent="0.2">
      <c r="B55" s="82">
        <f t="shared" si="8"/>
        <v>46357</v>
      </c>
      <c r="C55" s="83">
        <v>6.5505582591503604</v>
      </c>
      <c r="D55" s="83">
        <v>5.8866576818258771</v>
      </c>
      <c r="E55" s="84">
        <f t="shared" si="4"/>
        <v>2026</v>
      </c>
      <c r="K55">
        <f t="shared" si="10"/>
        <v>12</v>
      </c>
      <c r="L55" s="101">
        <f t="shared" si="11"/>
        <v>2026</v>
      </c>
      <c r="M55" s="85">
        <f t="shared" si="7"/>
        <v>46357</v>
      </c>
      <c r="N55" s="86">
        <v>90.129599999999996</v>
      </c>
      <c r="O55" s="86">
        <v>83.487899999999996</v>
      </c>
      <c r="P55" s="86">
        <v>77.555999999999997</v>
      </c>
      <c r="Q55" s="87">
        <v>82.9422</v>
      </c>
      <c r="S55" s="98">
        <v>83.247322580645161</v>
      </c>
      <c r="T55" s="100">
        <f t="shared" si="13"/>
        <v>1.0028899117941215</v>
      </c>
      <c r="U55" s="100">
        <f t="shared" si="14"/>
        <v>0.99633474601721184</v>
      </c>
      <c r="AD55" s="154" t="str">
        <f t="shared" si="0"/>
        <v>Summer</v>
      </c>
      <c r="AE55">
        <f t="shared" si="1"/>
        <v>6</v>
      </c>
      <c r="AF55" s="152">
        <v>44348</v>
      </c>
      <c r="AG55" s="153">
        <v>416</v>
      </c>
      <c r="AH55" s="153">
        <v>304</v>
      </c>
      <c r="AI55">
        <f t="shared" si="2"/>
        <v>26</v>
      </c>
      <c r="AJ55">
        <f t="shared" si="3"/>
        <v>4</v>
      </c>
    </row>
    <row r="56" spans="2:36" x14ac:dyDescent="0.2">
      <c r="B56" s="206">
        <f t="shared" si="8"/>
        <v>46388</v>
      </c>
      <c r="C56" s="73">
        <v>6.9578379914833217</v>
      </c>
      <c r="D56" s="73">
        <v>6.2994054084492124</v>
      </c>
      <c r="E56" s="205">
        <f t="shared" si="4"/>
        <v>2027</v>
      </c>
      <c r="K56">
        <f t="shared" si="10"/>
        <v>1</v>
      </c>
      <c r="L56" s="101">
        <f t="shared" si="11"/>
        <v>2027</v>
      </c>
      <c r="M56" s="76">
        <f t="shared" si="7"/>
        <v>46388</v>
      </c>
      <c r="N56" s="204">
        <v>89.178799999999995</v>
      </c>
      <c r="O56" s="204">
        <v>77.257499999999993</v>
      </c>
      <c r="P56" s="204">
        <v>70.531700000000001</v>
      </c>
      <c r="Q56" s="203">
        <v>77.157300000000006</v>
      </c>
      <c r="S56" s="98">
        <v>77.211170967741936</v>
      </c>
      <c r="T56" s="100">
        <f t="shared" si="13"/>
        <v>1.0006000301728024</v>
      </c>
      <c r="U56" s="100">
        <f t="shared" si="14"/>
        <v>0.99930229049674124</v>
      </c>
      <c r="AD56" s="154" t="str">
        <f t="shared" si="0"/>
        <v>Summer</v>
      </c>
      <c r="AE56">
        <f t="shared" si="1"/>
        <v>7</v>
      </c>
      <c r="AF56" s="152">
        <v>44378</v>
      </c>
      <c r="AG56" s="153">
        <v>416</v>
      </c>
      <c r="AH56" s="153">
        <v>328</v>
      </c>
      <c r="AI56">
        <f t="shared" si="2"/>
        <v>26</v>
      </c>
      <c r="AJ56">
        <f t="shared" si="3"/>
        <v>5</v>
      </c>
    </row>
    <row r="57" spans="2:36" x14ac:dyDescent="0.2">
      <c r="B57" s="80">
        <f t="shared" si="8"/>
        <v>46419</v>
      </c>
      <c r="C57" s="73">
        <v>6.7371140738112141</v>
      </c>
      <c r="D57" s="73">
        <v>6.1300291929448925</v>
      </c>
      <c r="E57" s="81">
        <f t="shared" si="4"/>
        <v>2027</v>
      </c>
      <c r="K57">
        <f t="shared" si="10"/>
        <v>2</v>
      </c>
      <c r="L57" s="101">
        <f t="shared" si="11"/>
        <v>2027</v>
      </c>
      <c r="M57" s="76">
        <f t="shared" si="7"/>
        <v>46419</v>
      </c>
      <c r="N57" s="77">
        <v>86.229299999999995</v>
      </c>
      <c r="O57" s="77">
        <v>67.888000000000005</v>
      </c>
      <c r="P57" s="77">
        <v>68.977699999999999</v>
      </c>
      <c r="Q57" s="78">
        <v>67.713800000000006</v>
      </c>
      <c r="S57" s="98">
        <v>67.813342857142857</v>
      </c>
      <c r="T57" s="100">
        <f t="shared" si="13"/>
        <v>1.0011009211419415</v>
      </c>
      <c r="U57" s="100">
        <f t="shared" si="14"/>
        <v>0.99853210514407831</v>
      </c>
      <c r="AD57" s="154" t="str">
        <f t="shared" si="0"/>
        <v>Summer</v>
      </c>
      <c r="AE57">
        <f t="shared" si="1"/>
        <v>8</v>
      </c>
      <c r="AF57" s="152">
        <v>44409</v>
      </c>
      <c r="AG57" s="153">
        <v>416</v>
      </c>
      <c r="AH57" s="153">
        <v>328</v>
      </c>
      <c r="AI57">
        <f t="shared" si="2"/>
        <v>26</v>
      </c>
      <c r="AJ57">
        <f t="shared" si="3"/>
        <v>5</v>
      </c>
    </row>
    <row r="58" spans="2:36" x14ac:dyDescent="0.2">
      <c r="B58" s="80">
        <f t="shared" si="8"/>
        <v>46447</v>
      </c>
      <c r="C58" s="73">
        <v>5.32689405961675</v>
      </c>
      <c r="D58" s="73">
        <v>5.1984858982574247</v>
      </c>
      <c r="E58" s="81">
        <f t="shared" si="4"/>
        <v>2027</v>
      </c>
      <c r="K58">
        <f t="shared" si="10"/>
        <v>3</v>
      </c>
      <c r="L58" s="101">
        <f t="shared" si="11"/>
        <v>2027</v>
      </c>
      <c r="M58" s="76">
        <f t="shared" si="7"/>
        <v>46447</v>
      </c>
      <c r="N58" s="77">
        <v>62.595500000000001</v>
      </c>
      <c r="O58" s="77">
        <v>49.7699</v>
      </c>
      <c r="P58" s="77">
        <v>56.121099999999998</v>
      </c>
      <c r="Q58" s="78">
        <v>55.142600000000002</v>
      </c>
      <c r="S58" s="98">
        <v>52.018769044414533</v>
      </c>
      <c r="T58" s="100">
        <f t="shared" si="13"/>
        <v>0.95676812262715383</v>
      </c>
      <c r="U58" s="100">
        <f t="shared" si="14"/>
        <v>1.0600519968651754</v>
      </c>
      <c r="AD58" s="154" t="str">
        <f t="shared" si="0"/>
        <v>Summer</v>
      </c>
      <c r="AE58">
        <f t="shared" si="1"/>
        <v>9</v>
      </c>
      <c r="AF58" s="152">
        <v>44440</v>
      </c>
      <c r="AG58" s="153">
        <v>400</v>
      </c>
      <c r="AH58" s="153">
        <v>320</v>
      </c>
      <c r="AI58">
        <f t="shared" si="2"/>
        <v>25</v>
      </c>
      <c r="AJ58">
        <f t="shared" si="3"/>
        <v>5</v>
      </c>
    </row>
    <row r="59" spans="2:36" x14ac:dyDescent="0.2">
      <c r="B59" s="80">
        <f t="shared" si="8"/>
        <v>46478</v>
      </c>
      <c r="C59" s="73">
        <v>4.1271576710939879</v>
      </c>
      <c r="D59" s="73">
        <v>4.1926884020923669</v>
      </c>
      <c r="E59" s="81">
        <f t="shared" si="4"/>
        <v>2027</v>
      </c>
      <c r="K59">
        <f t="shared" si="10"/>
        <v>4</v>
      </c>
      <c r="L59" s="101">
        <f t="shared" si="11"/>
        <v>2027</v>
      </c>
      <c r="M59" s="76">
        <f t="shared" si="7"/>
        <v>46478</v>
      </c>
      <c r="N59" s="77">
        <v>53.844700000000003</v>
      </c>
      <c r="O59" s="77">
        <v>37.247900000000001</v>
      </c>
      <c r="P59" s="77">
        <v>46.857399999999998</v>
      </c>
      <c r="Q59" s="78">
        <v>40.6327</v>
      </c>
      <c r="S59" s="98">
        <v>38.677037777777777</v>
      </c>
      <c r="T59" s="100">
        <f t="shared" si="13"/>
        <v>0.96304945104666473</v>
      </c>
      <c r="U59" s="100">
        <f t="shared" si="14"/>
        <v>1.0505639090940377</v>
      </c>
      <c r="AD59" s="154" t="str">
        <f t="shared" si="0"/>
        <v>Winter</v>
      </c>
      <c r="AE59">
        <f t="shared" si="1"/>
        <v>10</v>
      </c>
      <c r="AF59" s="152">
        <v>44470</v>
      </c>
      <c r="AG59" s="153">
        <v>416</v>
      </c>
      <c r="AH59" s="153">
        <v>328</v>
      </c>
      <c r="AI59">
        <f t="shared" si="2"/>
        <v>26</v>
      </c>
      <c r="AJ59">
        <f t="shared" si="3"/>
        <v>5</v>
      </c>
    </row>
    <row r="60" spans="2:36" x14ac:dyDescent="0.2">
      <c r="B60" s="80">
        <f t="shared" si="8"/>
        <v>46508</v>
      </c>
      <c r="C60" s="73">
        <v>4.5968930457264525</v>
      </c>
      <c r="D60" s="73">
        <v>4.6753407116966983</v>
      </c>
      <c r="E60" s="81">
        <f t="shared" si="4"/>
        <v>2027</v>
      </c>
      <c r="K60">
        <f t="shared" si="10"/>
        <v>5</v>
      </c>
      <c r="L60" s="101">
        <f t="shared" si="11"/>
        <v>2027</v>
      </c>
      <c r="M60" s="76">
        <f t="shared" si="7"/>
        <v>46508</v>
      </c>
      <c r="N60" s="77">
        <v>21.1083</v>
      </c>
      <c r="O60" s="77">
        <v>30.637799999999999</v>
      </c>
      <c r="P60" s="77">
        <v>27.882400000000001</v>
      </c>
      <c r="Q60" s="78">
        <v>40.570700000000002</v>
      </c>
      <c r="S60" s="98">
        <v>35.230431182795705</v>
      </c>
      <c r="T60" s="100">
        <f t="shared" si="13"/>
        <v>0.86964022214299619</v>
      </c>
      <c r="U60" s="100">
        <f t="shared" si="14"/>
        <v>1.1515811370430273</v>
      </c>
      <c r="AD60" s="154" t="str">
        <f t="shared" si="0"/>
        <v>Winter</v>
      </c>
      <c r="AE60">
        <f t="shared" si="1"/>
        <v>11</v>
      </c>
      <c r="AF60" s="152">
        <v>44501</v>
      </c>
      <c r="AG60" s="153">
        <v>400</v>
      </c>
      <c r="AH60" s="153">
        <v>320</v>
      </c>
      <c r="AI60">
        <f t="shared" si="2"/>
        <v>25</v>
      </c>
      <c r="AJ60">
        <f t="shared" si="3"/>
        <v>5</v>
      </c>
    </row>
    <row r="61" spans="2:36" x14ac:dyDescent="0.2">
      <c r="B61" s="80">
        <f t="shared" si="8"/>
        <v>46539</v>
      </c>
      <c r="C61" s="73">
        <v>4.5541068751901044</v>
      </c>
      <c r="D61" s="73">
        <v>4.630757122106596</v>
      </c>
      <c r="E61" s="81">
        <f t="shared" si="4"/>
        <v>2027</v>
      </c>
      <c r="K61">
        <f t="shared" si="10"/>
        <v>6</v>
      </c>
      <c r="L61" s="101">
        <f t="shared" si="11"/>
        <v>2027</v>
      </c>
      <c r="M61" s="76">
        <f t="shared" si="7"/>
        <v>46539</v>
      </c>
      <c r="N61" s="77">
        <v>32.419800000000002</v>
      </c>
      <c r="O61" s="77">
        <v>45.902200000000001</v>
      </c>
      <c r="P61" s="77">
        <v>34.671399999999998</v>
      </c>
      <c r="Q61" s="78">
        <v>46.991599999999998</v>
      </c>
      <c r="S61" s="98">
        <v>46.362168888888888</v>
      </c>
      <c r="T61" s="100">
        <f t="shared" si="13"/>
        <v>0.99007878837611663</v>
      </c>
      <c r="U61" s="100">
        <f t="shared" si="14"/>
        <v>1.0135763948537351</v>
      </c>
      <c r="AD61" s="154" t="str">
        <f t="shared" si="0"/>
        <v>Winter</v>
      </c>
      <c r="AE61">
        <f t="shared" si="1"/>
        <v>12</v>
      </c>
      <c r="AF61" s="152">
        <v>44531</v>
      </c>
      <c r="AG61" s="153">
        <v>416</v>
      </c>
      <c r="AH61" s="153">
        <v>328</v>
      </c>
      <c r="AI61">
        <f t="shared" si="2"/>
        <v>26</v>
      </c>
      <c r="AJ61">
        <f t="shared" si="3"/>
        <v>5</v>
      </c>
    </row>
    <row r="62" spans="2:36" x14ac:dyDescent="0.2">
      <c r="B62" s="80">
        <f t="shared" si="8"/>
        <v>46569</v>
      </c>
      <c r="C62" s="73">
        <v>4.552890206833621</v>
      </c>
      <c r="D62" s="73">
        <v>4.6626025432423823</v>
      </c>
      <c r="E62" s="81">
        <f t="shared" si="4"/>
        <v>2027</v>
      </c>
      <c r="K62">
        <f t="shared" si="10"/>
        <v>7</v>
      </c>
      <c r="L62" s="101">
        <f t="shared" si="11"/>
        <v>2027</v>
      </c>
      <c r="M62" s="76">
        <f t="shared" si="7"/>
        <v>46569</v>
      </c>
      <c r="N62" s="77">
        <v>65.417599999999993</v>
      </c>
      <c r="O62" s="77">
        <v>71.090400000000002</v>
      </c>
      <c r="P62" s="77">
        <v>54.610500000000002</v>
      </c>
      <c r="Q62" s="78">
        <v>69.372</v>
      </c>
      <c r="S62" s="98">
        <v>70.332825806451623</v>
      </c>
      <c r="T62" s="100">
        <f t="shared" si="13"/>
        <v>1.0107712747904249</v>
      </c>
      <c r="U62" s="100">
        <f t="shared" si="14"/>
        <v>0.98633887099750961</v>
      </c>
      <c r="AD62" s="154" t="str">
        <f t="shared" si="0"/>
        <v>Winter</v>
      </c>
      <c r="AE62">
        <f t="shared" si="1"/>
        <v>1</v>
      </c>
      <c r="AF62" s="152">
        <v>44562</v>
      </c>
      <c r="AG62" s="153">
        <v>400</v>
      </c>
      <c r="AH62" s="153">
        <v>344</v>
      </c>
      <c r="AI62">
        <f t="shared" si="2"/>
        <v>25</v>
      </c>
      <c r="AJ62">
        <f t="shared" si="3"/>
        <v>6</v>
      </c>
    </row>
    <row r="63" spans="2:36" x14ac:dyDescent="0.2">
      <c r="B63" s="80">
        <f t="shared" si="8"/>
        <v>46600</v>
      </c>
      <c r="C63" s="73">
        <v>5.069872869309541</v>
      </c>
      <c r="D63" s="73">
        <v>4.9617423772284575</v>
      </c>
      <c r="E63" s="81">
        <f t="shared" si="4"/>
        <v>2027</v>
      </c>
      <c r="K63">
        <f t="shared" si="10"/>
        <v>8</v>
      </c>
      <c r="L63" s="101">
        <f t="shared" si="11"/>
        <v>2027</v>
      </c>
      <c r="M63" s="76">
        <f t="shared" si="7"/>
        <v>46600</v>
      </c>
      <c r="N63" s="77">
        <v>82.7273</v>
      </c>
      <c r="O63" s="77">
        <v>83.538799999999995</v>
      </c>
      <c r="P63" s="77">
        <v>62.5212</v>
      </c>
      <c r="Q63" s="78">
        <v>76.490799999999993</v>
      </c>
      <c r="S63" s="98">
        <v>80.431617204301062</v>
      </c>
      <c r="T63" s="100">
        <f t="shared" si="13"/>
        <v>1.038631360448796</v>
      </c>
      <c r="U63" s="100">
        <f t="shared" si="14"/>
        <v>0.95100412821128333</v>
      </c>
      <c r="AD63" s="154" t="str">
        <f t="shared" si="0"/>
        <v>Winter</v>
      </c>
      <c r="AE63">
        <f t="shared" si="1"/>
        <v>2</v>
      </c>
      <c r="AF63" s="152">
        <v>44593</v>
      </c>
      <c r="AG63" s="153">
        <v>384</v>
      </c>
      <c r="AH63" s="153">
        <v>288</v>
      </c>
      <c r="AI63">
        <f t="shared" si="2"/>
        <v>24</v>
      </c>
      <c r="AJ63">
        <f t="shared" si="3"/>
        <v>4</v>
      </c>
    </row>
    <row r="64" spans="2:36" x14ac:dyDescent="0.2">
      <c r="B64" s="80">
        <f t="shared" si="8"/>
        <v>46631</v>
      </c>
      <c r="C64" s="73">
        <v>5.1410479681638446</v>
      </c>
      <c r="D64" s="73">
        <v>5.2672512954416906</v>
      </c>
      <c r="E64" s="81">
        <f t="shared" si="4"/>
        <v>2027</v>
      </c>
      <c r="K64">
        <f t="shared" si="10"/>
        <v>9</v>
      </c>
      <c r="L64" s="101">
        <f t="shared" si="11"/>
        <v>2027</v>
      </c>
      <c r="M64" s="76">
        <f t="shared" si="7"/>
        <v>46631</v>
      </c>
      <c r="N64" s="77">
        <v>75.079400000000007</v>
      </c>
      <c r="O64" s="77">
        <v>77.754800000000003</v>
      </c>
      <c r="P64" s="77">
        <v>56.1143</v>
      </c>
      <c r="Q64" s="78">
        <v>65.990200000000002</v>
      </c>
      <c r="S64" s="98">
        <v>72.526088888888893</v>
      </c>
      <c r="T64" s="100">
        <f t="shared" si="13"/>
        <v>1.0720942103898858</v>
      </c>
      <c r="U64" s="100">
        <f t="shared" si="14"/>
        <v>0.90988223701264281</v>
      </c>
      <c r="AD64" s="154" t="str">
        <f t="shared" si="0"/>
        <v>Winter</v>
      </c>
      <c r="AE64">
        <f t="shared" si="1"/>
        <v>3</v>
      </c>
      <c r="AF64" s="152">
        <v>44621</v>
      </c>
      <c r="AG64" s="153">
        <v>432</v>
      </c>
      <c r="AH64" s="153">
        <v>312</v>
      </c>
      <c r="AI64">
        <f t="shared" si="2"/>
        <v>27</v>
      </c>
      <c r="AJ64">
        <f t="shared" si="3"/>
        <v>4</v>
      </c>
    </row>
    <row r="65" spans="2:36" x14ac:dyDescent="0.2">
      <c r="B65" s="80">
        <f t="shared" si="8"/>
        <v>46661</v>
      </c>
      <c r="C65" s="73">
        <v>5.3219259971611068</v>
      </c>
      <c r="D65" s="73">
        <v>5.311834885031792</v>
      </c>
      <c r="E65" s="81">
        <f t="shared" si="4"/>
        <v>2027</v>
      </c>
      <c r="K65">
        <f t="shared" si="10"/>
        <v>10</v>
      </c>
      <c r="L65" s="101">
        <f t="shared" si="11"/>
        <v>2027</v>
      </c>
      <c r="M65" s="76">
        <f t="shared" si="7"/>
        <v>46661</v>
      </c>
      <c r="N65" s="77">
        <v>60.732300000000002</v>
      </c>
      <c r="O65" s="77">
        <v>59.800400000000003</v>
      </c>
      <c r="P65" s="77">
        <v>57.363300000000002</v>
      </c>
      <c r="Q65" s="78">
        <v>63.0184</v>
      </c>
      <c r="S65" s="98">
        <v>61.219088172043008</v>
      </c>
      <c r="T65" s="100">
        <f t="shared" si="13"/>
        <v>0.97682604863280409</v>
      </c>
      <c r="U65" s="100">
        <f t="shared" si="14"/>
        <v>1.029391352953517</v>
      </c>
      <c r="AD65" s="154" t="str">
        <f t="shared" si="0"/>
        <v>Winter</v>
      </c>
      <c r="AE65">
        <f t="shared" si="1"/>
        <v>4</v>
      </c>
      <c r="AF65" s="152">
        <v>44652</v>
      </c>
      <c r="AG65" s="153">
        <v>416</v>
      </c>
      <c r="AH65" s="153">
        <v>304</v>
      </c>
      <c r="AI65">
        <f t="shared" si="2"/>
        <v>26</v>
      </c>
      <c r="AJ65">
        <f t="shared" si="3"/>
        <v>4</v>
      </c>
    </row>
    <row r="66" spans="2:36" x14ac:dyDescent="0.2">
      <c r="B66" s="80">
        <f t="shared" si="8"/>
        <v>46692</v>
      </c>
      <c r="C66" s="73">
        <v>5.763272443475616</v>
      </c>
      <c r="D66" s="73">
        <v>5.4900138998744588</v>
      </c>
      <c r="E66" s="81">
        <f t="shared" si="4"/>
        <v>2027</v>
      </c>
      <c r="K66">
        <f t="shared" si="10"/>
        <v>11</v>
      </c>
      <c r="L66" s="101">
        <f t="shared" si="11"/>
        <v>2027</v>
      </c>
      <c r="M66" s="76">
        <f t="shared" si="7"/>
        <v>46692</v>
      </c>
      <c r="N66" s="77">
        <v>64.637699999999995</v>
      </c>
      <c r="O66" s="77">
        <v>62.129300000000001</v>
      </c>
      <c r="P66" s="77">
        <v>58.517600000000002</v>
      </c>
      <c r="Q66" s="78">
        <v>59.768300000000004</v>
      </c>
      <c r="S66" s="98">
        <v>61.078147434119288</v>
      </c>
      <c r="T66" s="100">
        <f t="shared" si="13"/>
        <v>1.017209961500789</v>
      </c>
      <c r="U66" s="100">
        <f t="shared" si="14"/>
        <v>0.97855456510805072</v>
      </c>
      <c r="AD66" s="154" t="str">
        <f t="shared" ref="AD66:AD129" si="17">IF(AND(AE66&gt;=6,AE66&lt;=9),"Summer","Winter")</f>
        <v>Winter</v>
      </c>
      <c r="AE66">
        <f t="shared" ref="AE66:AE129" si="18">MONTH(AF66)</f>
        <v>5</v>
      </c>
      <c r="AF66" s="152">
        <v>44682</v>
      </c>
      <c r="AG66" s="153">
        <v>400</v>
      </c>
      <c r="AH66" s="153">
        <v>344</v>
      </c>
      <c r="AI66">
        <f t="shared" ref="AI66:AI129" si="19">AG66/16</f>
        <v>25</v>
      </c>
      <c r="AJ66">
        <f t="shared" ref="AJ66:AJ129" si="20">EDATE(AF66,1)-AF66-AI66</f>
        <v>6</v>
      </c>
    </row>
    <row r="67" spans="2:36" x14ac:dyDescent="0.2">
      <c r="B67" s="82">
        <f t="shared" si="8"/>
        <v>46722</v>
      </c>
      <c r="C67" s="83">
        <v>5.7970349903680427</v>
      </c>
      <c r="D67" s="83">
        <v>5.7764673465787979</v>
      </c>
      <c r="E67" s="84">
        <f t="shared" si="4"/>
        <v>2027</v>
      </c>
      <c r="K67">
        <f t="shared" si="10"/>
        <v>12</v>
      </c>
      <c r="L67" s="101">
        <f t="shared" si="11"/>
        <v>2027</v>
      </c>
      <c r="M67" s="85">
        <f t="shared" si="7"/>
        <v>46722</v>
      </c>
      <c r="N67" s="86">
        <v>66.6751</v>
      </c>
      <c r="O67" s="86">
        <v>64.173599999999993</v>
      </c>
      <c r="P67" s="86">
        <v>59.739400000000003</v>
      </c>
      <c r="Q67" s="87">
        <v>61.201000000000001</v>
      </c>
      <c r="S67" s="98">
        <v>62.863098924731176</v>
      </c>
      <c r="T67" s="100">
        <f t="shared" si="13"/>
        <v>1.0208469053814535</v>
      </c>
      <c r="U67" s="100">
        <f t="shared" si="14"/>
        <v>0.97356002244303474</v>
      </c>
      <c r="AD67" s="154" t="str">
        <f t="shared" si="17"/>
        <v>Summer</v>
      </c>
      <c r="AE67">
        <f t="shared" si="18"/>
        <v>6</v>
      </c>
      <c r="AF67" s="152">
        <v>44713</v>
      </c>
      <c r="AG67" s="153">
        <v>416</v>
      </c>
      <c r="AH67" s="153">
        <v>304</v>
      </c>
      <c r="AI67">
        <f t="shared" si="19"/>
        <v>26</v>
      </c>
      <c r="AJ67">
        <f t="shared" si="20"/>
        <v>4</v>
      </c>
    </row>
    <row r="68" spans="2:36" x14ac:dyDescent="0.2">
      <c r="B68" s="206">
        <f t="shared" si="8"/>
        <v>46753</v>
      </c>
      <c r="C68" s="73">
        <v>6.3407843566866067</v>
      </c>
      <c r="D68" s="73">
        <v>6.3781645719411326</v>
      </c>
      <c r="E68" s="205">
        <f t="shared" si="4"/>
        <v>2028</v>
      </c>
      <c r="K68">
        <f t="shared" si="10"/>
        <v>1</v>
      </c>
      <c r="L68" s="101">
        <f t="shared" si="11"/>
        <v>2028</v>
      </c>
      <c r="M68" s="76">
        <f t="shared" si="7"/>
        <v>46753</v>
      </c>
      <c r="N68" s="204">
        <v>61.243299999999998</v>
      </c>
      <c r="O68" s="204">
        <v>56.836100000000002</v>
      </c>
      <c r="P68" s="204">
        <v>52.453400000000002</v>
      </c>
      <c r="Q68" s="203">
        <v>57.013399999999997</v>
      </c>
      <c r="S68" s="98">
        <v>56.918077419354844</v>
      </c>
      <c r="T68" s="100">
        <f t="shared" si="13"/>
        <v>0.99855972964879225</v>
      </c>
      <c r="U68" s="100">
        <f t="shared" si="14"/>
        <v>1.0016747329665203</v>
      </c>
      <c r="AD68" s="154" t="str">
        <f t="shared" si="17"/>
        <v>Summer</v>
      </c>
      <c r="AE68">
        <f t="shared" si="18"/>
        <v>7</v>
      </c>
      <c r="AF68" s="152">
        <v>44743</v>
      </c>
      <c r="AG68" s="153">
        <v>400</v>
      </c>
      <c r="AH68" s="153">
        <v>344</v>
      </c>
      <c r="AI68">
        <f t="shared" si="19"/>
        <v>25</v>
      </c>
      <c r="AJ68">
        <f t="shared" si="20"/>
        <v>6</v>
      </c>
    </row>
    <row r="69" spans="2:36" x14ac:dyDescent="0.2">
      <c r="B69" s="80">
        <f t="shared" si="8"/>
        <v>46784</v>
      </c>
      <c r="C69" s="73">
        <v>6.1789674652742574</v>
      </c>
      <c r="D69" s="73">
        <v>6.3066547726102051</v>
      </c>
      <c r="E69" s="81">
        <f t="shared" si="4"/>
        <v>2028</v>
      </c>
      <c r="K69">
        <f t="shared" si="10"/>
        <v>2</v>
      </c>
      <c r="L69" s="101">
        <f t="shared" si="11"/>
        <v>2028</v>
      </c>
      <c r="M69" s="76">
        <f t="shared" si="7"/>
        <v>46784</v>
      </c>
      <c r="N69" s="77">
        <v>71.618799999999993</v>
      </c>
      <c r="O69" s="77">
        <v>65.541700000000006</v>
      </c>
      <c r="P69" s="77">
        <v>60.766399999999997</v>
      </c>
      <c r="Q69" s="78">
        <v>63.8673</v>
      </c>
      <c r="S69" s="98">
        <v>64.829598850574712</v>
      </c>
      <c r="T69" s="100">
        <f t="shared" si="13"/>
        <v>1.0109841979905909</v>
      </c>
      <c r="U69" s="100">
        <f t="shared" si="14"/>
        <v>0.98515648920190435</v>
      </c>
      <c r="AD69" s="154" t="str">
        <f t="shared" si="17"/>
        <v>Summer</v>
      </c>
      <c r="AE69">
        <f t="shared" si="18"/>
        <v>8</v>
      </c>
      <c r="AF69" s="152">
        <v>44774</v>
      </c>
      <c r="AG69" s="153">
        <v>432</v>
      </c>
      <c r="AH69" s="153">
        <v>312</v>
      </c>
      <c r="AI69">
        <f t="shared" si="19"/>
        <v>27</v>
      </c>
      <c r="AJ69">
        <f t="shared" si="20"/>
        <v>4</v>
      </c>
    </row>
    <row r="70" spans="2:36" x14ac:dyDescent="0.2">
      <c r="B70" s="80">
        <f t="shared" si="8"/>
        <v>46813</v>
      </c>
      <c r="C70" s="73">
        <v>4.9027837483524284</v>
      </c>
      <c r="D70" s="73">
        <v>5.7016435522028459</v>
      </c>
      <c r="E70" s="81">
        <f t="shared" si="4"/>
        <v>2028</v>
      </c>
      <c r="K70">
        <f t="shared" si="10"/>
        <v>3</v>
      </c>
      <c r="L70" s="101">
        <f t="shared" si="11"/>
        <v>2028</v>
      </c>
      <c r="M70" s="76">
        <f t="shared" si="7"/>
        <v>46813</v>
      </c>
      <c r="N70" s="77">
        <v>42.193800000000003</v>
      </c>
      <c r="O70" s="77">
        <v>38.556800000000003</v>
      </c>
      <c r="P70" s="77">
        <v>48.253</v>
      </c>
      <c r="Q70" s="78">
        <v>48.9572</v>
      </c>
      <c r="S70" s="98">
        <v>42.910130282637951</v>
      </c>
      <c r="T70" s="100">
        <f t="shared" si="13"/>
        <v>0.89854772628366109</v>
      </c>
      <c r="U70" s="100">
        <f t="shared" si="14"/>
        <v>1.140924058667069</v>
      </c>
      <c r="AD70" s="154" t="str">
        <f t="shared" si="17"/>
        <v>Summer</v>
      </c>
      <c r="AE70">
        <f t="shared" si="18"/>
        <v>9</v>
      </c>
      <c r="AF70" s="152">
        <v>44805</v>
      </c>
      <c r="AG70" s="153">
        <v>400</v>
      </c>
      <c r="AH70" s="153">
        <v>320</v>
      </c>
      <c r="AI70">
        <f t="shared" si="19"/>
        <v>25</v>
      </c>
      <c r="AJ70">
        <f t="shared" si="20"/>
        <v>5</v>
      </c>
    </row>
    <row r="71" spans="2:36" x14ac:dyDescent="0.2">
      <c r="B71" s="80">
        <f t="shared" si="8"/>
        <v>46844</v>
      </c>
      <c r="C71" s="73">
        <v>4.6324805951536048</v>
      </c>
      <c r="D71" s="73">
        <v>4.8690540783129181</v>
      </c>
      <c r="E71" s="81">
        <f t="shared" si="4"/>
        <v>2028</v>
      </c>
      <c r="K71">
        <f t="shared" si="10"/>
        <v>4</v>
      </c>
      <c r="L71" s="101">
        <f t="shared" si="11"/>
        <v>2028</v>
      </c>
      <c r="M71" s="76">
        <f t="shared" si="7"/>
        <v>46844</v>
      </c>
      <c r="N71" s="77">
        <v>36.991900000000001</v>
      </c>
      <c r="O71" s="77">
        <v>36.433</v>
      </c>
      <c r="P71" s="77">
        <v>39.238700000000001</v>
      </c>
      <c r="Q71" s="78">
        <v>40.7166</v>
      </c>
      <c r="S71" s="98">
        <v>38.336822222222217</v>
      </c>
      <c r="T71" s="100">
        <f t="shared" si="13"/>
        <v>0.95033959228058673</v>
      </c>
      <c r="U71" s="100">
        <f t="shared" si="14"/>
        <v>1.0620755096492669</v>
      </c>
      <c r="AD71" s="154" t="str">
        <f t="shared" si="17"/>
        <v>Winter</v>
      </c>
      <c r="AE71">
        <f t="shared" si="18"/>
        <v>10</v>
      </c>
      <c r="AF71" s="152">
        <v>44835</v>
      </c>
      <c r="AG71" s="153">
        <v>416</v>
      </c>
      <c r="AH71" s="153">
        <v>328</v>
      </c>
      <c r="AI71">
        <f t="shared" si="19"/>
        <v>26</v>
      </c>
      <c r="AJ71">
        <f t="shared" si="20"/>
        <v>5</v>
      </c>
    </row>
    <row r="72" spans="2:36" x14ac:dyDescent="0.2">
      <c r="B72" s="80">
        <f t="shared" si="8"/>
        <v>46874</v>
      </c>
      <c r="C72" s="73">
        <v>4.6075388938456854</v>
      </c>
      <c r="D72" s="73">
        <v>4.6934123409265984</v>
      </c>
      <c r="E72" s="81">
        <f t="shared" ref="E72:E135" si="21">YEAR(B72)</f>
        <v>2028</v>
      </c>
      <c r="K72">
        <f t="shared" si="10"/>
        <v>5</v>
      </c>
      <c r="L72" s="101">
        <f t="shared" si="11"/>
        <v>2028</v>
      </c>
      <c r="M72" s="76">
        <f t="shared" ref="M72:M135" si="22">B72</f>
        <v>46874</v>
      </c>
      <c r="N72" s="77">
        <v>20.9361</v>
      </c>
      <c r="O72" s="77">
        <v>27.618200000000002</v>
      </c>
      <c r="P72" s="77">
        <v>26.3048</v>
      </c>
      <c r="Q72" s="78">
        <v>38.034999999999997</v>
      </c>
      <c r="S72" s="98">
        <v>32.210552688172044</v>
      </c>
      <c r="T72" s="100">
        <f t="shared" si="13"/>
        <v>0.85742707575898292</v>
      </c>
      <c r="U72" s="100">
        <f t="shared" si="14"/>
        <v>1.180824196598363</v>
      </c>
      <c r="AD72" s="154" t="str">
        <f t="shared" si="17"/>
        <v>Winter</v>
      </c>
      <c r="AE72">
        <f t="shared" si="18"/>
        <v>11</v>
      </c>
      <c r="AF72" s="152">
        <v>44866</v>
      </c>
      <c r="AG72" s="153">
        <v>400</v>
      </c>
      <c r="AH72" s="153">
        <v>320</v>
      </c>
      <c r="AI72">
        <f t="shared" si="19"/>
        <v>25</v>
      </c>
      <c r="AJ72">
        <f t="shared" si="20"/>
        <v>5</v>
      </c>
    </row>
    <row r="73" spans="2:36" x14ac:dyDescent="0.2">
      <c r="B73" s="80">
        <f t="shared" ref="B73:B136" si="23">EDATE(B72,1)</f>
        <v>46905</v>
      </c>
      <c r="C73" s="73">
        <v>4.5302804532089622</v>
      </c>
      <c r="D73" s="73">
        <v>4.6413722624851914</v>
      </c>
      <c r="E73" s="81">
        <f t="shared" si="21"/>
        <v>2028</v>
      </c>
      <c r="K73">
        <f t="shared" ref="K73:K136" si="24">MONTH(M73)</f>
        <v>6</v>
      </c>
      <c r="L73" s="101">
        <f t="shared" ref="L73:L136" si="25">YEAR(M73)</f>
        <v>2028</v>
      </c>
      <c r="M73" s="76">
        <f t="shared" si="22"/>
        <v>46905</v>
      </c>
      <c r="N73" s="77">
        <v>32.332500000000003</v>
      </c>
      <c r="O73" s="77">
        <v>45.608600000000003</v>
      </c>
      <c r="P73" s="77">
        <v>34.1432</v>
      </c>
      <c r="Q73" s="78">
        <v>46.219900000000003</v>
      </c>
      <c r="S73" s="98">
        <v>45.866704444444451</v>
      </c>
      <c r="T73" s="100">
        <f t="shared" ref="T73:T136" si="26">O73/S73</f>
        <v>0.99437272750308292</v>
      </c>
      <c r="U73" s="100">
        <f t="shared" ref="U73:U136" si="27">Q73/S73</f>
        <v>1.0077004781536758</v>
      </c>
      <c r="AD73" s="154" t="str">
        <f t="shared" si="17"/>
        <v>Winter</v>
      </c>
      <c r="AE73">
        <f t="shared" si="18"/>
        <v>12</v>
      </c>
      <c r="AF73" s="152">
        <v>44896</v>
      </c>
      <c r="AG73" s="153">
        <v>416</v>
      </c>
      <c r="AH73" s="153">
        <v>328</v>
      </c>
      <c r="AI73">
        <f t="shared" si="19"/>
        <v>26</v>
      </c>
      <c r="AJ73">
        <f t="shared" si="20"/>
        <v>5</v>
      </c>
    </row>
    <row r="74" spans="2:36" x14ac:dyDescent="0.2">
      <c r="B74" s="80">
        <f t="shared" si="23"/>
        <v>46935</v>
      </c>
      <c r="C74" s="73">
        <v>4.567794394200547</v>
      </c>
      <c r="D74" s="73">
        <v>4.6933605597540202</v>
      </c>
      <c r="E74" s="81">
        <f t="shared" si="21"/>
        <v>2028</v>
      </c>
      <c r="K74">
        <f t="shared" si="24"/>
        <v>7</v>
      </c>
      <c r="L74" s="101">
        <f t="shared" si="25"/>
        <v>2028</v>
      </c>
      <c r="M74" s="76">
        <f t="shared" si="22"/>
        <v>46935</v>
      </c>
      <c r="N74" s="77">
        <v>66.831199999999995</v>
      </c>
      <c r="O74" s="77">
        <v>70.286500000000004</v>
      </c>
      <c r="P74" s="77">
        <v>55.896000000000001</v>
      </c>
      <c r="Q74" s="78">
        <v>69.556200000000004</v>
      </c>
      <c r="S74" s="98">
        <v>69.948834408602167</v>
      </c>
      <c r="T74" s="100">
        <f t="shared" si="26"/>
        <v>1.0048273226316451</v>
      </c>
      <c r="U74" s="100">
        <f t="shared" si="27"/>
        <v>0.99438683414924955</v>
      </c>
      <c r="AD74" s="154" t="str">
        <f t="shared" si="17"/>
        <v>Winter</v>
      </c>
      <c r="AE74">
        <f t="shared" si="18"/>
        <v>1</v>
      </c>
      <c r="AF74" s="152">
        <v>44927</v>
      </c>
      <c r="AG74" s="153">
        <v>400</v>
      </c>
      <c r="AH74" s="153">
        <v>344</v>
      </c>
      <c r="AI74">
        <f t="shared" si="19"/>
        <v>25</v>
      </c>
      <c r="AJ74">
        <f t="shared" si="20"/>
        <v>6</v>
      </c>
    </row>
    <row r="75" spans="2:36" x14ac:dyDescent="0.2">
      <c r="B75" s="80">
        <f t="shared" si="23"/>
        <v>46966</v>
      </c>
      <c r="C75" s="73">
        <v>5.2928273456352022</v>
      </c>
      <c r="D75" s="73">
        <v>5.1032085407129584</v>
      </c>
      <c r="E75" s="81">
        <f t="shared" si="21"/>
        <v>2028</v>
      </c>
      <c r="K75">
        <f t="shared" si="24"/>
        <v>8</v>
      </c>
      <c r="L75" s="101">
        <f t="shared" si="25"/>
        <v>2028</v>
      </c>
      <c r="M75" s="76">
        <f t="shared" si="22"/>
        <v>46966</v>
      </c>
      <c r="N75" s="77">
        <v>82.042900000000003</v>
      </c>
      <c r="O75" s="77">
        <v>81.541200000000003</v>
      </c>
      <c r="P75" s="77">
        <v>63.824599999999997</v>
      </c>
      <c r="Q75" s="78">
        <v>75.958500000000001</v>
      </c>
      <c r="S75" s="98">
        <v>79.200067741935484</v>
      </c>
      <c r="T75" s="100">
        <f t="shared" si="26"/>
        <v>1.0295597254498927</v>
      </c>
      <c r="U75" s="100">
        <f t="shared" si="27"/>
        <v>0.95907114937707161</v>
      </c>
      <c r="AD75" s="154" t="str">
        <f t="shared" si="17"/>
        <v>Winter</v>
      </c>
      <c r="AE75">
        <f t="shared" si="18"/>
        <v>2</v>
      </c>
      <c r="AF75" s="152">
        <v>44958</v>
      </c>
      <c r="AG75" s="153">
        <v>384</v>
      </c>
      <c r="AH75" s="153">
        <v>288</v>
      </c>
      <c r="AI75">
        <f t="shared" si="19"/>
        <v>24</v>
      </c>
      <c r="AJ75">
        <f t="shared" si="20"/>
        <v>4</v>
      </c>
    </row>
    <row r="76" spans="2:36" x14ac:dyDescent="0.2">
      <c r="B76" s="80">
        <f t="shared" si="23"/>
        <v>46997</v>
      </c>
      <c r="C76" s="73">
        <v>5.3870177542329927</v>
      </c>
      <c r="D76" s="73">
        <v>5.4284978668511839</v>
      </c>
      <c r="E76" s="81">
        <f t="shared" si="21"/>
        <v>2028</v>
      </c>
      <c r="K76">
        <f t="shared" si="24"/>
        <v>9</v>
      </c>
      <c r="L76" s="101">
        <f t="shared" si="25"/>
        <v>2028</v>
      </c>
      <c r="M76" s="76">
        <f t="shared" si="22"/>
        <v>46997</v>
      </c>
      <c r="N76" s="77">
        <v>76.183000000000007</v>
      </c>
      <c r="O76" s="77">
        <v>74.705299999999994</v>
      </c>
      <c r="P76" s="77">
        <v>59.1646</v>
      </c>
      <c r="Q76" s="78">
        <v>67.3292</v>
      </c>
      <c r="S76" s="98">
        <v>71.427033333333327</v>
      </c>
      <c r="T76" s="100">
        <f t="shared" si="26"/>
        <v>1.0458967216427393</v>
      </c>
      <c r="U76" s="100">
        <f t="shared" si="27"/>
        <v>0.9426290979465759</v>
      </c>
      <c r="AD76" s="154" t="str">
        <f t="shared" si="17"/>
        <v>Winter</v>
      </c>
      <c r="AE76">
        <f t="shared" si="18"/>
        <v>3</v>
      </c>
      <c r="AF76" s="152">
        <v>44986</v>
      </c>
      <c r="AG76" s="153">
        <v>432</v>
      </c>
      <c r="AH76" s="153">
        <v>312</v>
      </c>
      <c r="AI76">
        <f t="shared" si="19"/>
        <v>27</v>
      </c>
      <c r="AJ76">
        <f t="shared" si="20"/>
        <v>4</v>
      </c>
    </row>
    <row r="77" spans="2:36" x14ac:dyDescent="0.2">
      <c r="B77" s="80">
        <f t="shared" si="23"/>
        <v>47027</v>
      </c>
      <c r="C77" s="73">
        <v>5.5423457477440943</v>
      </c>
      <c r="D77" s="73">
        <v>5.5260535959891044</v>
      </c>
      <c r="E77" s="81">
        <f t="shared" si="21"/>
        <v>2028</v>
      </c>
      <c r="K77">
        <f t="shared" si="24"/>
        <v>10</v>
      </c>
      <c r="L77" s="101">
        <f t="shared" si="25"/>
        <v>2028</v>
      </c>
      <c r="M77" s="76">
        <f t="shared" si="22"/>
        <v>47027</v>
      </c>
      <c r="N77" s="77">
        <v>62.939500000000002</v>
      </c>
      <c r="O77" s="77">
        <v>63.9803</v>
      </c>
      <c r="P77" s="77">
        <v>57.966099999999997</v>
      </c>
      <c r="Q77" s="78">
        <v>62.207299999999996</v>
      </c>
      <c r="S77" s="98">
        <v>63.198654838709672</v>
      </c>
      <c r="T77" s="100">
        <f t="shared" si="26"/>
        <v>1.0123680664293437</v>
      </c>
      <c r="U77" s="100">
        <f t="shared" si="27"/>
        <v>0.9843136718457105</v>
      </c>
      <c r="AD77" s="154" t="str">
        <f t="shared" si="17"/>
        <v>Winter</v>
      </c>
      <c r="AE77">
        <f t="shared" si="18"/>
        <v>4</v>
      </c>
      <c r="AF77" s="152">
        <v>45017</v>
      </c>
      <c r="AG77" s="153">
        <v>400</v>
      </c>
      <c r="AH77" s="153">
        <v>320</v>
      </c>
      <c r="AI77">
        <f t="shared" si="19"/>
        <v>25</v>
      </c>
      <c r="AJ77">
        <f t="shared" si="20"/>
        <v>5</v>
      </c>
    </row>
    <row r="78" spans="2:36" x14ac:dyDescent="0.2">
      <c r="B78" s="80">
        <f t="shared" si="23"/>
        <v>47058</v>
      </c>
      <c r="C78" s="73">
        <v>6.0154269603568897</v>
      </c>
      <c r="D78" s="73">
        <v>5.7276894820098381</v>
      </c>
      <c r="E78" s="81">
        <f t="shared" si="21"/>
        <v>2028</v>
      </c>
      <c r="K78">
        <f t="shared" si="24"/>
        <v>11</v>
      </c>
      <c r="L78" s="101">
        <f t="shared" si="25"/>
        <v>2028</v>
      </c>
      <c r="M78" s="76">
        <f t="shared" si="22"/>
        <v>47058</v>
      </c>
      <c r="N78" s="77">
        <v>66.284999999999997</v>
      </c>
      <c r="O78" s="77">
        <v>65.576300000000003</v>
      </c>
      <c r="P78" s="77">
        <v>59.585999999999999</v>
      </c>
      <c r="Q78" s="78">
        <v>61.530099999999997</v>
      </c>
      <c r="S78" s="98">
        <v>63.774871151178921</v>
      </c>
      <c r="T78" s="100">
        <f t="shared" si="26"/>
        <v>1.0282466873911948</v>
      </c>
      <c r="U78" s="100">
        <f t="shared" si="27"/>
        <v>0.96480163564960131</v>
      </c>
      <c r="AD78" s="154" t="str">
        <f t="shared" si="17"/>
        <v>Winter</v>
      </c>
      <c r="AE78">
        <f t="shared" si="18"/>
        <v>5</v>
      </c>
      <c r="AF78" s="152">
        <v>45047</v>
      </c>
      <c r="AG78" s="153">
        <v>416</v>
      </c>
      <c r="AH78" s="153">
        <v>328</v>
      </c>
      <c r="AI78">
        <f t="shared" si="19"/>
        <v>26</v>
      </c>
      <c r="AJ78">
        <f t="shared" si="20"/>
        <v>5</v>
      </c>
    </row>
    <row r="79" spans="2:36" x14ac:dyDescent="0.2">
      <c r="B79" s="82">
        <f t="shared" si="23"/>
        <v>47088</v>
      </c>
      <c r="C79" s="83">
        <v>6.0517242329919902</v>
      </c>
      <c r="D79" s="83">
        <v>6.0074113762789718</v>
      </c>
      <c r="E79" s="84">
        <f t="shared" si="21"/>
        <v>2028</v>
      </c>
      <c r="K79">
        <f t="shared" si="24"/>
        <v>12</v>
      </c>
      <c r="L79" s="101">
        <f t="shared" si="25"/>
        <v>2028</v>
      </c>
      <c r="M79" s="85">
        <f t="shared" si="22"/>
        <v>47088</v>
      </c>
      <c r="N79" s="86">
        <v>66.7761</v>
      </c>
      <c r="O79" s="86">
        <v>63.95</v>
      </c>
      <c r="P79" s="86">
        <v>61.008800000000001</v>
      </c>
      <c r="Q79" s="87">
        <v>62.827800000000003</v>
      </c>
      <c r="S79" s="98">
        <v>63.431133333333335</v>
      </c>
      <c r="T79" s="100">
        <f t="shared" si="26"/>
        <v>1.0081799999369394</v>
      </c>
      <c r="U79" s="100">
        <f t="shared" si="27"/>
        <v>0.99048837216634944</v>
      </c>
      <c r="AD79" s="154" t="str">
        <f t="shared" si="17"/>
        <v>Summer</v>
      </c>
      <c r="AE79">
        <f t="shared" si="18"/>
        <v>6</v>
      </c>
      <c r="AF79" s="152">
        <v>45078</v>
      </c>
      <c r="AG79" s="153">
        <v>416</v>
      </c>
      <c r="AH79" s="153">
        <v>304</v>
      </c>
      <c r="AI79">
        <f t="shared" si="19"/>
        <v>26</v>
      </c>
      <c r="AJ79">
        <f t="shared" si="20"/>
        <v>4</v>
      </c>
    </row>
    <row r="80" spans="2:36" x14ac:dyDescent="0.2">
      <c r="B80" s="206">
        <f t="shared" si="23"/>
        <v>47119</v>
      </c>
      <c r="C80" s="73">
        <v>6.6568139622832811</v>
      </c>
      <c r="D80" s="73">
        <v>6.6313227246774877</v>
      </c>
      <c r="E80" s="205">
        <f t="shared" si="21"/>
        <v>2029</v>
      </c>
      <c r="K80">
        <f t="shared" si="24"/>
        <v>1</v>
      </c>
      <c r="L80" s="101">
        <f t="shared" si="25"/>
        <v>2029</v>
      </c>
      <c r="M80" s="76">
        <f t="shared" si="22"/>
        <v>47119</v>
      </c>
      <c r="N80" s="204">
        <v>61.808100000000003</v>
      </c>
      <c r="O80" s="204">
        <v>57.917900000000003</v>
      </c>
      <c r="P80" s="204">
        <v>57.4054</v>
      </c>
      <c r="Q80" s="203">
        <v>62.025500000000001</v>
      </c>
      <c r="S80" s="98">
        <v>59.728777419354842</v>
      </c>
      <c r="T80" s="100">
        <f t="shared" si="26"/>
        <v>0.96968165936763284</v>
      </c>
      <c r="U80" s="100">
        <f t="shared" si="27"/>
        <v>1.0384525295825144</v>
      </c>
      <c r="AD80" s="154" t="str">
        <f t="shared" si="17"/>
        <v>Summer</v>
      </c>
      <c r="AE80">
        <f t="shared" si="18"/>
        <v>7</v>
      </c>
      <c r="AF80" s="152">
        <v>45108</v>
      </c>
      <c r="AG80" s="153">
        <v>400</v>
      </c>
      <c r="AH80" s="153">
        <v>344</v>
      </c>
      <c r="AI80">
        <f t="shared" si="19"/>
        <v>25</v>
      </c>
      <c r="AJ80">
        <f t="shared" si="20"/>
        <v>6</v>
      </c>
    </row>
    <row r="81" spans="2:36" x14ac:dyDescent="0.2">
      <c r="B81" s="80">
        <f t="shared" si="23"/>
        <v>47150</v>
      </c>
      <c r="C81" s="73">
        <v>6.6784098256108697</v>
      </c>
      <c r="D81" s="73">
        <v>6.6778739988255715</v>
      </c>
      <c r="E81" s="81">
        <f t="shared" si="21"/>
        <v>2029</v>
      </c>
      <c r="K81">
        <f t="shared" si="24"/>
        <v>2</v>
      </c>
      <c r="L81" s="101">
        <f t="shared" si="25"/>
        <v>2029</v>
      </c>
      <c r="M81" s="76">
        <f t="shared" si="22"/>
        <v>47150</v>
      </c>
      <c r="N81" s="77">
        <v>75.653499999999994</v>
      </c>
      <c r="O81" s="77">
        <v>65.7577</v>
      </c>
      <c r="P81" s="77">
        <v>65.3857</v>
      </c>
      <c r="Q81" s="78">
        <v>68.819000000000003</v>
      </c>
      <c r="S81" s="98">
        <v>67.069685714285711</v>
      </c>
      <c r="T81" s="100">
        <f t="shared" si="26"/>
        <v>0.98043846932763756</v>
      </c>
      <c r="U81" s="100">
        <f t="shared" si="27"/>
        <v>1.0260820408964835</v>
      </c>
      <c r="AD81" s="154" t="str">
        <f t="shared" si="17"/>
        <v>Summer</v>
      </c>
      <c r="AE81">
        <f t="shared" si="18"/>
        <v>8</v>
      </c>
      <c r="AF81" s="152">
        <v>45139</v>
      </c>
      <c r="AG81" s="153">
        <v>432</v>
      </c>
      <c r="AH81" s="153">
        <v>312</v>
      </c>
      <c r="AI81">
        <f t="shared" si="19"/>
        <v>27</v>
      </c>
      <c r="AJ81">
        <f t="shared" si="20"/>
        <v>4</v>
      </c>
    </row>
    <row r="82" spans="2:36" x14ac:dyDescent="0.2">
      <c r="B82" s="80">
        <f t="shared" si="23"/>
        <v>47178</v>
      </c>
      <c r="C82" s="73">
        <v>5.0442214447936733</v>
      </c>
      <c r="D82" s="73">
        <v>5.9798120112946238</v>
      </c>
      <c r="E82" s="81">
        <f t="shared" si="21"/>
        <v>2029</v>
      </c>
      <c r="K82">
        <f t="shared" si="24"/>
        <v>3</v>
      </c>
      <c r="L82" s="101">
        <f t="shared" si="25"/>
        <v>2029</v>
      </c>
      <c r="M82" s="76">
        <f t="shared" si="22"/>
        <v>47178</v>
      </c>
      <c r="N82" s="77">
        <v>46.47</v>
      </c>
      <c r="O82" s="77">
        <v>40.776600000000002</v>
      </c>
      <c r="P82" s="77">
        <v>51.666499999999999</v>
      </c>
      <c r="Q82" s="78">
        <v>51.115299999999998</v>
      </c>
      <c r="S82" s="98">
        <v>45.104104306864066</v>
      </c>
      <c r="T82" s="100">
        <f t="shared" si="26"/>
        <v>0.90405519911398635</v>
      </c>
      <c r="U82" s="100">
        <f t="shared" si="27"/>
        <v>1.133273807018514</v>
      </c>
      <c r="AD82" s="154" t="str">
        <f t="shared" si="17"/>
        <v>Summer</v>
      </c>
      <c r="AE82">
        <f t="shared" si="18"/>
        <v>9</v>
      </c>
      <c r="AF82" s="152">
        <v>45170</v>
      </c>
      <c r="AG82" s="153">
        <v>400</v>
      </c>
      <c r="AH82" s="153">
        <v>320</v>
      </c>
      <c r="AI82">
        <f t="shared" si="19"/>
        <v>25</v>
      </c>
      <c r="AJ82">
        <f t="shared" si="20"/>
        <v>5</v>
      </c>
    </row>
    <row r="83" spans="2:36" x14ac:dyDescent="0.2">
      <c r="B83" s="80">
        <f t="shared" si="23"/>
        <v>47209</v>
      </c>
      <c r="C83" s="73">
        <v>4.7596224384061649</v>
      </c>
      <c r="D83" s="73">
        <v>5.0158019214004277</v>
      </c>
      <c r="E83" s="81">
        <f t="shared" si="21"/>
        <v>2029</v>
      </c>
      <c r="K83">
        <f t="shared" si="24"/>
        <v>4</v>
      </c>
      <c r="L83" s="101">
        <f t="shared" si="25"/>
        <v>2029</v>
      </c>
      <c r="M83" s="76">
        <f t="shared" si="22"/>
        <v>47209</v>
      </c>
      <c r="N83" s="77">
        <v>36.779200000000003</v>
      </c>
      <c r="O83" s="77">
        <v>34.9148</v>
      </c>
      <c r="P83" s="77">
        <v>39.485300000000002</v>
      </c>
      <c r="Q83" s="78">
        <v>40.716500000000003</v>
      </c>
      <c r="S83" s="98">
        <v>37.493333333333339</v>
      </c>
      <c r="T83" s="100">
        <f t="shared" si="26"/>
        <v>0.93122688477951621</v>
      </c>
      <c r="U83" s="100">
        <f t="shared" si="27"/>
        <v>1.0859663940256046</v>
      </c>
      <c r="AD83" s="154" t="str">
        <f t="shared" si="17"/>
        <v>Winter</v>
      </c>
      <c r="AE83">
        <f t="shared" si="18"/>
        <v>10</v>
      </c>
      <c r="AF83" s="152">
        <v>45200</v>
      </c>
      <c r="AG83" s="153">
        <v>416</v>
      </c>
      <c r="AH83" s="153">
        <v>328</v>
      </c>
      <c r="AI83">
        <f t="shared" si="19"/>
        <v>26</v>
      </c>
      <c r="AJ83">
        <f t="shared" si="20"/>
        <v>5</v>
      </c>
    </row>
    <row r="84" spans="2:36" x14ac:dyDescent="0.2">
      <c r="B84" s="80">
        <f t="shared" si="23"/>
        <v>47239</v>
      </c>
      <c r="C84" s="73">
        <v>4.7026418037108382</v>
      </c>
      <c r="D84" s="73">
        <v>4.8097128545379402</v>
      </c>
      <c r="E84" s="81">
        <f t="shared" si="21"/>
        <v>2029</v>
      </c>
      <c r="K84">
        <f t="shared" si="24"/>
        <v>5</v>
      </c>
      <c r="L84" s="101">
        <f t="shared" si="25"/>
        <v>2029</v>
      </c>
      <c r="M84" s="76">
        <f t="shared" si="22"/>
        <v>47239</v>
      </c>
      <c r="N84" s="77">
        <v>20.728899999999999</v>
      </c>
      <c r="O84" s="77">
        <v>28.065999999999999</v>
      </c>
      <c r="P84" s="77">
        <v>26.338200000000001</v>
      </c>
      <c r="Q84" s="78">
        <v>38.275500000000001</v>
      </c>
      <c r="S84" s="98">
        <v>32.566962365591401</v>
      </c>
      <c r="T84" s="100">
        <f t="shared" si="26"/>
        <v>0.86179360804166094</v>
      </c>
      <c r="U84" s="100">
        <f t="shared" si="27"/>
        <v>1.1752861556544785</v>
      </c>
      <c r="AD84" s="154" t="str">
        <f t="shared" si="17"/>
        <v>Winter</v>
      </c>
      <c r="AE84">
        <f t="shared" si="18"/>
        <v>11</v>
      </c>
      <c r="AF84" s="152">
        <v>45231</v>
      </c>
      <c r="AG84" s="153">
        <v>400</v>
      </c>
      <c r="AH84" s="153">
        <v>320</v>
      </c>
      <c r="AI84">
        <f t="shared" si="19"/>
        <v>25</v>
      </c>
      <c r="AJ84">
        <f t="shared" si="20"/>
        <v>5</v>
      </c>
    </row>
    <row r="85" spans="2:36" x14ac:dyDescent="0.2">
      <c r="B85" s="80">
        <f t="shared" si="23"/>
        <v>47270</v>
      </c>
      <c r="C85" s="73">
        <v>4.6953417935719362</v>
      </c>
      <c r="D85" s="73">
        <v>4.7830973318325851</v>
      </c>
      <c r="E85" s="81">
        <f t="shared" si="21"/>
        <v>2029</v>
      </c>
      <c r="K85">
        <f t="shared" si="24"/>
        <v>6</v>
      </c>
      <c r="L85" s="101">
        <f t="shared" si="25"/>
        <v>2029</v>
      </c>
      <c r="M85" s="76">
        <f t="shared" si="22"/>
        <v>47270</v>
      </c>
      <c r="N85" s="77">
        <v>27.060500000000001</v>
      </c>
      <c r="O85" s="77">
        <v>40.0595</v>
      </c>
      <c r="P85" s="77">
        <v>34.691899999999997</v>
      </c>
      <c r="Q85" s="78">
        <v>47.138500000000001</v>
      </c>
      <c r="S85" s="98">
        <v>43.048411111111115</v>
      </c>
      <c r="T85" s="100">
        <f t="shared" si="26"/>
        <v>0.93056860790061413</v>
      </c>
      <c r="U85" s="100">
        <f t="shared" si="27"/>
        <v>1.0950113786623172</v>
      </c>
      <c r="AD85" s="154" t="str">
        <f t="shared" si="17"/>
        <v>Winter</v>
      </c>
      <c r="AE85">
        <f t="shared" si="18"/>
        <v>12</v>
      </c>
      <c r="AF85" s="152">
        <v>45261</v>
      </c>
      <c r="AG85" s="153">
        <v>400</v>
      </c>
      <c r="AH85" s="153">
        <v>344</v>
      </c>
      <c r="AI85">
        <f t="shared" si="19"/>
        <v>25</v>
      </c>
      <c r="AJ85">
        <f t="shared" si="20"/>
        <v>6</v>
      </c>
    </row>
    <row r="86" spans="2:36" x14ac:dyDescent="0.2">
      <c r="B86" s="80">
        <f t="shared" si="23"/>
        <v>47300</v>
      </c>
      <c r="C86" s="73">
        <v>4.7581016029605596</v>
      </c>
      <c r="D86" s="73">
        <v>4.836328377243297</v>
      </c>
      <c r="E86" s="81">
        <f t="shared" si="21"/>
        <v>2029</v>
      </c>
      <c r="K86">
        <f t="shared" si="24"/>
        <v>7</v>
      </c>
      <c r="L86" s="101">
        <f t="shared" si="25"/>
        <v>2029</v>
      </c>
      <c r="M86" s="76">
        <f t="shared" si="22"/>
        <v>47300</v>
      </c>
      <c r="N86" s="77">
        <v>64.122500000000002</v>
      </c>
      <c r="O86" s="77">
        <v>69.941100000000006</v>
      </c>
      <c r="P86" s="77">
        <v>54.572899999999997</v>
      </c>
      <c r="Q86" s="78">
        <v>68.420599999999993</v>
      </c>
      <c r="S86" s="98">
        <v>69.238073118279573</v>
      </c>
      <c r="T86" s="100">
        <f t="shared" si="26"/>
        <v>1.0101537615080571</v>
      </c>
      <c r="U86" s="100">
        <f t="shared" si="27"/>
        <v>0.98819330057202648</v>
      </c>
      <c r="AD86" s="154" t="str">
        <f t="shared" si="17"/>
        <v>Winter</v>
      </c>
      <c r="AE86">
        <f t="shared" si="18"/>
        <v>1</v>
      </c>
      <c r="AF86" s="152">
        <v>45292</v>
      </c>
      <c r="AG86" s="153">
        <v>416</v>
      </c>
      <c r="AH86" s="153">
        <v>328</v>
      </c>
      <c r="AI86">
        <f t="shared" si="19"/>
        <v>26</v>
      </c>
      <c r="AJ86">
        <f t="shared" si="20"/>
        <v>5</v>
      </c>
    </row>
    <row r="87" spans="2:36" x14ac:dyDescent="0.2">
      <c r="B87" s="80">
        <f t="shared" si="23"/>
        <v>47331</v>
      </c>
      <c r="C87" s="73">
        <v>5.3804274673020389</v>
      </c>
      <c r="D87" s="73">
        <v>5.1953272467301357</v>
      </c>
      <c r="E87" s="81">
        <f t="shared" si="21"/>
        <v>2029</v>
      </c>
      <c r="K87">
        <f t="shared" si="24"/>
        <v>8</v>
      </c>
      <c r="L87" s="101">
        <f t="shared" si="25"/>
        <v>2029</v>
      </c>
      <c r="M87" s="76">
        <f t="shared" si="22"/>
        <v>47331</v>
      </c>
      <c r="N87" s="77">
        <v>84.131</v>
      </c>
      <c r="O87" s="77">
        <v>86.152500000000003</v>
      </c>
      <c r="P87" s="77">
        <v>63.223999999999997</v>
      </c>
      <c r="Q87" s="78">
        <v>76.153400000000005</v>
      </c>
      <c r="S87" s="98">
        <v>81.959329032258069</v>
      </c>
      <c r="T87" s="100">
        <f t="shared" si="26"/>
        <v>1.0511616068268637</v>
      </c>
      <c r="U87" s="100">
        <f t="shared" si="27"/>
        <v>0.92916085208588117</v>
      </c>
      <c r="AD87" s="154" t="str">
        <f t="shared" si="17"/>
        <v>Winter</v>
      </c>
      <c r="AE87">
        <f t="shared" si="18"/>
        <v>2</v>
      </c>
      <c r="AF87" s="152">
        <v>45323</v>
      </c>
      <c r="AG87" s="153">
        <v>400</v>
      </c>
      <c r="AH87" s="153">
        <v>296</v>
      </c>
      <c r="AI87">
        <f t="shared" si="19"/>
        <v>25</v>
      </c>
      <c r="AJ87">
        <f t="shared" si="20"/>
        <v>4</v>
      </c>
    </row>
    <row r="88" spans="2:36" x14ac:dyDescent="0.2">
      <c r="B88" s="80">
        <f t="shared" si="23"/>
        <v>47362</v>
      </c>
      <c r="C88" s="73">
        <v>5.445316446314509</v>
      </c>
      <c r="D88" s="73">
        <v>5.5609541063070234</v>
      </c>
      <c r="E88" s="81">
        <f t="shared" si="21"/>
        <v>2029</v>
      </c>
      <c r="K88">
        <f t="shared" si="24"/>
        <v>9</v>
      </c>
      <c r="L88" s="101">
        <f t="shared" si="25"/>
        <v>2029</v>
      </c>
      <c r="M88" s="76">
        <f t="shared" si="22"/>
        <v>47362</v>
      </c>
      <c r="N88" s="77">
        <v>73.639200000000002</v>
      </c>
      <c r="O88" s="77">
        <v>76.627399999999994</v>
      </c>
      <c r="P88" s="77">
        <v>59.651200000000003</v>
      </c>
      <c r="Q88" s="78">
        <v>70.259299999999996</v>
      </c>
      <c r="S88" s="98">
        <v>73.655619999999999</v>
      </c>
      <c r="T88" s="100">
        <f t="shared" si="26"/>
        <v>1.0403469551950006</v>
      </c>
      <c r="U88" s="100">
        <f t="shared" si="27"/>
        <v>0.95388919406285622</v>
      </c>
      <c r="AD88" s="154" t="str">
        <f t="shared" si="17"/>
        <v>Winter</v>
      </c>
      <c r="AE88">
        <f t="shared" si="18"/>
        <v>3</v>
      </c>
      <c r="AF88" s="152">
        <v>45352</v>
      </c>
      <c r="AG88" s="153">
        <v>416</v>
      </c>
      <c r="AH88" s="153">
        <v>328</v>
      </c>
      <c r="AI88">
        <f t="shared" si="19"/>
        <v>26</v>
      </c>
      <c r="AJ88">
        <f t="shared" si="20"/>
        <v>5</v>
      </c>
    </row>
    <row r="89" spans="2:36" x14ac:dyDescent="0.2">
      <c r="B89" s="80">
        <f t="shared" si="23"/>
        <v>47392</v>
      </c>
      <c r="C89" s="73">
        <v>5.6507306205008616</v>
      </c>
      <c r="D89" s="73">
        <v>5.627441131897835</v>
      </c>
      <c r="E89" s="81">
        <f t="shared" si="21"/>
        <v>2029</v>
      </c>
      <c r="K89">
        <f t="shared" si="24"/>
        <v>10</v>
      </c>
      <c r="L89" s="101">
        <f t="shared" si="25"/>
        <v>2029</v>
      </c>
      <c r="M89" s="76">
        <f t="shared" si="22"/>
        <v>47392</v>
      </c>
      <c r="N89" s="77">
        <v>57.425800000000002</v>
      </c>
      <c r="O89" s="77">
        <v>58.759599999999999</v>
      </c>
      <c r="P89" s="77">
        <v>56.378799999999998</v>
      </c>
      <c r="Q89" s="78">
        <v>63.947600000000001</v>
      </c>
      <c r="S89" s="98">
        <v>60.935212903225803</v>
      </c>
      <c r="T89" s="100">
        <f t="shared" si="26"/>
        <v>0.96429629438267495</v>
      </c>
      <c r="U89" s="100">
        <f t="shared" si="27"/>
        <v>1.0494359000855271</v>
      </c>
      <c r="AD89" s="154" t="str">
        <f t="shared" si="17"/>
        <v>Winter</v>
      </c>
      <c r="AE89">
        <f t="shared" si="18"/>
        <v>4</v>
      </c>
      <c r="AF89" s="152">
        <v>45383</v>
      </c>
      <c r="AG89" s="153">
        <v>416</v>
      </c>
      <c r="AH89" s="153">
        <v>304</v>
      </c>
      <c r="AI89">
        <f t="shared" si="19"/>
        <v>26</v>
      </c>
      <c r="AJ89">
        <f t="shared" si="20"/>
        <v>4</v>
      </c>
    </row>
    <row r="90" spans="2:36" x14ac:dyDescent="0.2">
      <c r="B90" s="80">
        <f t="shared" si="23"/>
        <v>47423</v>
      </c>
      <c r="C90" s="73">
        <v>6.1060687529149353</v>
      </c>
      <c r="D90" s="73">
        <v>5.8269022086702718</v>
      </c>
      <c r="E90" s="81">
        <f t="shared" si="21"/>
        <v>2029</v>
      </c>
      <c r="K90">
        <f t="shared" si="24"/>
        <v>11</v>
      </c>
      <c r="L90" s="101">
        <f t="shared" si="25"/>
        <v>2029</v>
      </c>
      <c r="M90" s="76">
        <f t="shared" si="22"/>
        <v>47423</v>
      </c>
      <c r="N90" s="77">
        <v>68.972200000000001</v>
      </c>
      <c r="O90" s="77">
        <v>66.953999999999994</v>
      </c>
      <c r="P90" s="77">
        <v>60.431699999999999</v>
      </c>
      <c r="Q90" s="78">
        <v>63.702399999999997</v>
      </c>
      <c r="S90" s="98">
        <v>65.506338973647701</v>
      </c>
      <c r="T90" s="100">
        <f t="shared" si="26"/>
        <v>1.0220995563030117</v>
      </c>
      <c r="U90" s="100">
        <f t="shared" si="27"/>
        <v>0.97246161208347481</v>
      </c>
      <c r="AD90" s="154" t="str">
        <f t="shared" si="17"/>
        <v>Winter</v>
      </c>
      <c r="AE90">
        <f t="shared" si="18"/>
        <v>5</v>
      </c>
      <c r="AF90" s="152">
        <v>45413</v>
      </c>
      <c r="AG90" s="153">
        <v>416</v>
      </c>
      <c r="AH90" s="153">
        <v>328</v>
      </c>
      <c r="AI90">
        <f t="shared" si="19"/>
        <v>26</v>
      </c>
      <c r="AJ90">
        <f t="shared" si="20"/>
        <v>5</v>
      </c>
    </row>
    <row r="91" spans="2:36" x14ac:dyDescent="0.2">
      <c r="B91" s="82">
        <f t="shared" si="23"/>
        <v>47453</v>
      </c>
      <c r="C91" s="83">
        <v>6.0950173486768735</v>
      </c>
      <c r="D91" s="83">
        <v>6.1260420426563469</v>
      </c>
      <c r="E91" s="84">
        <f t="shared" si="21"/>
        <v>2029</v>
      </c>
      <c r="K91">
        <f t="shared" si="24"/>
        <v>12</v>
      </c>
      <c r="L91" s="101">
        <f t="shared" si="25"/>
        <v>2029</v>
      </c>
      <c r="M91" s="85">
        <f t="shared" si="22"/>
        <v>47453</v>
      </c>
      <c r="N91" s="86">
        <v>66.451800000000006</v>
      </c>
      <c r="O91" s="86">
        <v>64.585999999999999</v>
      </c>
      <c r="P91" s="86">
        <v>65.268299999999996</v>
      </c>
      <c r="Q91" s="87">
        <v>67.356700000000004</v>
      </c>
      <c r="S91" s="98">
        <v>65.86707634408603</v>
      </c>
      <c r="T91" s="100">
        <f t="shared" si="26"/>
        <v>0.98055058133453865</v>
      </c>
      <c r="U91" s="100">
        <f t="shared" si="27"/>
        <v>1.0226156030993734</v>
      </c>
      <c r="AD91" s="154" t="str">
        <f t="shared" si="17"/>
        <v>Summer</v>
      </c>
      <c r="AE91">
        <f t="shared" si="18"/>
        <v>6</v>
      </c>
      <c r="AF91" s="152">
        <v>45444</v>
      </c>
      <c r="AG91" s="153">
        <v>400</v>
      </c>
      <c r="AH91" s="153">
        <v>320</v>
      </c>
      <c r="AI91">
        <f t="shared" si="19"/>
        <v>25</v>
      </c>
      <c r="AJ91">
        <f t="shared" si="20"/>
        <v>5</v>
      </c>
    </row>
    <row r="92" spans="2:36" x14ac:dyDescent="0.2">
      <c r="B92" s="206">
        <f t="shared" si="23"/>
        <v>47484</v>
      </c>
      <c r="C92" s="73">
        <v>6.3712010655987026</v>
      </c>
      <c r="D92" s="73">
        <v>6.5595540194836666</v>
      </c>
      <c r="E92" s="205">
        <f t="shared" si="21"/>
        <v>2030</v>
      </c>
      <c r="K92">
        <f t="shared" si="24"/>
        <v>1</v>
      </c>
      <c r="L92" s="101">
        <f t="shared" si="25"/>
        <v>2030</v>
      </c>
      <c r="M92" s="76">
        <f t="shared" si="22"/>
        <v>47484</v>
      </c>
      <c r="N92" s="204">
        <v>63.754300000000001</v>
      </c>
      <c r="O92" s="204">
        <v>56.1798</v>
      </c>
      <c r="P92" s="204">
        <v>58.1188</v>
      </c>
      <c r="Q92" s="203">
        <v>62.760100000000001</v>
      </c>
      <c r="S92" s="98">
        <v>59.080792473118279</v>
      </c>
      <c r="T92" s="100">
        <f t="shared" si="26"/>
        <v>0.95089787472911391</v>
      </c>
      <c r="U92" s="100">
        <f t="shared" si="27"/>
        <v>1.0622758661972214</v>
      </c>
      <c r="AD92" s="154" t="str">
        <f t="shared" si="17"/>
        <v>Summer</v>
      </c>
      <c r="AE92">
        <f t="shared" si="18"/>
        <v>7</v>
      </c>
      <c r="AF92" s="152">
        <v>45474</v>
      </c>
      <c r="AG92" s="153">
        <v>416</v>
      </c>
      <c r="AH92" s="153">
        <v>328</v>
      </c>
      <c r="AI92">
        <f t="shared" si="19"/>
        <v>26</v>
      </c>
      <c r="AJ92">
        <f t="shared" si="20"/>
        <v>5</v>
      </c>
    </row>
    <row r="93" spans="2:36" x14ac:dyDescent="0.2">
      <c r="B93" s="80">
        <f t="shared" si="23"/>
        <v>47515</v>
      </c>
      <c r="C93" s="73">
        <v>6.5446776954273549</v>
      </c>
      <c r="D93" s="73">
        <v>6.5120189030565907</v>
      </c>
      <c r="E93" s="81">
        <f t="shared" si="21"/>
        <v>2030</v>
      </c>
      <c r="K93">
        <f t="shared" si="24"/>
        <v>2</v>
      </c>
      <c r="L93" s="101">
        <f t="shared" si="25"/>
        <v>2030</v>
      </c>
      <c r="M93" s="76">
        <f t="shared" si="22"/>
        <v>47515</v>
      </c>
      <c r="N93" s="77">
        <v>76.6267</v>
      </c>
      <c r="O93" s="77">
        <v>70.269499999999994</v>
      </c>
      <c r="P93" s="77">
        <v>66.814800000000005</v>
      </c>
      <c r="Q93" s="78">
        <v>69.956100000000006</v>
      </c>
      <c r="S93" s="98">
        <v>70.135185714285711</v>
      </c>
      <c r="T93" s="100">
        <f t="shared" si="26"/>
        <v>1.0019150770664733</v>
      </c>
      <c r="U93" s="100">
        <f t="shared" si="27"/>
        <v>0.99744656391136888</v>
      </c>
      <c r="AD93" s="154" t="str">
        <f t="shared" si="17"/>
        <v>Summer</v>
      </c>
      <c r="AE93">
        <f t="shared" si="18"/>
        <v>8</v>
      </c>
      <c r="AF93" s="152">
        <v>45505</v>
      </c>
      <c r="AG93" s="153">
        <v>432</v>
      </c>
      <c r="AH93" s="153">
        <v>312</v>
      </c>
      <c r="AI93">
        <f t="shared" si="19"/>
        <v>27</v>
      </c>
      <c r="AJ93">
        <f t="shared" si="20"/>
        <v>4</v>
      </c>
    </row>
    <row r="94" spans="2:36" x14ac:dyDescent="0.2">
      <c r="B94" s="80">
        <f t="shared" si="23"/>
        <v>47543</v>
      </c>
      <c r="C94" s="73">
        <v>5.0887312288350408</v>
      </c>
      <c r="D94" s="73">
        <v>5.920885036900275</v>
      </c>
      <c r="E94" s="81">
        <f t="shared" si="21"/>
        <v>2030</v>
      </c>
      <c r="K94">
        <f t="shared" si="24"/>
        <v>3</v>
      </c>
      <c r="L94" s="101">
        <f t="shared" si="25"/>
        <v>2030</v>
      </c>
      <c r="M94" s="76">
        <f t="shared" si="22"/>
        <v>47543</v>
      </c>
      <c r="N94" s="77">
        <v>47.3416</v>
      </c>
      <c r="O94" s="77">
        <v>41.718000000000004</v>
      </c>
      <c r="P94" s="77">
        <v>51.570900000000002</v>
      </c>
      <c r="Q94" s="78">
        <v>51.481499999999997</v>
      </c>
      <c r="S94" s="98">
        <v>46.014991251682368</v>
      </c>
      <c r="T94" s="100">
        <f t="shared" si="26"/>
        <v>0.90661757973223001</v>
      </c>
      <c r="U94" s="100">
        <f t="shared" si="27"/>
        <v>1.1187984306770409</v>
      </c>
      <c r="AD94" s="154" t="str">
        <f t="shared" si="17"/>
        <v>Summer</v>
      </c>
      <c r="AE94">
        <f t="shared" si="18"/>
        <v>9</v>
      </c>
      <c r="AF94" s="152">
        <v>45536</v>
      </c>
      <c r="AG94" s="153">
        <v>384</v>
      </c>
      <c r="AH94" s="153">
        <v>336</v>
      </c>
      <c r="AI94">
        <f t="shared" si="19"/>
        <v>24</v>
      </c>
      <c r="AJ94">
        <f t="shared" si="20"/>
        <v>6</v>
      </c>
    </row>
    <row r="95" spans="2:36" x14ac:dyDescent="0.2">
      <c r="B95" s="80">
        <f t="shared" si="23"/>
        <v>47574</v>
      </c>
      <c r="C95" s="73">
        <v>4.8274516992801377</v>
      </c>
      <c r="D95" s="73">
        <v>5.0580553582244949</v>
      </c>
      <c r="E95" s="81">
        <f t="shared" si="21"/>
        <v>2030</v>
      </c>
      <c r="K95">
        <f t="shared" si="24"/>
        <v>4</v>
      </c>
      <c r="L95" s="101">
        <f t="shared" si="25"/>
        <v>2030</v>
      </c>
      <c r="M95" s="76">
        <f t="shared" si="22"/>
        <v>47574</v>
      </c>
      <c r="N95" s="77">
        <v>34.0199</v>
      </c>
      <c r="O95" s="77">
        <v>31.345199999999998</v>
      </c>
      <c r="P95" s="77">
        <v>39.955199999999998</v>
      </c>
      <c r="Q95" s="78">
        <v>42.834499999999998</v>
      </c>
      <c r="S95" s="98">
        <v>36.196237777777775</v>
      </c>
      <c r="T95" s="100">
        <f t="shared" si="26"/>
        <v>0.86597950296491832</v>
      </c>
      <c r="U95" s="100">
        <f t="shared" si="27"/>
        <v>1.1833964696269539</v>
      </c>
      <c r="AD95" s="154" t="str">
        <f t="shared" si="17"/>
        <v>Winter</v>
      </c>
      <c r="AE95">
        <f t="shared" si="18"/>
        <v>10</v>
      </c>
      <c r="AF95" s="152">
        <v>45566</v>
      </c>
      <c r="AG95" s="153">
        <v>432</v>
      </c>
      <c r="AH95" s="153">
        <v>312</v>
      </c>
      <c r="AI95">
        <f t="shared" si="19"/>
        <v>27</v>
      </c>
      <c r="AJ95">
        <f t="shared" si="20"/>
        <v>4</v>
      </c>
    </row>
    <row r="96" spans="2:36" x14ac:dyDescent="0.2">
      <c r="B96" s="80">
        <f t="shared" si="23"/>
        <v>47604</v>
      </c>
      <c r="C96" s="73">
        <v>4.7809141346446316</v>
      </c>
      <c r="D96" s="73">
        <v>4.8270077661791646</v>
      </c>
      <c r="E96" s="81">
        <f t="shared" si="21"/>
        <v>2030</v>
      </c>
      <c r="K96">
        <f t="shared" si="24"/>
        <v>5</v>
      </c>
      <c r="L96" s="101">
        <f t="shared" si="25"/>
        <v>2030</v>
      </c>
      <c r="M96" s="76">
        <f t="shared" si="22"/>
        <v>47604</v>
      </c>
      <c r="N96" s="77">
        <v>21.1876</v>
      </c>
      <c r="O96" s="77">
        <v>27.2715</v>
      </c>
      <c r="P96" s="77">
        <v>26.008700000000001</v>
      </c>
      <c r="Q96" s="78">
        <v>38.075699999999998</v>
      </c>
      <c r="S96" s="98">
        <v>32.034641935483869</v>
      </c>
      <c r="T96" s="100">
        <f t="shared" si="26"/>
        <v>0.85131277742774236</v>
      </c>
      <c r="U96" s="100">
        <f t="shared" si="27"/>
        <v>1.1885789164331073</v>
      </c>
      <c r="AD96" s="154" t="str">
        <f t="shared" si="17"/>
        <v>Winter</v>
      </c>
      <c r="AE96">
        <f t="shared" si="18"/>
        <v>11</v>
      </c>
      <c r="AF96" s="152">
        <v>45597</v>
      </c>
      <c r="AG96" s="153">
        <v>400</v>
      </c>
      <c r="AH96" s="153">
        <v>320</v>
      </c>
      <c r="AI96">
        <f t="shared" si="19"/>
        <v>25</v>
      </c>
      <c r="AJ96">
        <f t="shared" si="20"/>
        <v>5</v>
      </c>
    </row>
    <row r="97" spans="2:36" x14ac:dyDescent="0.2">
      <c r="B97" s="80">
        <f t="shared" si="23"/>
        <v>47635</v>
      </c>
      <c r="C97" s="73">
        <v>4.79409470850654</v>
      </c>
      <c r="D97" s="73">
        <v>4.8474095481750989</v>
      </c>
      <c r="E97" s="81">
        <f t="shared" si="21"/>
        <v>2030</v>
      </c>
      <c r="K97">
        <f t="shared" si="24"/>
        <v>6</v>
      </c>
      <c r="L97" s="101">
        <f t="shared" si="25"/>
        <v>2030</v>
      </c>
      <c r="M97" s="76">
        <f t="shared" si="22"/>
        <v>47635</v>
      </c>
      <c r="N97" s="77">
        <v>28.8752</v>
      </c>
      <c r="O97" s="77">
        <v>41.570300000000003</v>
      </c>
      <c r="P97" s="77">
        <v>34.236199999999997</v>
      </c>
      <c r="Q97" s="78">
        <v>48.061599999999999</v>
      </c>
      <c r="S97" s="98">
        <v>44.455322222222222</v>
      </c>
      <c r="T97" s="100">
        <f t="shared" si="26"/>
        <v>0.93510288356924653</v>
      </c>
      <c r="U97" s="100">
        <f t="shared" si="27"/>
        <v>1.081121395538442</v>
      </c>
      <c r="AD97" s="154" t="str">
        <f t="shared" si="17"/>
        <v>Winter</v>
      </c>
      <c r="AE97">
        <f t="shared" si="18"/>
        <v>12</v>
      </c>
      <c r="AF97" s="152">
        <v>45627</v>
      </c>
      <c r="AG97" s="153">
        <v>400</v>
      </c>
      <c r="AH97" s="153">
        <v>344</v>
      </c>
      <c r="AI97">
        <f t="shared" si="19"/>
        <v>25</v>
      </c>
      <c r="AJ97">
        <f t="shared" si="20"/>
        <v>6</v>
      </c>
    </row>
    <row r="98" spans="2:36" x14ac:dyDescent="0.2">
      <c r="B98" s="80">
        <f t="shared" si="23"/>
        <v>47665</v>
      </c>
      <c r="C98" s="73">
        <v>5.0079241721585719</v>
      </c>
      <c r="D98" s="73">
        <v>4.9764482302407558</v>
      </c>
      <c r="E98" s="81">
        <f t="shared" si="21"/>
        <v>2030</v>
      </c>
      <c r="K98">
        <f t="shared" si="24"/>
        <v>7</v>
      </c>
      <c r="L98" s="101">
        <f t="shared" si="25"/>
        <v>2030</v>
      </c>
      <c r="M98" s="76">
        <f t="shared" si="22"/>
        <v>47665</v>
      </c>
      <c r="N98" s="77">
        <v>66.190600000000003</v>
      </c>
      <c r="O98" s="77">
        <v>73.464799999999997</v>
      </c>
      <c r="P98" s="77">
        <v>56.695599999999999</v>
      </c>
      <c r="Q98" s="78">
        <v>73.377200000000002</v>
      </c>
      <c r="S98" s="98">
        <v>73.426180645161281</v>
      </c>
      <c r="T98" s="100">
        <f t="shared" si="26"/>
        <v>1.0005259616460966</v>
      </c>
      <c r="U98" s="100">
        <f t="shared" si="27"/>
        <v>0.99933292669275575</v>
      </c>
      <c r="AD98" s="154" t="str">
        <f t="shared" si="17"/>
        <v>Winter</v>
      </c>
      <c r="AE98">
        <f t="shared" si="18"/>
        <v>1</v>
      </c>
      <c r="AF98" s="152">
        <v>45658</v>
      </c>
      <c r="AG98" s="153">
        <v>416</v>
      </c>
      <c r="AH98" s="153">
        <v>328</v>
      </c>
      <c r="AI98">
        <f t="shared" si="19"/>
        <v>26</v>
      </c>
      <c r="AJ98">
        <f t="shared" si="20"/>
        <v>5</v>
      </c>
    </row>
    <row r="99" spans="2:36" x14ac:dyDescent="0.2">
      <c r="B99" s="80">
        <f t="shared" si="23"/>
        <v>47696</v>
      </c>
      <c r="C99" s="73">
        <v>5.4774567687316233</v>
      </c>
      <c r="D99" s="73">
        <v>5.3229678371361722</v>
      </c>
      <c r="E99" s="81">
        <f t="shared" si="21"/>
        <v>2030</v>
      </c>
      <c r="K99">
        <f t="shared" si="24"/>
        <v>8</v>
      </c>
      <c r="L99" s="101">
        <f t="shared" si="25"/>
        <v>2030</v>
      </c>
      <c r="M99" s="76">
        <f t="shared" si="22"/>
        <v>47696</v>
      </c>
      <c r="N99" s="77">
        <v>83.892899999999997</v>
      </c>
      <c r="O99" s="77">
        <v>86.677999999999997</v>
      </c>
      <c r="P99" s="77">
        <v>66.568399999999997</v>
      </c>
      <c r="Q99" s="78">
        <v>79.694500000000005</v>
      </c>
      <c r="S99" s="98">
        <v>83.749435483870968</v>
      </c>
      <c r="T99" s="100">
        <f t="shared" si="26"/>
        <v>1.0349681702235836</v>
      </c>
      <c r="U99" s="100">
        <f t="shared" si="27"/>
        <v>0.95158253353657662</v>
      </c>
      <c r="AD99" s="154" t="str">
        <f t="shared" si="17"/>
        <v>Winter</v>
      </c>
      <c r="AE99">
        <f t="shared" si="18"/>
        <v>2</v>
      </c>
      <c r="AF99" s="152">
        <v>45689</v>
      </c>
      <c r="AG99" s="153">
        <v>384</v>
      </c>
      <c r="AH99" s="153">
        <v>288</v>
      </c>
      <c r="AI99">
        <f t="shared" si="19"/>
        <v>24</v>
      </c>
      <c r="AJ99">
        <f t="shared" si="20"/>
        <v>4</v>
      </c>
    </row>
    <row r="100" spans="2:36" x14ac:dyDescent="0.2">
      <c r="B100" s="80">
        <f t="shared" si="23"/>
        <v>47727</v>
      </c>
      <c r="C100" s="73">
        <v>5.5159846000202775</v>
      </c>
      <c r="D100" s="73">
        <v>5.594767212000793</v>
      </c>
      <c r="E100" s="81">
        <f t="shared" si="21"/>
        <v>2030</v>
      </c>
      <c r="K100">
        <f t="shared" si="24"/>
        <v>9</v>
      </c>
      <c r="L100" s="101">
        <f t="shared" si="25"/>
        <v>2030</v>
      </c>
      <c r="M100" s="76">
        <f t="shared" si="22"/>
        <v>47727</v>
      </c>
      <c r="N100" s="77">
        <v>74.862700000000004</v>
      </c>
      <c r="O100" s="77">
        <v>78.5749</v>
      </c>
      <c r="P100" s="77">
        <v>63.432000000000002</v>
      </c>
      <c r="Q100" s="78">
        <v>73.523899999999998</v>
      </c>
      <c r="S100" s="98">
        <v>76.217766666666662</v>
      </c>
      <c r="T100" s="100">
        <f t="shared" si="26"/>
        <v>1.0309262975867832</v>
      </c>
      <c r="U100" s="100">
        <f t="shared" si="27"/>
        <v>0.96465565990081925</v>
      </c>
      <c r="AD100" s="154" t="str">
        <f t="shared" si="17"/>
        <v>Winter</v>
      </c>
      <c r="AE100">
        <f t="shared" si="18"/>
        <v>3</v>
      </c>
      <c r="AF100" s="152">
        <v>45717</v>
      </c>
      <c r="AG100" s="153">
        <v>416</v>
      </c>
      <c r="AH100" s="153">
        <v>328</v>
      </c>
      <c r="AI100">
        <f t="shared" si="19"/>
        <v>26</v>
      </c>
      <c r="AJ100">
        <f t="shared" si="20"/>
        <v>5</v>
      </c>
    </row>
    <row r="101" spans="2:36" x14ac:dyDescent="0.2">
      <c r="B101" s="80">
        <f t="shared" si="23"/>
        <v>47757</v>
      </c>
      <c r="C101" s="73">
        <v>5.7173432130183519</v>
      </c>
      <c r="D101" s="73">
        <v>5.6763225588119521</v>
      </c>
      <c r="E101" s="81">
        <f t="shared" si="21"/>
        <v>2030</v>
      </c>
      <c r="K101">
        <f t="shared" si="24"/>
        <v>10</v>
      </c>
      <c r="L101" s="101">
        <f t="shared" si="25"/>
        <v>2030</v>
      </c>
      <c r="M101" s="76">
        <f t="shared" si="22"/>
        <v>47757</v>
      </c>
      <c r="N101" s="77">
        <v>56.271500000000003</v>
      </c>
      <c r="O101" s="77">
        <v>58.564399999999999</v>
      </c>
      <c r="P101" s="77">
        <v>59.162399999999998</v>
      </c>
      <c r="Q101" s="78">
        <v>65.990700000000004</v>
      </c>
      <c r="S101" s="98">
        <v>61.678654838709676</v>
      </c>
      <c r="T101" s="100">
        <f t="shared" si="26"/>
        <v>0.94950838589373443</v>
      </c>
      <c r="U101" s="100">
        <f t="shared" si="27"/>
        <v>1.0699114656855986</v>
      </c>
      <c r="AD101" s="154" t="str">
        <f t="shared" si="17"/>
        <v>Winter</v>
      </c>
      <c r="AE101">
        <f t="shared" si="18"/>
        <v>4</v>
      </c>
      <c r="AF101" s="152">
        <v>45748</v>
      </c>
      <c r="AG101" s="153">
        <v>416</v>
      </c>
      <c r="AH101" s="153">
        <v>304</v>
      </c>
      <c r="AI101">
        <f t="shared" si="19"/>
        <v>26</v>
      </c>
      <c r="AJ101">
        <f t="shared" si="20"/>
        <v>4</v>
      </c>
    </row>
    <row r="102" spans="2:36" x14ac:dyDescent="0.2">
      <c r="B102" s="80">
        <f t="shared" si="23"/>
        <v>47788</v>
      </c>
      <c r="C102" s="73">
        <v>6.1427715816688639</v>
      </c>
      <c r="D102" s="73">
        <v>5.8461648048694785</v>
      </c>
      <c r="E102" s="81">
        <f t="shared" si="21"/>
        <v>2030</v>
      </c>
      <c r="K102">
        <f t="shared" si="24"/>
        <v>11</v>
      </c>
      <c r="L102" s="101">
        <f t="shared" si="25"/>
        <v>2030</v>
      </c>
      <c r="M102" s="76">
        <f t="shared" si="22"/>
        <v>47788</v>
      </c>
      <c r="N102" s="77">
        <v>68.071399999999997</v>
      </c>
      <c r="O102" s="77">
        <v>68.538899999999998</v>
      </c>
      <c r="P102" s="77">
        <v>62.344099999999997</v>
      </c>
      <c r="Q102" s="78">
        <v>66.536900000000003</v>
      </c>
      <c r="S102" s="98">
        <v>67.647579611650485</v>
      </c>
      <c r="T102" s="100">
        <f t="shared" si="26"/>
        <v>1.0131759390870505</v>
      </c>
      <c r="U102" s="100">
        <f t="shared" si="27"/>
        <v>0.98358138431520181</v>
      </c>
      <c r="AD102" s="154" t="str">
        <f t="shared" si="17"/>
        <v>Winter</v>
      </c>
      <c r="AE102">
        <f t="shared" si="18"/>
        <v>5</v>
      </c>
      <c r="AF102" s="152">
        <v>45778</v>
      </c>
      <c r="AG102" s="153">
        <v>416</v>
      </c>
      <c r="AH102" s="153">
        <v>328</v>
      </c>
      <c r="AI102">
        <f t="shared" si="19"/>
        <v>26</v>
      </c>
      <c r="AJ102">
        <f t="shared" si="20"/>
        <v>5</v>
      </c>
    </row>
    <row r="103" spans="2:36" x14ac:dyDescent="0.2">
      <c r="B103" s="82">
        <f t="shared" si="23"/>
        <v>47818</v>
      </c>
      <c r="C103" s="83">
        <v>6.1568646567981347</v>
      </c>
      <c r="D103" s="83">
        <v>6.1383141805574555</v>
      </c>
      <c r="E103" s="84">
        <f t="shared" si="21"/>
        <v>2030</v>
      </c>
      <c r="K103">
        <f t="shared" si="24"/>
        <v>12</v>
      </c>
      <c r="L103" s="101">
        <f t="shared" si="25"/>
        <v>2030</v>
      </c>
      <c r="M103" s="85">
        <f t="shared" si="22"/>
        <v>47818</v>
      </c>
      <c r="N103" s="86">
        <v>70.811199999999999</v>
      </c>
      <c r="O103" s="86">
        <v>68.320400000000006</v>
      </c>
      <c r="P103" s="86">
        <v>72.672799999999995</v>
      </c>
      <c r="Q103" s="87">
        <v>75.207599999999999</v>
      </c>
      <c r="S103" s="98">
        <v>71.504804301075268</v>
      </c>
      <c r="T103" s="100">
        <f t="shared" si="26"/>
        <v>0.95546586929086419</v>
      </c>
      <c r="U103" s="100">
        <f t="shared" si="27"/>
        <v>1.0517838729175999</v>
      </c>
      <c r="AD103" s="154" t="str">
        <f t="shared" si="17"/>
        <v>Summer</v>
      </c>
      <c r="AE103">
        <f t="shared" si="18"/>
        <v>6</v>
      </c>
      <c r="AF103" s="152">
        <v>45809</v>
      </c>
      <c r="AG103" s="153">
        <v>400</v>
      </c>
      <c r="AH103" s="153">
        <v>320</v>
      </c>
      <c r="AI103">
        <f t="shared" si="19"/>
        <v>25</v>
      </c>
      <c r="AJ103">
        <f t="shared" si="20"/>
        <v>5</v>
      </c>
    </row>
    <row r="104" spans="2:36" x14ac:dyDescent="0.2">
      <c r="B104" s="206">
        <f t="shared" si="23"/>
        <v>47849</v>
      </c>
      <c r="C104" s="73">
        <v>6.3133079296360135</v>
      </c>
      <c r="D104" s="73">
        <v>6.5231518551609726</v>
      </c>
      <c r="E104" s="205">
        <f t="shared" si="21"/>
        <v>2031</v>
      </c>
      <c r="K104">
        <f t="shared" si="24"/>
        <v>1</v>
      </c>
      <c r="L104" s="101">
        <f t="shared" si="25"/>
        <v>2031</v>
      </c>
      <c r="M104" s="76">
        <f t="shared" si="22"/>
        <v>47849</v>
      </c>
      <c r="N104" s="204">
        <v>62.8538</v>
      </c>
      <c r="O104" s="204">
        <v>60.516199999999998</v>
      </c>
      <c r="P104" s="204">
        <v>57.243899999999996</v>
      </c>
      <c r="Q104" s="203">
        <v>63.533499999999997</v>
      </c>
      <c r="S104" s="98">
        <v>61.84640752688172</v>
      </c>
      <c r="T104" s="100">
        <f t="shared" si="26"/>
        <v>0.97849175756403406</v>
      </c>
      <c r="U104" s="100">
        <f t="shared" si="27"/>
        <v>1.027278746504152</v>
      </c>
      <c r="AD104" s="154" t="str">
        <f t="shared" si="17"/>
        <v>Summer</v>
      </c>
      <c r="AE104">
        <f t="shared" si="18"/>
        <v>7</v>
      </c>
      <c r="AF104" s="152">
        <v>45839</v>
      </c>
      <c r="AG104" s="153">
        <v>416</v>
      </c>
      <c r="AH104" s="153">
        <v>328</v>
      </c>
      <c r="AI104">
        <f t="shared" si="19"/>
        <v>26</v>
      </c>
      <c r="AJ104">
        <f t="shared" si="20"/>
        <v>5</v>
      </c>
    </row>
    <row r="105" spans="2:36" x14ac:dyDescent="0.2">
      <c r="B105" s="80">
        <f t="shared" si="23"/>
        <v>47880</v>
      </c>
      <c r="C105" s="73">
        <v>6.5987180482611789</v>
      </c>
      <c r="D105" s="73">
        <v>6.5300387511139135</v>
      </c>
      <c r="E105" s="81">
        <f t="shared" si="21"/>
        <v>2031</v>
      </c>
      <c r="K105">
        <f t="shared" si="24"/>
        <v>2</v>
      </c>
      <c r="L105" s="101">
        <f t="shared" si="25"/>
        <v>2031</v>
      </c>
      <c r="M105" s="76">
        <f t="shared" si="22"/>
        <v>47880</v>
      </c>
      <c r="N105" s="77">
        <v>78.130200000000002</v>
      </c>
      <c r="O105" s="77">
        <v>73.259500000000003</v>
      </c>
      <c r="P105" s="77">
        <v>65.288899999999998</v>
      </c>
      <c r="Q105" s="78">
        <v>68.654200000000003</v>
      </c>
      <c r="S105" s="98">
        <v>71.285799999999995</v>
      </c>
      <c r="T105" s="100">
        <f t="shared" si="26"/>
        <v>1.0276871410575459</v>
      </c>
      <c r="U105" s="100">
        <f t="shared" si="27"/>
        <v>0.9630838119232723</v>
      </c>
      <c r="AD105" s="154" t="str">
        <f t="shared" si="17"/>
        <v>Summer</v>
      </c>
      <c r="AE105">
        <f t="shared" si="18"/>
        <v>8</v>
      </c>
      <c r="AF105" s="152">
        <v>45870</v>
      </c>
      <c r="AG105" s="153">
        <v>416</v>
      </c>
      <c r="AH105" s="153">
        <v>328</v>
      </c>
      <c r="AI105">
        <f t="shared" si="19"/>
        <v>26</v>
      </c>
      <c r="AJ105">
        <f t="shared" si="20"/>
        <v>5</v>
      </c>
    </row>
    <row r="106" spans="2:36" x14ac:dyDescent="0.2">
      <c r="B106" s="80">
        <f t="shared" si="23"/>
        <v>47908</v>
      </c>
      <c r="C106" s="73">
        <v>5.2455800577917477</v>
      </c>
      <c r="D106" s="73">
        <v>5.995398144240756</v>
      </c>
      <c r="E106" s="81">
        <f t="shared" si="21"/>
        <v>2031</v>
      </c>
      <c r="K106">
        <f t="shared" si="24"/>
        <v>3</v>
      </c>
      <c r="L106" s="101">
        <f t="shared" si="25"/>
        <v>2031</v>
      </c>
      <c r="M106" s="76">
        <f t="shared" si="22"/>
        <v>47908</v>
      </c>
      <c r="N106" s="77">
        <v>45.489899999999999</v>
      </c>
      <c r="O106" s="77">
        <v>43.1295</v>
      </c>
      <c r="P106" s="77">
        <v>48.117100000000001</v>
      </c>
      <c r="Q106" s="78">
        <v>50.750900000000001</v>
      </c>
      <c r="S106" s="98">
        <v>46.483736608344557</v>
      </c>
      <c r="T106" s="100">
        <f t="shared" si="26"/>
        <v>0.92784064162900326</v>
      </c>
      <c r="U106" s="100">
        <f t="shared" si="27"/>
        <v>1.0917990614138671</v>
      </c>
      <c r="AD106" s="154" t="str">
        <f t="shared" si="17"/>
        <v>Summer</v>
      </c>
      <c r="AE106">
        <f t="shared" si="18"/>
        <v>9</v>
      </c>
      <c r="AF106" s="152">
        <v>45901</v>
      </c>
      <c r="AG106" s="153">
        <v>400</v>
      </c>
      <c r="AH106" s="153">
        <v>320</v>
      </c>
      <c r="AI106">
        <f t="shared" si="19"/>
        <v>25</v>
      </c>
      <c r="AJ106">
        <f t="shared" si="20"/>
        <v>5</v>
      </c>
    </row>
    <row r="107" spans="2:36" x14ac:dyDescent="0.2">
      <c r="B107" s="80">
        <f t="shared" si="23"/>
        <v>47939</v>
      </c>
      <c r="C107" s="73">
        <v>4.9865310868903983</v>
      </c>
      <c r="D107" s="73">
        <v>5.1621355151073072</v>
      </c>
      <c r="E107" s="81">
        <f t="shared" si="21"/>
        <v>2031</v>
      </c>
      <c r="K107">
        <f t="shared" si="24"/>
        <v>4</v>
      </c>
      <c r="L107" s="101">
        <f t="shared" si="25"/>
        <v>2031</v>
      </c>
      <c r="M107" s="76">
        <f t="shared" si="22"/>
        <v>47939</v>
      </c>
      <c r="N107" s="77">
        <v>32.629899999999999</v>
      </c>
      <c r="O107" s="77">
        <v>32.798699999999997</v>
      </c>
      <c r="P107" s="77">
        <v>39.182899999999997</v>
      </c>
      <c r="Q107" s="78">
        <v>45.282899999999998</v>
      </c>
      <c r="S107" s="98">
        <v>38.069806666666665</v>
      </c>
      <c r="T107" s="100">
        <f t="shared" si="26"/>
        <v>0.86154101824525497</v>
      </c>
      <c r="U107" s="100">
        <f t="shared" si="27"/>
        <v>1.1894701855591245</v>
      </c>
      <c r="AD107" s="154" t="str">
        <f t="shared" si="17"/>
        <v>Winter</v>
      </c>
      <c r="AE107">
        <f t="shared" si="18"/>
        <v>10</v>
      </c>
      <c r="AF107" s="152">
        <v>45931</v>
      </c>
      <c r="AG107" s="153">
        <v>432</v>
      </c>
      <c r="AH107" s="153">
        <v>312</v>
      </c>
      <c r="AI107">
        <f t="shared" si="19"/>
        <v>27</v>
      </c>
      <c r="AJ107">
        <f t="shared" si="20"/>
        <v>4</v>
      </c>
    </row>
    <row r="108" spans="2:36" x14ac:dyDescent="0.2">
      <c r="B108" s="80">
        <f t="shared" si="23"/>
        <v>47969</v>
      </c>
      <c r="C108" s="73">
        <v>4.966151891919294</v>
      </c>
      <c r="D108" s="73">
        <v>4.9676972120749872</v>
      </c>
      <c r="E108" s="81">
        <f t="shared" si="21"/>
        <v>2031</v>
      </c>
      <c r="K108">
        <f t="shared" si="24"/>
        <v>5</v>
      </c>
      <c r="L108" s="101">
        <f t="shared" si="25"/>
        <v>2031</v>
      </c>
      <c r="M108" s="76">
        <f t="shared" si="22"/>
        <v>47969</v>
      </c>
      <c r="N108" s="77">
        <v>18.2361</v>
      </c>
      <c r="O108" s="77">
        <v>24.479099999999999</v>
      </c>
      <c r="P108" s="77">
        <v>26.445799999999998</v>
      </c>
      <c r="Q108" s="78">
        <v>40.833300000000001</v>
      </c>
      <c r="S108" s="98">
        <v>31.689016129032257</v>
      </c>
      <c r="T108" s="100">
        <f t="shared" si="26"/>
        <v>0.77247901608321601</v>
      </c>
      <c r="U108" s="100">
        <f t="shared" si="27"/>
        <v>1.2885631991139701</v>
      </c>
      <c r="AD108" s="154" t="str">
        <f t="shared" si="17"/>
        <v>Winter</v>
      </c>
      <c r="AE108">
        <f t="shared" si="18"/>
        <v>11</v>
      </c>
      <c r="AF108" s="152">
        <v>45962</v>
      </c>
      <c r="AG108" s="153">
        <v>384</v>
      </c>
      <c r="AH108" s="153">
        <v>336</v>
      </c>
      <c r="AI108">
        <f t="shared" si="19"/>
        <v>24</v>
      </c>
      <c r="AJ108">
        <f t="shared" si="20"/>
        <v>6</v>
      </c>
    </row>
    <row r="109" spans="2:36" x14ac:dyDescent="0.2">
      <c r="B109" s="80">
        <f t="shared" si="23"/>
        <v>48000</v>
      </c>
      <c r="C109" s="73">
        <v>4.9604741062557034</v>
      </c>
      <c r="D109" s="73">
        <v>4.9885132434515507</v>
      </c>
      <c r="E109" s="81">
        <f t="shared" si="21"/>
        <v>2031</v>
      </c>
      <c r="K109">
        <f t="shared" si="24"/>
        <v>6</v>
      </c>
      <c r="L109" s="101">
        <f t="shared" si="25"/>
        <v>2031</v>
      </c>
      <c r="M109" s="76">
        <f t="shared" si="22"/>
        <v>48000</v>
      </c>
      <c r="N109" s="77">
        <v>28.439699999999998</v>
      </c>
      <c r="O109" s="77">
        <v>39.5642</v>
      </c>
      <c r="P109" s="77">
        <v>36.566600000000001</v>
      </c>
      <c r="Q109" s="78">
        <v>51.324399999999997</v>
      </c>
      <c r="S109" s="98">
        <v>44.790955555555556</v>
      </c>
      <c r="T109" s="100">
        <f t="shared" si="26"/>
        <v>0.88330779080895794</v>
      </c>
      <c r="U109" s="100">
        <f t="shared" si="27"/>
        <v>1.1458652614888025</v>
      </c>
      <c r="AD109" s="154" t="str">
        <f t="shared" si="17"/>
        <v>Winter</v>
      </c>
      <c r="AE109">
        <f t="shared" si="18"/>
        <v>12</v>
      </c>
      <c r="AF109" s="152">
        <v>45992</v>
      </c>
      <c r="AG109" s="153">
        <v>416</v>
      </c>
      <c r="AH109" s="153">
        <v>328</v>
      </c>
      <c r="AI109">
        <f t="shared" si="19"/>
        <v>26</v>
      </c>
      <c r="AJ109">
        <f t="shared" si="20"/>
        <v>5</v>
      </c>
    </row>
    <row r="110" spans="2:36" x14ac:dyDescent="0.2">
      <c r="B110" s="80">
        <f t="shared" si="23"/>
        <v>48030</v>
      </c>
      <c r="C110" s="73">
        <v>5.2759967667038428</v>
      </c>
      <c r="D110" s="73">
        <v>5.1690741922328289</v>
      </c>
      <c r="E110" s="81">
        <f t="shared" si="21"/>
        <v>2031</v>
      </c>
      <c r="K110">
        <f t="shared" si="24"/>
        <v>7</v>
      </c>
      <c r="L110" s="101">
        <f t="shared" si="25"/>
        <v>2031</v>
      </c>
      <c r="M110" s="76">
        <f t="shared" si="22"/>
        <v>48030</v>
      </c>
      <c r="N110" s="77">
        <v>70.116699999999994</v>
      </c>
      <c r="O110" s="77">
        <v>79.3018</v>
      </c>
      <c r="P110" s="77">
        <v>57.701999999999998</v>
      </c>
      <c r="Q110" s="78">
        <v>77.045299999999997</v>
      </c>
      <c r="S110" s="98">
        <v>78.306998924731175</v>
      </c>
      <c r="T110" s="100">
        <f t="shared" si="26"/>
        <v>1.0127038590282975</v>
      </c>
      <c r="U110" s="100">
        <f t="shared" si="27"/>
        <v>0.98388778854947656</v>
      </c>
      <c r="AD110" s="154" t="str">
        <f t="shared" si="17"/>
        <v>Winter</v>
      </c>
      <c r="AE110">
        <f t="shared" si="18"/>
        <v>1</v>
      </c>
      <c r="AF110" s="152">
        <v>46023</v>
      </c>
      <c r="AG110" s="153">
        <v>416</v>
      </c>
      <c r="AH110" s="153">
        <v>328</v>
      </c>
      <c r="AI110">
        <f t="shared" si="19"/>
        <v>26</v>
      </c>
      <c r="AJ110">
        <f t="shared" si="20"/>
        <v>5</v>
      </c>
    </row>
    <row r="111" spans="2:36" x14ac:dyDescent="0.2">
      <c r="B111" s="80">
        <f t="shared" si="23"/>
        <v>48061</v>
      </c>
      <c r="C111" s="73">
        <v>5.8811878850248407</v>
      </c>
      <c r="D111" s="73">
        <v>5.7870824869573951</v>
      </c>
      <c r="E111" s="81">
        <f t="shared" si="21"/>
        <v>2031</v>
      </c>
      <c r="K111">
        <f t="shared" si="24"/>
        <v>8</v>
      </c>
      <c r="L111" s="101">
        <f t="shared" si="25"/>
        <v>2031</v>
      </c>
      <c r="M111" s="76">
        <f t="shared" si="22"/>
        <v>48061</v>
      </c>
      <c r="N111" s="77">
        <v>86.473200000000006</v>
      </c>
      <c r="O111" s="77">
        <v>94.178299999999993</v>
      </c>
      <c r="P111" s="77">
        <v>68.503100000000003</v>
      </c>
      <c r="Q111" s="78">
        <v>83.714500000000001</v>
      </c>
      <c r="S111" s="98">
        <v>89.56522688172042</v>
      </c>
      <c r="T111" s="100">
        <f t="shared" si="26"/>
        <v>1.0515051798436417</v>
      </c>
      <c r="U111" s="100">
        <f t="shared" si="27"/>
        <v>0.93467635727147913</v>
      </c>
      <c r="AD111" s="154" t="str">
        <f t="shared" si="17"/>
        <v>Winter</v>
      </c>
      <c r="AE111">
        <f t="shared" si="18"/>
        <v>2</v>
      </c>
      <c r="AF111" s="152">
        <v>46054</v>
      </c>
      <c r="AG111" s="153">
        <v>384</v>
      </c>
      <c r="AH111" s="153">
        <v>288</v>
      </c>
      <c r="AI111">
        <f t="shared" si="19"/>
        <v>24</v>
      </c>
      <c r="AJ111">
        <f t="shared" si="20"/>
        <v>4</v>
      </c>
    </row>
    <row r="112" spans="2:36" x14ac:dyDescent="0.2">
      <c r="B112" s="80">
        <f t="shared" si="23"/>
        <v>48092</v>
      </c>
      <c r="C112" s="73">
        <v>5.9272185045118126</v>
      </c>
      <c r="D112" s="73">
        <v>6.1412139262218526</v>
      </c>
      <c r="E112" s="81">
        <f t="shared" si="21"/>
        <v>2031</v>
      </c>
      <c r="K112">
        <f t="shared" si="24"/>
        <v>9</v>
      </c>
      <c r="L112" s="101">
        <f t="shared" si="25"/>
        <v>2031</v>
      </c>
      <c r="M112" s="76">
        <f t="shared" si="22"/>
        <v>48092</v>
      </c>
      <c r="N112" s="77">
        <v>77.552000000000007</v>
      </c>
      <c r="O112" s="77">
        <v>85.648899999999998</v>
      </c>
      <c r="P112" s="77">
        <v>65.750200000000007</v>
      </c>
      <c r="Q112" s="78">
        <v>79.834900000000005</v>
      </c>
      <c r="S112" s="98">
        <v>83.064899999999994</v>
      </c>
      <c r="T112" s="100">
        <f t="shared" si="26"/>
        <v>1.0311082057523695</v>
      </c>
      <c r="U112" s="100">
        <f t="shared" si="27"/>
        <v>0.96111474280953824</v>
      </c>
      <c r="AD112" s="154" t="str">
        <f t="shared" si="17"/>
        <v>Winter</v>
      </c>
      <c r="AE112">
        <f t="shared" si="18"/>
        <v>3</v>
      </c>
      <c r="AF112" s="152">
        <v>46082</v>
      </c>
      <c r="AG112" s="153">
        <v>416</v>
      </c>
      <c r="AH112" s="153">
        <v>328</v>
      </c>
      <c r="AI112">
        <f t="shared" si="19"/>
        <v>26</v>
      </c>
      <c r="AJ112">
        <f t="shared" si="20"/>
        <v>5</v>
      </c>
    </row>
    <row r="113" spans="2:36" x14ac:dyDescent="0.2">
      <c r="B113" s="80">
        <f t="shared" si="23"/>
        <v>48122</v>
      </c>
      <c r="C113" s="73">
        <v>6.1367896289161514</v>
      </c>
      <c r="D113" s="73">
        <v>6.1828459889749769</v>
      </c>
      <c r="E113" s="81">
        <f t="shared" si="21"/>
        <v>2031</v>
      </c>
      <c r="K113">
        <f t="shared" si="24"/>
        <v>10</v>
      </c>
      <c r="L113" s="101">
        <f t="shared" si="25"/>
        <v>2031</v>
      </c>
      <c r="M113" s="76">
        <f t="shared" si="22"/>
        <v>48122</v>
      </c>
      <c r="N113" s="77">
        <v>53.937199999999997</v>
      </c>
      <c r="O113" s="77">
        <v>56.916499999999999</v>
      </c>
      <c r="P113" s="77">
        <v>59.722200000000001</v>
      </c>
      <c r="Q113" s="78">
        <v>69.404499999999999</v>
      </c>
      <c r="S113" s="98">
        <v>62.15340322580645</v>
      </c>
      <c r="T113" s="100">
        <f t="shared" si="26"/>
        <v>0.91574229319703515</v>
      </c>
      <c r="U113" s="100">
        <f t="shared" si="27"/>
        <v>1.1166645171117975</v>
      </c>
      <c r="AD113" s="154" t="str">
        <f t="shared" si="17"/>
        <v>Winter</v>
      </c>
      <c r="AE113">
        <f t="shared" si="18"/>
        <v>4</v>
      </c>
      <c r="AF113" s="152">
        <v>46113</v>
      </c>
      <c r="AG113" s="153">
        <v>416</v>
      </c>
      <c r="AH113" s="153">
        <v>304</v>
      </c>
      <c r="AI113">
        <f t="shared" si="19"/>
        <v>26</v>
      </c>
      <c r="AJ113">
        <f t="shared" si="20"/>
        <v>4</v>
      </c>
    </row>
    <row r="114" spans="2:36" x14ac:dyDescent="0.2">
      <c r="B114" s="80">
        <f t="shared" si="23"/>
        <v>48153</v>
      </c>
      <c r="C114" s="73">
        <v>6.5293679519415999</v>
      </c>
      <c r="D114" s="73">
        <v>6.3495295835052143</v>
      </c>
      <c r="E114" s="81">
        <f t="shared" si="21"/>
        <v>2031</v>
      </c>
      <c r="K114">
        <f t="shared" si="24"/>
        <v>11</v>
      </c>
      <c r="L114" s="101">
        <f t="shared" si="25"/>
        <v>2031</v>
      </c>
      <c r="M114" s="76">
        <f t="shared" si="22"/>
        <v>48153</v>
      </c>
      <c r="N114" s="77">
        <v>73.534300000000002</v>
      </c>
      <c r="O114" s="77">
        <v>73.858000000000004</v>
      </c>
      <c r="P114" s="77">
        <v>66.360600000000005</v>
      </c>
      <c r="Q114" s="78">
        <v>72.9773</v>
      </c>
      <c r="S114" s="98">
        <v>73.446355201109569</v>
      </c>
      <c r="T114" s="100">
        <f t="shared" si="26"/>
        <v>1.0056047001619519</v>
      </c>
      <c r="U114" s="100">
        <f t="shared" si="27"/>
        <v>0.99361363542377001</v>
      </c>
      <c r="AD114" s="154" t="str">
        <f t="shared" si="17"/>
        <v>Winter</v>
      </c>
      <c r="AE114">
        <f t="shared" si="18"/>
        <v>5</v>
      </c>
      <c r="AF114" s="152">
        <v>46143</v>
      </c>
      <c r="AG114" s="153">
        <v>400</v>
      </c>
      <c r="AH114" s="153">
        <v>344</v>
      </c>
      <c r="AI114">
        <f t="shared" si="19"/>
        <v>25</v>
      </c>
      <c r="AJ114">
        <f t="shared" si="20"/>
        <v>6</v>
      </c>
    </row>
    <row r="115" spans="2:36" x14ac:dyDescent="0.2">
      <c r="B115" s="82">
        <f t="shared" si="23"/>
        <v>48183</v>
      </c>
      <c r="C115" s="83">
        <v>6.5799610777653861</v>
      </c>
      <c r="D115" s="83">
        <v>6.6411611474674057</v>
      </c>
      <c r="E115" s="84">
        <f t="shared" si="21"/>
        <v>2031</v>
      </c>
      <c r="K115">
        <f t="shared" si="24"/>
        <v>12</v>
      </c>
      <c r="L115" s="101">
        <f t="shared" si="25"/>
        <v>2031</v>
      </c>
      <c r="M115" s="85">
        <f t="shared" si="22"/>
        <v>48183</v>
      </c>
      <c r="N115" s="86">
        <v>75.490799999999993</v>
      </c>
      <c r="O115" s="86">
        <v>72.361500000000007</v>
      </c>
      <c r="P115" s="86">
        <v>69.634100000000004</v>
      </c>
      <c r="Q115" s="87">
        <v>74.820300000000003</v>
      </c>
      <c r="S115" s="98">
        <v>73.445487096774201</v>
      </c>
      <c r="T115" s="100">
        <f t="shared" si="26"/>
        <v>0.98524092984302902</v>
      </c>
      <c r="U115" s="100">
        <f t="shared" si="27"/>
        <v>1.0187188206868898</v>
      </c>
      <c r="AD115" s="154" t="str">
        <f t="shared" si="17"/>
        <v>Summer</v>
      </c>
      <c r="AE115">
        <f t="shared" si="18"/>
        <v>6</v>
      </c>
      <c r="AF115" s="152">
        <v>46174</v>
      </c>
      <c r="AG115" s="153">
        <v>416</v>
      </c>
      <c r="AH115" s="153">
        <v>304</v>
      </c>
      <c r="AI115">
        <f t="shared" si="19"/>
        <v>26</v>
      </c>
      <c r="AJ115">
        <f t="shared" si="20"/>
        <v>4</v>
      </c>
    </row>
    <row r="116" spans="2:36" x14ac:dyDescent="0.2">
      <c r="B116" s="206">
        <f t="shared" si="23"/>
        <v>48214</v>
      </c>
      <c r="C116" s="73">
        <v>6.6623903589171656</v>
      </c>
      <c r="D116" s="73">
        <v>6.9573369872318125</v>
      </c>
      <c r="E116" s="205">
        <f t="shared" si="21"/>
        <v>2032</v>
      </c>
      <c r="K116">
        <f t="shared" si="24"/>
        <v>1</v>
      </c>
      <c r="L116" s="101">
        <f t="shared" si="25"/>
        <v>2032</v>
      </c>
      <c r="M116" s="76">
        <f t="shared" si="22"/>
        <v>48214</v>
      </c>
      <c r="N116" s="204">
        <v>61.837699999999998</v>
      </c>
      <c r="O116" s="204">
        <v>61.5351</v>
      </c>
      <c r="P116" s="204">
        <v>55.938499999999998</v>
      </c>
      <c r="Q116" s="203">
        <v>65.283500000000004</v>
      </c>
      <c r="S116" s="98">
        <v>63.187620430107536</v>
      </c>
      <c r="T116" s="100">
        <f t="shared" si="26"/>
        <v>0.97384740208827125</v>
      </c>
      <c r="U116" s="100">
        <f t="shared" si="27"/>
        <v>1.0331691485709726</v>
      </c>
      <c r="AD116" s="154" t="str">
        <f t="shared" si="17"/>
        <v>Summer</v>
      </c>
      <c r="AE116">
        <f t="shared" si="18"/>
        <v>7</v>
      </c>
      <c r="AF116" s="152">
        <v>46204</v>
      </c>
      <c r="AG116" s="153">
        <v>416</v>
      </c>
      <c r="AH116" s="153">
        <v>328</v>
      </c>
      <c r="AI116">
        <f t="shared" si="19"/>
        <v>26</v>
      </c>
      <c r="AJ116">
        <f t="shared" si="20"/>
        <v>5</v>
      </c>
    </row>
    <row r="117" spans="2:36" x14ac:dyDescent="0.2">
      <c r="B117" s="80">
        <f t="shared" si="23"/>
        <v>48245</v>
      </c>
      <c r="C117" s="73">
        <v>6.6857098357497726</v>
      </c>
      <c r="D117" s="73">
        <v>6.9219186651881088</v>
      </c>
      <c r="E117" s="81">
        <f t="shared" si="21"/>
        <v>2032</v>
      </c>
      <c r="K117">
        <f t="shared" si="24"/>
        <v>2</v>
      </c>
      <c r="L117" s="101">
        <f t="shared" si="25"/>
        <v>2032</v>
      </c>
      <c r="M117" s="76">
        <f t="shared" si="22"/>
        <v>48245</v>
      </c>
      <c r="N117" s="77">
        <v>70.519000000000005</v>
      </c>
      <c r="O117" s="77">
        <v>68.306700000000006</v>
      </c>
      <c r="P117" s="77">
        <v>63.642899999999997</v>
      </c>
      <c r="Q117" s="78">
        <v>68.300399999999996</v>
      </c>
      <c r="S117" s="98">
        <v>68.303875862068963</v>
      </c>
      <c r="T117" s="100">
        <f t="shared" si="26"/>
        <v>1.0000413466716991</v>
      </c>
      <c r="U117" s="100">
        <f t="shared" si="27"/>
        <v>0.99994911178867818</v>
      </c>
      <c r="AD117" s="154" t="str">
        <f t="shared" si="17"/>
        <v>Summer</v>
      </c>
      <c r="AE117">
        <f t="shared" si="18"/>
        <v>8</v>
      </c>
      <c r="AF117" s="152">
        <v>46235</v>
      </c>
      <c r="AG117" s="153">
        <v>416</v>
      </c>
      <c r="AH117" s="153">
        <v>328</v>
      </c>
      <c r="AI117">
        <f t="shared" si="19"/>
        <v>26</v>
      </c>
      <c r="AJ117">
        <f t="shared" si="20"/>
        <v>5</v>
      </c>
    </row>
    <row r="118" spans="2:36" x14ac:dyDescent="0.2">
      <c r="B118" s="80">
        <f t="shared" si="23"/>
        <v>48274</v>
      </c>
      <c r="C118" s="73">
        <v>5.6132166795092777</v>
      </c>
      <c r="D118" s="73">
        <v>6.4322241161131011</v>
      </c>
      <c r="E118" s="81">
        <f t="shared" si="21"/>
        <v>2032</v>
      </c>
      <c r="K118">
        <f t="shared" si="24"/>
        <v>3</v>
      </c>
      <c r="L118" s="101">
        <f t="shared" si="25"/>
        <v>2032</v>
      </c>
      <c r="M118" s="76">
        <f t="shared" si="22"/>
        <v>48274</v>
      </c>
      <c r="N118" s="77">
        <v>46.820500000000003</v>
      </c>
      <c r="O118" s="77">
        <v>47.141100000000002</v>
      </c>
      <c r="P118" s="77">
        <v>52.442</v>
      </c>
      <c r="Q118" s="78">
        <v>60.407499999999999</v>
      </c>
      <c r="S118" s="98">
        <v>52.694061507402424</v>
      </c>
      <c r="T118" s="100">
        <f t="shared" si="26"/>
        <v>0.89461883657189067</v>
      </c>
      <c r="U118" s="100">
        <f t="shared" si="27"/>
        <v>1.1463815517715217</v>
      </c>
      <c r="AD118" s="154" t="str">
        <f t="shared" si="17"/>
        <v>Summer</v>
      </c>
      <c r="AE118">
        <f t="shared" si="18"/>
        <v>9</v>
      </c>
      <c r="AF118" s="152">
        <v>46266</v>
      </c>
      <c r="AG118" s="153">
        <v>400</v>
      </c>
      <c r="AH118" s="153">
        <v>320</v>
      </c>
      <c r="AI118">
        <f t="shared" si="19"/>
        <v>25</v>
      </c>
      <c r="AJ118">
        <f t="shared" si="20"/>
        <v>5</v>
      </c>
    </row>
    <row r="119" spans="2:36" x14ac:dyDescent="0.2">
      <c r="B119" s="80">
        <f t="shared" si="23"/>
        <v>48305</v>
      </c>
      <c r="C119" s="73">
        <v>5.4081066724120452</v>
      </c>
      <c r="D119" s="73">
        <v>6.1696417899674563</v>
      </c>
      <c r="E119" s="81">
        <f t="shared" si="21"/>
        <v>2032</v>
      </c>
      <c r="K119">
        <f t="shared" si="24"/>
        <v>4</v>
      </c>
      <c r="L119" s="101">
        <f t="shared" si="25"/>
        <v>2032</v>
      </c>
      <c r="M119" s="76">
        <f t="shared" si="22"/>
        <v>48305</v>
      </c>
      <c r="N119" s="77">
        <v>29.778300000000002</v>
      </c>
      <c r="O119" s="77">
        <v>32.392600000000002</v>
      </c>
      <c r="P119" s="77">
        <v>39.721600000000002</v>
      </c>
      <c r="Q119" s="78">
        <v>48.35</v>
      </c>
      <c r="S119" s="98">
        <v>39.130168888888889</v>
      </c>
      <c r="T119" s="100">
        <f t="shared" si="26"/>
        <v>0.82781651395320099</v>
      </c>
      <c r="U119" s="100">
        <f t="shared" si="27"/>
        <v>1.2356195072219356</v>
      </c>
      <c r="AD119" s="154" t="str">
        <f t="shared" si="17"/>
        <v>Winter</v>
      </c>
      <c r="AE119">
        <f t="shared" si="18"/>
        <v>10</v>
      </c>
      <c r="AF119" s="152">
        <v>46296</v>
      </c>
      <c r="AG119" s="153">
        <v>432</v>
      </c>
      <c r="AH119" s="153">
        <v>312</v>
      </c>
      <c r="AI119">
        <f t="shared" si="19"/>
        <v>27</v>
      </c>
      <c r="AJ119">
        <f t="shared" si="20"/>
        <v>4</v>
      </c>
    </row>
    <row r="120" spans="2:36" x14ac:dyDescent="0.2">
      <c r="B120" s="80">
        <f t="shared" si="23"/>
        <v>48335</v>
      </c>
      <c r="C120" s="73">
        <v>5.3465635313799051</v>
      </c>
      <c r="D120" s="73">
        <v>5.6587169601352576</v>
      </c>
      <c r="E120" s="81">
        <f t="shared" si="21"/>
        <v>2032</v>
      </c>
      <c r="K120">
        <f t="shared" si="24"/>
        <v>5</v>
      </c>
      <c r="L120" s="101">
        <f t="shared" si="25"/>
        <v>2032</v>
      </c>
      <c r="M120" s="76">
        <f t="shared" si="22"/>
        <v>48335</v>
      </c>
      <c r="N120" s="77">
        <v>14.8278</v>
      </c>
      <c r="O120" s="77">
        <v>25.058</v>
      </c>
      <c r="P120" s="77">
        <v>24.686</v>
      </c>
      <c r="Q120" s="78">
        <v>38.752099999999999</v>
      </c>
      <c r="S120" s="98">
        <v>31.389680645161288</v>
      </c>
      <c r="T120" s="100">
        <f t="shared" si="26"/>
        <v>0.79828782851483659</v>
      </c>
      <c r="U120" s="100">
        <f t="shared" si="27"/>
        <v>1.2345490366106553</v>
      </c>
      <c r="AD120" s="154" t="str">
        <f t="shared" si="17"/>
        <v>Winter</v>
      </c>
      <c r="AE120">
        <f t="shared" si="18"/>
        <v>11</v>
      </c>
      <c r="AF120" s="152">
        <v>46327</v>
      </c>
      <c r="AG120" s="153">
        <v>384</v>
      </c>
      <c r="AH120" s="153">
        <v>336</v>
      </c>
      <c r="AI120">
        <f t="shared" si="19"/>
        <v>24</v>
      </c>
      <c r="AJ120">
        <f t="shared" si="20"/>
        <v>6</v>
      </c>
    </row>
    <row r="121" spans="2:36" x14ac:dyDescent="0.2">
      <c r="B121" s="80">
        <f t="shared" si="23"/>
        <v>48366</v>
      </c>
      <c r="C121" s="73">
        <v>5.3945205424313087</v>
      </c>
      <c r="D121" s="73">
        <v>5.5948189931733712</v>
      </c>
      <c r="E121" s="81">
        <f t="shared" si="21"/>
        <v>2032</v>
      </c>
      <c r="K121">
        <f t="shared" si="24"/>
        <v>6</v>
      </c>
      <c r="L121" s="101">
        <f t="shared" si="25"/>
        <v>2032</v>
      </c>
      <c r="M121" s="76">
        <f t="shared" si="22"/>
        <v>48366</v>
      </c>
      <c r="N121" s="77">
        <v>26.744800000000001</v>
      </c>
      <c r="O121" s="77">
        <v>38.706200000000003</v>
      </c>
      <c r="P121" s="77">
        <v>36.76</v>
      </c>
      <c r="Q121" s="78">
        <v>50.261200000000002</v>
      </c>
      <c r="S121" s="98">
        <v>43.58497777777778</v>
      </c>
      <c r="T121" s="100">
        <f t="shared" si="26"/>
        <v>0.8880628595785296</v>
      </c>
      <c r="U121" s="100">
        <f t="shared" si="27"/>
        <v>1.1531771395241173</v>
      </c>
      <c r="AD121" s="154" t="str">
        <f t="shared" si="17"/>
        <v>Winter</v>
      </c>
      <c r="AE121">
        <f t="shared" si="18"/>
        <v>12</v>
      </c>
      <c r="AF121" s="152">
        <v>46357</v>
      </c>
      <c r="AG121" s="153">
        <v>416</v>
      </c>
      <c r="AH121" s="153">
        <v>328</v>
      </c>
      <c r="AI121">
        <f t="shared" si="19"/>
        <v>26</v>
      </c>
      <c r="AJ121">
        <f t="shared" si="20"/>
        <v>5</v>
      </c>
    </row>
    <row r="122" spans="2:36" x14ac:dyDescent="0.2">
      <c r="B122" s="80">
        <f t="shared" si="23"/>
        <v>48396</v>
      </c>
      <c r="C122" s="73">
        <v>5.5744860701612087</v>
      </c>
      <c r="D122" s="73">
        <v>5.6729050014217712</v>
      </c>
      <c r="E122" s="81">
        <f t="shared" si="21"/>
        <v>2032</v>
      </c>
      <c r="K122">
        <f t="shared" si="24"/>
        <v>7</v>
      </c>
      <c r="L122" s="101">
        <f t="shared" si="25"/>
        <v>2032</v>
      </c>
      <c r="M122" s="76">
        <f t="shared" si="22"/>
        <v>48396</v>
      </c>
      <c r="N122" s="77">
        <v>61.381700000000002</v>
      </c>
      <c r="O122" s="77">
        <v>75.406300000000002</v>
      </c>
      <c r="P122" s="77">
        <v>60.232999999999997</v>
      </c>
      <c r="Q122" s="78">
        <v>84.147900000000007</v>
      </c>
      <c r="S122" s="98">
        <v>79.260123655913986</v>
      </c>
      <c r="T122" s="100">
        <f t="shared" si="26"/>
        <v>0.95137752153094912</v>
      </c>
      <c r="U122" s="100">
        <f t="shared" si="27"/>
        <v>1.0616675336680643</v>
      </c>
      <c r="AD122" s="154" t="str">
        <f t="shared" si="17"/>
        <v>Winter</v>
      </c>
      <c r="AE122">
        <f t="shared" si="18"/>
        <v>1</v>
      </c>
      <c r="AF122" s="152">
        <v>46388</v>
      </c>
      <c r="AG122" s="153">
        <v>400</v>
      </c>
      <c r="AH122" s="153">
        <v>344</v>
      </c>
      <c r="AI122">
        <f t="shared" si="19"/>
        <v>25</v>
      </c>
      <c r="AJ122">
        <f t="shared" si="20"/>
        <v>6</v>
      </c>
    </row>
    <row r="123" spans="2:36" x14ac:dyDescent="0.2">
      <c r="B123" s="80">
        <f t="shared" si="23"/>
        <v>48427</v>
      </c>
      <c r="C123" s="73">
        <v>5.9833880269694824</v>
      </c>
      <c r="D123" s="73">
        <v>5.8290252367459905</v>
      </c>
      <c r="E123" s="81">
        <f t="shared" si="21"/>
        <v>2032</v>
      </c>
      <c r="K123">
        <f t="shared" si="24"/>
        <v>8</v>
      </c>
      <c r="L123" s="101">
        <f t="shared" si="25"/>
        <v>2032</v>
      </c>
      <c r="M123" s="76">
        <f t="shared" si="22"/>
        <v>48427</v>
      </c>
      <c r="N123" s="77">
        <v>84.150499999999994</v>
      </c>
      <c r="O123" s="77">
        <v>93.808400000000006</v>
      </c>
      <c r="P123" s="77">
        <v>65.892899999999997</v>
      </c>
      <c r="Q123" s="78">
        <v>85.229500000000002</v>
      </c>
      <c r="S123" s="98">
        <v>90.026304301075271</v>
      </c>
      <c r="T123" s="100">
        <f t="shared" si="26"/>
        <v>1.0420110069860944</v>
      </c>
      <c r="U123" s="100">
        <f t="shared" si="27"/>
        <v>0.94671774723714863</v>
      </c>
      <c r="AD123" s="154" t="str">
        <f t="shared" si="17"/>
        <v>Winter</v>
      </c>
      <c r="AE123">
        <f t="shared" si="18"/>
        <v>2</v>
      </c>
      <c r="AF123" s="152">
        <v>46419</v>
      </c>
      <c r="AG123" s="153">
        <v>384</v>
      </c>
      <c r="AH123" s="153">
        <v>288</v>
      </c>
      <c r="AI123">
        <f t="shared" si="19"/>
        <v>24</v>
      </c>
      <c r="AJ123">
        <f t="shared" si="20"/>
        <v>4</v>
      </c>
    </row>
    <row r="124" spans="2:36" x14ac:dyDescent="0.2">
      <c r="B124" s="80">
        <f t="shared" si="23"/>
        <v>48458</v>
      </c>
      <c r="C124" s="73">
        <v>5.9956560995640276</v>
      </c>
      <c r="D124" s="73">
        <v>5.9425295670380933</v>
      </c>
      <c r="E124" s="81">
        <f t="shared" si="21"/>
        <v>2032</v>
      </c>
      <c r="K124">
        <f t="shared" si="24"/>
        <v>9</v>
      </c>
      <c r="L124" s="101">
        <f t="shared" si="25"/>
        <v>2032</v>
      </c>
      <c r="M124" s="76">
        <f t="shared" si="22"/>
        <v>48458</v>
      </c>
      <c r="N124" s="77">
        <v>76.773799999999994</v>
      </c>
      <c r="O124" s="77">
        <v>83.849900000000005</v>
      </c>
      <c r="P124" s="77">
        <v>65.118099999999998</v>
      </c>
      <c r="Q124" s="78">
        <v>78.3005</v>
      </c>
      <c r="S124" s="98">
        <v>81.383500000000012</v>
      </c>
      <c r="T124" s="100">
        <f t="shared" si="26"/>
        <v>1.0303058973870625</v>
      </c>
      <c r="U124" s="100">
        <f t="shared" si="27"/>
        <v>0.96211762826617175</v>
      </c>
      <c r="AD124" s="154" t="str">
        <f t="shared" si="17"/>
        <v>Winter</v>
      </c>
      <c r="AE124">
        <f t="shared" si="18"/>
        <v>3</v>
      </c>
      <c r="AF124" s="152">
        <v>46447</v>
      </c>
      <c r="AG124" s="153">
        <v>432</v>
      </c>
      <c r="AH124" s="153">
        <v>312</v>
      </c>
      <c r="AI124">
        <f t="shared" si="19"/>
        <v>27</v>
      </c>
      <c r="AJ124">
        <f t="shared" si="20"/>
        <v>4</v>
      </c>
    </row>
    <row r="125" spans="2:36" x14ac:dyDescent="0.2">
      <c r="B125" s="80">
        <f t="shared" si="23"/>
        <v>48488</v>
      </c>
      <c r="C125" s="73">
        <v>6.2364550451181184</v>
      </c>
      <c r="D125" s="73">
        <v>6.2122576949995736</v>
      </c>
      <c r="E125" s="81">
        <f t="shared" si="21"/>
        <v>2032</v>
      </c>
      <c r="K125">
        <f t="shared" si="24"/>
        <v>10</v>
      </c>
      <c r="L125" s="101">
        <f t="shared" si="25"/>
        <v>2032</v>
      </c>
      <c r="M125" s="76">
        <f t="shared" si="22"/>
        <v>48488</v>
      </c>
      <c r="N125" s="77">
        <v>52.9758</v>
      </c>
      <c r="O125" s="77">
        <v>58.242600000000003</v>
      </c>
      <c r="P125" s="77">
        <v>58.03</v>
      </c>
      <c r="Q125" s="78">
        <v>68.783199999999994</v>
      </c>
      <c r="S125" s="98">
        <v>62.8895311827957</v>
      </c>
      <c r="T125" s="100">
        <f t="shared" si="26"/>
        <v>0.92610962277189102</v>
      </c>
      <c r="U125" s="100">
        <f t="shared" si="27"/>
        <v>1.0937146247771137</v>
      </c>
      <c r="AD125" s="154" t="str">
        <f t="shared" si="17"/>
        <v>Winter</v>
      </c>
      <c r="AE125">
        <f t="shared" si="18"/>
        <v>4</v>
      </c>
      <c r="AF125" s="152">
        <v>46478</v>
      </c>
      <c r="AG125" s="153">
        <v>416</v>
      </c>
      <c r="AH125" s="153">
        <v>304</v>
      </c>
      <c r="AI125">
        <f t="shared" si="19"/>
        <v>26</v>
      </c>
      <c r="AJ125">
        <f t="shared" si="20"/>
        <v>4</v>
      </c>
    </row>
    <row r="126" spans="2:36" x14ac:dyDescent="0.2">
      <c r="B126" s="80">
        <f t="shared" si="23"/>
        <v>48519</v>
      </c>
      <c r="C126" s="73">
        <v>6.5892888684984285</v>
      </c>
      <c r="D126" s="73">
        <v>6.4038480335400756</v>
      </c>
      <c r="E126" s="81">
        <f t="shared" si="21"/>
        <v>2032</v>
      </c>
      <c r="K126">
        <f t="shared" si="24"/>
        <v>11</v>
      </c>
      <c r="L126" s="101">
        <f t="shared" si="25"/>
        <v>2032</v>
      </c>
      <c r="M126" s="76">
        <f t="shared" si="22"/>
        <v>48519</v>
      </c>
      <c r="N126" s="77">
        <v>66.575000000000003</v>
      </c>
      <c r="O126" s="77">
        <v>70.455500000000001</v>
      </c>
      <c r="P126" s="77">
        <v>66.078100000000006</v>
      </c>
      <c r="Q126" s="78">
        <v>72.494699999999995</v>
      </c>
      <c r="S126" s="98">
        <v>71.363382385575591</v>
      </c>
      <c r="T126" s="100">
        <f t="shared" si="26"/>
        <v>0.98727803594467667</v>
      </c>
      <c r="U126" s="100">
        <f t="shared" si="27"/>
        <v>1.0158529147106832</v>
      </c>
      <c r="AD126" s="154" t="str">
        <f t="shared" si="17"/>
        <v>Winter</v>
      </c>
      <c r="AE126">
        <f t="shared" si="18"/>
        <v>5</v>
      </c>
      <c r="AF126" s="152">
        <v>46508</v>
      </c>
      <c r="AG126" s="153">
        <v>400</v>
      </c>
      <c r="AH126" s="153">
        <v>344</v>
      </c>
      <c r="AI126">
        <f t="shared" si="19"/>
        <v>25</v>
      </c>
      <c r="AJ126">
        <f t="shared" si="20"/>
        <v>6</v>
      </c>
    </row>
    <row r="127" spans="2:36" x14ac:dyDescent="0.2">
      <c r="B127" s="82">
        <f t="shared" si="23"/>
        <v>48549</v>
      </c>
      <c r="C127" s="83">
        <v>6.6287292010544459</v>
      </c>
      <c r="D127" s="83">
        <v>6.467746000501962</v>
      </c>
      <c r="E127" s="84">
        <f t="shared" si="21"/>
        <v>2032</v>
      </c>
      <c r="K127">
        <f t="shared" si="24"/>
        <v>12</v>
      </c>
      <c r="L127" s="101">
        <f t="shared" si="25"/>
        <v>2032</v>
      </c>
      <c r="M127" s="85">
        <f t="shared" si="22"/>
        <v>48549</v>
      </c>
      <c r="N127" s="86">
        <v>76.970299999999995</v>
      </c>
      <c r="O127" s="86">
        <v>76.697900000000004</v>
      </c>
      <c r="P127" s="86">
        <v>70.117800000000003</v>
      </c>
      <c r="Q127" s="87">
        <v>75.840599999999995</v>
      </c>
      <c r="S127" s="98">
        <v>76.319950537634412</v>
      </c>
      <c r="T127" s="100">
        <f t="shared" si="26"/>
        <v>1.0049521712173963</v>
      </c>
      <c r="U127" s="100">
        <f t="shared" si="27"/>
        <v>0.99371919748037518</v>
      </c>
      <c r="AD127" s="154" t="str">
        <f t="shared" si="17"/>
        <v>Summer</v>
      </c>
      <c r="AE127">
        <f t="shared" si="18"/>
        <v>6</v>
      </c>
      <c r="AF127" s="152">
        <v>46539</v>
      </c>
      <c r="AG127" s="153">
        <v>416</v>
      </c>
      <c r="AH127" s="153">
        <v>304</v>
      </c>
      <c r="AI127">
        <f t="shared" si="19"/>
        <v>26</v>
      </c>
      <c r="AJ127">
        <f t="shared" si="20"/>
        <v>4</v>
      </c>
    </row>
    <row r="128" spans="2:36" x14ac:dyDescent="0.2">
      <c r="B128" s="206">
        <f t="shared" si="23"/>
        <v>48580</v>
      </c>
      <c r="C128" s="73">
        <v>7.1623396644023121</v>
      </c>
      <c r="D128" s="73">
        <v>7.1464936106611248</v>
      </c>
      <c r="E128" s="205">
        <f t="shared" si="21"/>
        <v>2033</v>
      </c>
      <c r="K128">
        <f t="shared" si="24"/>
        <v>1</v>
      </c>
      <c r="L128" s="101">
        <f t="shared" si="25"/>
        <v>2033</v>
      </c>
      <c r="M128" s="76">
        <f t="shared" si="22"/>
        <v>48580</v>
      </c>
      <c r="N128" s="204">
        <v>55.713900000000002</v>
      </c>
      <c r="O128" s="204">
        <v>58.874099999999999</v>
      </c>
      <c r="P128" s="204">
        <v>48.0535</v>
      </c>
      <c r="Q128" s="203">
        <v>59.160899999999998</v>
      </c>
      <c r="S128" s="98">
        <v>59.006706451612899</v>
      </c>
      <c r="T128" s="100">
        <f t="shared" si="26"/>
        <v>0.99775268847242571</v>
      </c>
      <c r="U128" s="100">
        <f t="shared" si="27"/>
        <v>1.0026131529390399</v>
      </c>
      <c r="AD128" s="154" t="str">
        <f t="shared" si="17"/>
        <v>Summer</v>
      </c>
      <c r="AE128">
        <f t="shared" si="18"/>
        <v>7</v>
      </c>
      <c r="AF128" s="152">
        <v>46569</v>
      </c>
      <c r="AG128" s="153">
        <v>416</v>
      </c>
      <c r="AH128" s="153">
        <v>328</v>
      </c>
      <c r="AI128">
        <f t="shared" si="19"/>
        <v>26</v>
      </c>
      <c r="AJ128">
        <f t="shared" si="20"/>
        <v>5</v>
      </c>
    </row>
    <row r="129" spans="2:36" x14ac:dyDescent="0.2">
      <c r="B129" s="80">
        <f t="shared" si="23"/>
        <v>48611</v>
      </c>
      <c r="C129" s="73">
        <v>7.1989411041265337</v>
      </c>
      <c r="D129" s="73">
        <v>7.1174443728445782</v>
      </c>
      <c r="E129" s="81">
        <f t="shared" si="21"/>
        <v>2033</v>
      </c>
      <c r="K129">
        <f t="shared" si="24"/>
        <v>2</v>
      </c>
      <c r="L129" s="101">
        <f t="shared" si="25"/>
        <v>2033</v>
      </c>
      <c r="M129" s="76">
        <f t="shared" si="22"/>
        <v>48611</v>
      </c>
      <c r="N129" s="77">
        <v>66.475300000000004</v>
      </c>
      <c r="O129" s="77">
        <v>67.656599999999997</v>
      </c>
      <c r="P129" s="77">
        <v>54.897500000000001</v>
      </c>
      <c r="Q129" s="78">
        <v>66.291899999999998</v>
      </c>
      <c r="S129" s="98">
        <v>67.071728571428565</v>
      </c>
      <c r="T129" s="100">
        <f t="shared" si="26"/>
        <v>1.0087200887919352</v>
      </c>
      <c r="U129" s="100">
        <f t="shared" si="27"/>
        <v>0.98837321494408659</v>
      </c>
      <c r="AD129" s="154" t="str">
        <f t="shared" si="17"/>
        <v>Summer</v>
      </c>
      <c r="AE129">
        <f t="shared" si="18"/>
        <v>8</v>
      </c>
      <c r="AF129" s="152">
        <v>46600</v>
      </c>
      <c r="AG129" s="153">
        <v>416</v>
      </c>
      <c r="AH129" s="153">
        <v>328</v>
      </c>
      <c r="AI129">
        <f t="shared" si="19"/>
        <v>26</v>
      </c>
      <c r="AJ129">
        <f t="shared" si="20"/>
        <v>5</v>
      </c>
    </row>
    <row r="130" spans="2:36" x14ac:dyDescent="0.2">
      <c r="B130" s="80">
        <f t="shared" si="23"/>
        <v>48639</v>
      </c>
      <c r="C130" s="73">
        <v>5.9994074936631856</v>
      </c>
      <c r="D130" s="73">
        <v>6.6605273060117698</v>
      </c>
      <c r="E130" s="81">
        <f t="shared" si="21"/>
        <v>2033</v>
      </c>
      <c r="K130">
        <f t="shared" si="24"/>
        <v>3</v>
      </c>
      <c r="L130" s="101">
        <f t="shared" si="25"/>
        <v>2033</v>
      </c>
      <c r="M130" s="76">
        <f t="shared" si="22"/>
        <v>48639</v>
      </c>
      <c r="N130" s="77">
        <v>35.000599999999999</v>
      </c>
      <c r="O130" s="77">
        <v>37.375100000000003</v>
      </c>
      <c r="P130" s="77">
        <v>46.110900000000001</v>
      </c>
      <c r="Q130" s="78">
        <v>53.651699999999998</v>
      </c>
      <c r="S130" s="98">
        <v>44.188051009421265</v>
      </c>
      <c r="T130" s="100">
        <f t="shared" si="26"/>
        <v>0.84581915577202793</v>
      </c>
      <c r="U130" s="100">
        <f t="shared" si="27"/>
        <v>1.2141676035578262</v>
      </c>
      <c r="AD130" s="154" t="str">
        <f t="shared" ref="AD130:AD193" si="28">IF(AND(AE130&gt;=6,AE130&lt;=9),"Summer","Winter")</f>
        <v>Summer</v>
      </c>
      <c r="AE130">
        <f t="shared" ref="AE130:AE193" si="29">MONTH(AF130)</f>
        <v>9</v>
      </c>
      <c r="AF130" s="152">
        <v>46631</v>
      </c>
      <c r="AG130" s="153">
        <v>400</v>
      </c>
      <c r="AH130" s="153">
        <v>320</v>
      </c>
      <c r="AI130">
        <f t="shared" ref="AI130:AI193" si="30">AG130/16</f>
        <v>25</v>
      </c>
      <c r="AJ130">
        <f t="shared" ref="AJ130:AJ193" si="31">EDATE(AF130,1)-AF130-AI130</f>
        <v>5</v>
      </c>
    </row>
    <row r="131" spans="2:36" x14ac:dyDescent="0.2">
      <c r="B131" s="80">
        <f t="shared" si="23"/>
        <v>48670</v>
      </c>
      <c r="C131" s="73">
        <v>5.7151126543647983</v>
      </c>
      <c r="D131" s="73">
        <v>5.9135321103941259</v>
      </c>
      <c r="E131" s="81">
        <f t="shared" si="21"/>
        <v>2033</v>
      </c>
      <c r="K131">
        <f t="shared" si="24"/>
        <v>4</v>
      </c>
      <c r="L131" s="101">
        <f t="shared" si="25"/>
        <v>2033</v>
      </c>
      <c r="M131" s="76">
        <f t="shared" si="22"/>
        <v>48670</v>
      </c>
      <c r="N131" s="77">
        <v>20.9132</v>
      </c>
      <c r="O131" s="77">
        <v>26.187000000000001</v>
      </c>
      <c r="P131" s="77">
        <v>33.464399999999998</v>
      </c>
      <c r="Q131" s="78">
        <v>41.044600000000003</v>
      </c>
      <c r="S131" s="98">
        <v>32.460208888888893</v>
      </c>
      <c r="T131" s="100">
        <f t="shared" si="26"/>
        <v>0.80674157364907761</v>
      </c>
      <c r="U131" s="100">
        <f t="shared" si="27"/>
        <v>1.2644588992170516</v>
      </c>
      <c r="AD131" s="154" t="str">
        <f t="shared" si="28"/>
        <v>Winter</v>
      </c>
      <c r="AE131">
        <f t="shared" si="29"/>
        <v>10</v>
      </c>
      <c r="AF131" s="152">
        <v>46661</v>
      </c>
      <c r="AG131" s="153">
        <v>416</v>
      </c>
      <c r="AH131" s="153">
        <v>328</v>
      </c>
      <c r="AI131">
        <f t="shared" si="30"/>
        <v>26</v>
      </c>
      <c r="AJ131">
        <f t="shared" si="31"/>
        <v>5</v>
      </c>
    </row>
    <row r="132" spans="2:36" x14ac:dyDescent="0.2">
      <c r="B132" s="80">
        <f t="shared" si="23"/>
        <v>48700</v>
      </c>
      <c r="C132" s="73">
        <v>5.7056834746020479</v>
      </c>
      <c r="D132" s="73">
        <v>5.7321944440241692</v>
      </c>
      <c r="E132" s="81">
        <f t="shared" si="21"/>
        <v>2033</v>
      </c>
      <c r="K132">
        <f t="shared" si="24"/>
        <v>5</v>
      </c>
      <c r="L132" s="101">
        <f t="shared" si="25"/>
        <v>2033</v>
      </c>
      <c r="M132" s="76">
        <f t="shared" si="22"/>
        <v>48700</v>
      </c>
      <c r="N132" s="77">
        <v>12.213100000000001</v>
      </c>
      <c r="O132" s="77">
        <v>23.03</v>
      </c>
      <c r="P132" s="77">
        <v>20.405899999999999</v>
      </c>
      <c r="Q132" s="78">
        <v>36.852699999999999</v>
      </c>
      <c r="S132" s="98">
        <v>29.421140860215054</v>
      </c>
      <c r="T132" s="100">
        <f t="shared" si="26"/>
        <v>0.78277046119385807</v>
      </c>
      <c r="U132" s="100">
        <f t="shared" si="27"/>
        <v>1.2525924869838858</v>
      </c>
      <c r="AD132" s="154" t="str">
        <f t="shared" si="28"/>
        <v>Winter</v>
      </c>
      <c r="AE132">
        <f t="shared" si="29"/>
        <v>11</v>
      </c>
      <c r="AF132" s="152">
        <v>46692</v>
      </c>
      <c r="AG132" s="153">
        <v>400</v>
      </c>
      <c r="AH132" s="153">
        <v>320</v>
      </c>
      <c r="AI132">
        <f t="shared" si="30"/>
        <v>25</v>
      </c>
      <c r="AJ132">
        <f t="shared" si="31"/>
        <v>5</v>
      </c>
    </row>
    <row r="133" spans="2:36" x14ac:dyDescent="0.2">
      <c r="B133" s="80">
        <f t="shared" si="23"/>
        <v>48731</v>
      </c>
      <c r="C133" s="73">
        <v>5.7318418442664507</v>
      </c>
      <c r="D133" s="73">
        <v>5.8409866876116272</v>
      </c>
      <c r="E133" s="81">
        <f t="shared" si="21"/>
        <v>2033</v>
      </c>
      <c r="K133">
        <f t="shared" si="24"/>
        <v>6</v>
      </c>
      <c r="L133" s="101">
        <f t="shared" si="25"/>
        <v>2033</v>
      </c>
      <c r="M133" s="76">
        <f t="shared" si="22"/>
        <v>48731</v>
      </c>
      <c r="N133" s="77">
        <v>24.180499999999999</v>
      </c>
      <c r="O133" s="77">
        <v>34.694699999999997</v>
      </c>
      <c r="P133" s="77">
        <v>36.668799999999997</v>
      </c>
      <c r="Q133" s="78">
        <v>53.408700000000003</v>
      </c>
      <c r="S133" s="98">
        <v>42.596166666666669</v>
      </c>
      <c r="T133" s="100">
        <f t="shared" si="26"/>
        <v>0.81450286997656274</v>
      </c>
      <c r="U133" s="100">
        <f t="shared" si="27"/>
        <v>1.2538381779268089</v>
      </c>
      <c r="AD133" s="154" t="str">
        <f t="shared" si="28"/>
        <v>Winter</v>
      </c>
      <c r="AE133">
        <f t="shared" si="29"/>
        <v>12</v>
      </c>
      <c r="AF133" s="152">
        <v>46722</v>
      </c>
      <c r="AG133" s="153">
        <v>416</v>
      </c>
      <c r="AH133" s="153">
        <v>328</v>
      </c>
      <c r="AI133">
        <f t="shared" si="30"/>
        <v>26</v>
      </c>
      <c r="AJ133">
        <f t="shared" si="31"/>
        <v>5</v>
      </c>
    </row>
    <row r="134" spans="2:36" x14ac:dyDescent="0.2">
      <c r="B134" s="80">
        <f t="shared" si="23"/>
        <v>48761</v>
      </c>
      <c r="C134" s="73">
        <v>5.7949058207441952</v>
      </c>
      <c r="D134" s="73">
        <v>5.9135321103941259</v>
      </c>
      <c r="E134" s="81">
        <f t="shared" si="21"/>
        <v>2033</v>
      </c>
      <c r="K134">
        <f t="shared" si="24"/>
        <v>7</v>
      </c>
      <c r="L134" s="101">
        <f t="shared" si="25"/>
        <v>2033</v>
      </c>
      <c r="M134" s="76">
        <f t="shared" si="22"/>
        <v>48761</v>
      </c>
      <c r="N134" s="77">
        <v>46.496600000000001</v>
      </c>
      <c r="O134" s="77">
        <v>59.758499999999998</v>
      </c>
      <c r="P134" s="77">
        <v>50.709699999999998</v>
      </c>
      <c r="Q134" s="78">
        <v>76.062600000000003</v>
      </c>
      <c r="S134" s="98">
        <v>67.296954838709681</v>
      </c>
      <c r="T134" s="100">
        <f t="shared" si="26"/>
        <v>0.88798222955589801</v>
      </c>
      <c r="U134" s="100">
        <f t="shared" si="27"/>
        <v>1.1302532214466301</v>
      </c>
      <c r="AD134" s="154" t="str">
        <f t="shared" si="28"/>
        <v>Winter</v>
      </c>
      <c r="AE134">
        <f t="shared" si="29"/>
        <v>1</v>
      </c>
      <c r="AF134" s="152">
        <v>46753</v>
      </c>
      <c r="AG134" s="153">
        <v>400</v>
      </c>
      <c r="AH134" s="153">
        <v>344</v>
      </c>
      <c r="AI134">
        <f t="shared" si="30"/>
        <v>25</v>
      </c>
      <c r="AJ134">
        <f t="shared" si="31"/>
        <v>6</v>
      </c>
    </row>
    <row r="135" spans="2:36" x14ac:dyDescent="0.2">
      <c r="B135" s="80">
        <f t="shared" si="23"/>
        <v>48792</v>
      </c>
      <c r="C135" s="73">
        <v>6.2745773202879453</v>
      </c>
      <c r="D135" s="73">
        <v>6.1528646900520174</v>
      </c>
      <c r="E135" s="81">
        <f t="shared" si="21"/>
        <v>2033</v>
      </c>
      <c r="K135">
        <f t="shared" si="24"/>
        <v>8</v>
      </c>
      <c r="L135" s="101">
        <f t="shared" si="25"/>
        <v>2033</v>
      </c>
      <c r="M135" s="76">
        <f t="shared" si="22"/>
        <v>48792</v>
      </c>
      <c r="N135" s="77">
        <v>72.309899999999999</v>
      </c>
      <c r="O135" s="77">
        <v>81.303600000000003</v>
      </c>
      <c r="P135" s="77">
        <v>58.977899999999998</v>
      </c>
      <c r="Q135" s="78">
        <v>81.391999999999996</v>
      </c>
      <c r="S135" s="98">
        <v>81.340670967741943</v>
      </c>
      <c r="T135" s="100">
        <f t="shared" si="26"/>
        <v>0.99954425052927531</v>
      </c>
      <c r="U135" s="100">
        <f t="shared" si="27"/>
        <v>1.0006310377286955</v>
      </c>
      <c r="AD135" s="154" t="str">
        <f t="shared" si="28"/>
        <v>Winter</v>
      </c>
      <c r="AE135">
        <f t="shared" si="29"/>
        <v>2</v>
      </c>
      <c r="AF135" s="152">
        <v>46784</v>
      </c>
      <c r="AG135" s="153">
        <v>400</v>
      </c>
      <c r="AH135" s="153">
        <v>296</v>
      </c>
      <c r="AI135">
        <f t="shared" si="30"/>
        <v>25</v>
      </c>
      <c r="AJ135">
        <f t="shared" si="31"/>
        <v>4</v>
      </c>
    </row>
    <row r="136" spans="2:36" x14ac:dyDescent="0.2">
      <c r="B136" s="80">
        <f t="shared" si="23"/>
        <v>48823</v>
      </c>
      <c r="C136" s="73">
        <v>6.3157412663489811</v>
      </c>
      <c r="D136" s="73">
        <v>6.4284440905148692</v>
      </c>
      <c r="E136" s="81">
        <f t="shared" ref="E136:E199" si="32">YEAR(B136)</f>
        <v>2033</v>
      </c>
      <c r="K136">
        <f t="shared" si="24"/>
        <v>9</v>
      </c>
      <c r="L136" s="101">
        <f t="shared" si="25"/>
        <v>2033</v>
      </c>
      <c r="M136" s="76">
        <f t="shared" ref="M136:M199" si="33">B136</f>
        <v>48823</v>
      </c>
      <c r="N136" s="77">
        <v>58.232900000000001</v>
      </c>
      <c r="O136" s="77">
        <v>69.609800000000007</v>
      </c>
      <c r="P136" s="77">
        <v>57.861499999999999</v>
      </c>
      <c r="Q136" s="78">
        <v>76.531599999999997</v>
      </c>
      <c r="S136" s="98">
        <v>72.686155555555558</v>
      </c>
      <c r="T136" s="100">
        <f t="shared" si="26"/>
        <v>0.95767618287083256</v>
      </c>
      <c r="U136" s="100">
        <f t="shared" si="27"/>
        <v>1.0529047714114592</v>
      </c>
      <c r="AD136" s="154" t="str">
        <f t="shared" si="28"/>
        <v>Winter</v>
      </c>
      <c r="AE136">
        <f t="shared" si="29"/>
        <v>3</v>
      </c>
      <c r="AF136" s="152">
        <v>46813</v>
      </c>
      <c r="AG136" s="153">
        <v>432</v>
      </c>
      <c r="AH136" s="153">
        <v>312</v>
      </c>
      <c r="AI136">
        <f t="shared" si="30"/>
        <v>27</v>
      </c>
      <c r="AJ136">
        <f t="shared" si="31"/>
        <v>4</v>
      </c>
    </row>
    <row r="137" spans="2:36" x14ac:dyDescent="0.2">
      <c r="B137" s="80">
        <f t="shared" ref="B137:B200" si="34">EDATE(B136,1)</f>
        <v>48853</v>
      </c>
      <c r="C137" s="73">
        <v>6.5886805343201873</v>
      </c>
      <c r="D137" s="73">
        <v>6.4791896396418132</v>
      </c>
      <c r="E137" s="81">
        <f t="shared" si="32"/>
        <v>2033</v>
      </c>
      <c r="K137">
        <f t="shared" ref="K137:K200" si="35">MONTH(M137)</f>
        <v>10</v>
      </c>
      <c r="L137" s="101">
        <f t="shared" ref="L137:L200" si="36">YEAR(M137)</f>
        <v>2033</v>
      </c>
      <c r="M137" s="76">
        <f t="shared" si="33"/>
        <v>48853</v>
      </c>
      <c r="N137" s="77">
        <v>38.285899999999998</v>
      </c>
      <c r="O137" s="77">
        <v>49.936399999999999</v>
      </c>
      <c r="P137" s="77">
        <v>50.910699999999999</v>
      </c>
      <c r="Q137" s="78">
        <v>63.4953</v>
      </c>
      <c r="S137" s="98">
        <v>55.913979569892469</v>
      </c>
      <c r="T137" s="100">
        <f t="shared" ref="T137:T200" si="37">O137/S137</f>
        <v>0.8930932905174368</v>
      </c>
      <c r="U137" s="100">
        <f t="shared" ref="U137:U200" si="38">Q137/S137</f>
        <v>1.1355889973925193</v>
      </c>
      <c r="AD137" s="154" t="str">
        <f t="shared" si="28"/>
        <v>Winter</v>
      </c>
      <c r="AE137">
        <f t="shared" si="29"/>
        <v>4</v>
      </c>
      <c r="AF137" s="152">
        <v>46844</v>
      </c>
      <c r="AG137" s="153">
        <v>400</v>
      </c>
      <c r="AH137" s="153">
        <v>320</v>
      </c>
      <c r="AI137">
        <f t="shared" si="30"/>
        <v>25</v>
      </c>
      <c r="AJ137">
        <f t="shared" si="31"/>
        <v>5</v>
      </c>
    </row>
    <row r="138" spans="2:36" x14ac:dyDescent="0.2">
      <c r="B138" s="80">
        <f t="shared" si="34"/>
        <v>48884</v>
      </c>
      <c r="C138" s="73">
        <v>7.0362117114468221</v>
      </c>
      <c r="D138" s="73">
        <v>6.6895765438283163</v>
      </c>
      <c r="E138" s="81">
        <f t="shared" si="32"/>
        <v>2033</v>
      </c>
      <c r="K138">
        <f t="shared" si="35"/>
        <v>11</v>
      </c>
      <c r="L138" s="101">
        <f t="shared" si="36"/>
        <v>2033</v>
      </c>
      <c r="M138" s="76">
        <f t="shared" si="33"/>
        <v>48884</v>
      </c>
      <c r="N138" s="77">
        <v>61.546399999999998</v>
      </c>
      <c r="O138" s="77">
        <v>66.950699999999998</v>
      </c>
      <c r="P138" s="77">
        <v>52.842199999999998</v>
      </c>
      <c r="Q138" s="78">
        <v>67.335700000000003</v>
      </c>
      <c r="S138" s="98">
        <v>67.122107766990297</v>
      </c>
      <c r="T138" s="100">
        <f t="shared" si="37"/>
        <v>0.9974463291947665</v>
      </c>
      <c r="U138" s="100">
        <f t="shared" si="38"/>
        <v>1.0031821443055866</v>
      </c>
      <c r="AD138" s="154" t="str">
        <f t="shared" si="28"/>
        <v>Winter</v>
      </c>
      <c r="AE138">
        <f t="shared" si="29"/>
        <v>5</v>
      </c>
      <c r="AF138" s="152">
        <v>46874</v>
      </c>
      <c r="AG138" s="153">
        <v>416</v>
      </c>
      <c r="AH138" s="153">
        <v>328</v>
      </c>
      <c r="AI138">
        <f t="shared" si="30"/>
        <v>26</v>
      </c>
      <c r="AJ138">
        <f t="shared" si="31"/>
        <v>5</v>
      </c>
    </row>
    <row r="139" spans="2:36" x14ac:dyDescent="0.2">
      <c r="B139" s="82">
        <f t="shared" si="34"/>
        <v>48914</v>
      </c>
      <c r="C139" s="83">
        <v>7.0653103629727267</v>
      </c>
      <c r="D139" s="83">
        <v>7.0087039104296993</v>
      </c>
      <c r="E139" s="84">
        <f t="shared" si="32"/>
        <v>2033</v>
      </c>
      <c r="K139">
        <f t="shared" si="35"/>
        <v>12</v>
      </c>
      <c r="L139" s="101">
        <f t="shared" si="36"/>
        <v>2033</v>
      </c>
      <c r="M139" s="85">
        <f t="shared" si="33"/>
        <v>48914</v>
      </c>
      <c r="N139" s="86">
        <v>68.826099999999997</v>
      </c>
      <c r="O139" s="86">
        <v>68.320599999999999</v>
      </c>
      <c r="P139" s="86">
        <v>66.158900000000003</v>
      </c>
      <c r="Q139" s="87">
        <v>74.208200000000005</v>
      </c>
      <c r="S139" s="98">
        <v>70.916208602150533</v>
      </c>
      <c r="T139" s="100">
        <f t="shared" si="37"/>
        <v>0.96339893723433179</v>
      </c>
      <c r="U139" s="100">
        <f t="shared" si="38"/>
        <v>1.0464208600930429</v>
      </c>
      <c r="AD139" s="154" t="str">
        <f t="shared" si="28"/>
        <v>Summer</v>
      </c>
      <c r="AE139">
        <f t="shared" si="29"/>
        <v>6</v>
      </c>
      <c r="AF139" s="152">
        <v>46905</v>
      </c>
      <c r="AG139" s="153">
        <v>416</v>
      </c>
      <c r="AH139" s="153">
        <v>304</v>
      </c>
      <c r="AI139">
        <f t="shared" si="30"/>
        <v>26</v>
      </c>
      <c r="AJ139">
        <f t="shared" si="31"/>
        <v>4</v>
      </c>
    </row>
    <row r="140" spans="2:36" x14ac:dyDescent="0.2">
      <c r="B140" s="206">
        <f t="shared" si="34"/>
        <v>48945</v>
      </c>
      <c r="C140" s="73">
        <v>7.1119493166379399</v>
      </c>
      <c r="D140" s="73">
        <v>7.3257082489553618</v>
      </c>
      <c r="E140" s="205">
        <f t="shared" si="32"/>
        <v>2034</v>
      </c>
      <c r="K140">
        <f t="shared" si="35"/>
        <v>1</v>
      </c>
      <c r="L140" s="101">
        <f t="shared" si="36"/>
        <v>2034</v>
      </c>
      <c r="M140" s="76">
        <f t="shared" si="33"/>
        <v>48945</v>
      </c>
      <c r="N140" s="204">
        <v>48.318300000000001</v>
      </c>
      <c r="O140" s="204">
        <v>53.411700000000003</v>
      </c>
      <c r="P140" s="204">
        <v>45.404899999999998</v>
      </c>
      <c r="Q140" s="203">
        <v>59.747199999999999</v>
      </c>
      <c r="S140" s="98">
        <v>56.341017204301075</v>
      </c>
      <c r="T140" s="100">
        <f t="shared" si="37"/>
        <v>0.94800737811177738</v>
      </c>
      <c r="U140" s="100">
        <f t="shared" si="38"/>
        <v>1.0604565370793286</v>
      </c>
      <c r="AD140" s="154" t="str">
        <f t="shared" si="28"/>
        <v>Summer</v>
      </c>
      <c r="AE140">
        <f t="shared" si="29"/>
        <v>7</v>
      </c>
      <c r="AF140" s="152">
        <v>46935</v>
      </c>
      <c r="AG140" s="153">
        <v>400</v>
      </c>
      <c r="AH140" s="153">
        <v>344</v>
      </c>
      <c r="AI140">
        <f t="shared" si="30"/>
        <v>25</v>
      </c>
      <c r="AJ140">
        <f t="shared" si="31"/>
        <v>6</v>
      </c>
    </row>
    <row r="141" spans="2:36" x14ac:dyDescent="0.2">
      <c r="B141" s="80">
        <f t="shared" si="34"/>
        <v>48976</v>
      </c>
      <c r="C141" s="73">
        <v>7.4416664412450579</v>
      </c>
      <c r="D141" s="73">
        <v>7.3627835685215777</v>
      </c>
      <c r="E141" s="81">
        <f t="shared" si="32"/>
        <v>2034</v>
      </c>
      <c r="K141">
        <f t="shared" si="35"/>
        <v>2</v>
      </c>
      <c r="L141" s="101">
        <f t="shared" si="36"/>
        <v>2034</v>
      </c>
      <c r="M141" s="76">
        <f t="shared" si="33"/>
        <v>48976</v>
      </c>
      <c r="N141" s="77">
        <v>67.674499999999995</v>
      </c>
      <c r="O141" s="77">
        <v>69.116100000000003</v>
      </c>
      <c r="P141" s="77">
        <v>62.634999999999998</v>
      </c>
      <c r="Q141" s="78">
        <v>73.321100000000001</v>
      </c>
      <c r="S141" s="98">
        <v>70.918242857142857</v>
      </c>
      <c r="T141" s="100">
        <f t="shared" si="37"/>
        <v>0.97458844460129845</v>
      </c>
      <c r="U141" s="100">
        <f t="shared" si="38"/>
        <v>1.0338820738649355</v>
      </c>
      <c r="AD141" s="154" t="str">
        <f t="shared" si="28"/>
        <v>Summer</v>
      </c>
      <c r="AE141">
        <f t="shared" si="29"/>
        <v>8</v>
      </c>
      <c r="AF141" s="152">
        <v>46966</v>
      </c>
      <c r="AG141" s="153">
        <v>432</v>
      </c>
      <c r="AH141" s="153">
        <v>312</v>
      </c>
      <c r="AI141">
        <f t="shared" si="30"/>
        <v>27</v>
      </c>
      <c r="AJ141">
        <f t="shared" si="31"/>
        <v>4</v>
      </c>
    </row>
    <row r="142" spans="2:36" x14ac:dyDescent="0.2">
      <c r="B142" s="80">
        <f t="shared" si="34"/>
        <v>49004</v>
      </c>
      <c r="C142" s="73">
        <v>6.2296619801277497</v>
      </c>
      <c r="D142" s="73">
        <v>7.3257600301279409</v>
      </c>
      <c r="E142" s="81">
        <f t="shared" si="32"/>
        <v>2034</v>
      </c>
      <c r="K142">
        <f t="shared" si="35"/>
        <v>3</v>
      </c>
      <c r="L142" s="101">
        <f t="shared" si="36"/>
        <v>2034</v>
      </c>
      <c r="M142" s="76">
        <f t="shared" si="33"/>
        <v>49004</v>
      </c>
      <c r="N142" s="77">
        <v>41.739100000000001</v>
      </c>
      <c r="O142" s="77">
        <v>40.116399999999999</v>
      </c>
      <c r="P142" s="77">
        <v>44.689100000000003</v>
      </c>
      <c r="Q142" s="78">
        <v>53.365200000000002</v>
      </c>
      <c r="S142" s="98">
        <v>45.661994616419918</v>
      </c>
      <c r="T142" s="100">
        <f t="shared" si="37"/>
        <v>0.8785511963941729</v>
      </c>
      <c r="U142" s="100">
        <f t="shared" si="38"/>
        <v>1.1687005889315671</v>
      </c>
      <c r="AD142" s="154" t="str">
        <f t="shared" si="28"/>
        <v>Summer</v>
      </c>
      <c r="AE142">
        <f t="shared" si="29"/>
        <v>9</v>
      </c>
      <c r="AF142" s="152">
        <v>46997</v>
      </c>
      <c r="AG142" s="153">
        <v>400</v>
      </c>
      <c r="AH142" s="153">
        <v>320</v>
      </c>
      <c r="AI142">
        <f t="shared" si="30"/>
        <v>25</v>
      </c>
      <c r="AJ142">
        <f t="shared" si="31"/>
        <v>5</v>
      </c>
    </row>
    <row r="143" spans="2:36" x14ac:dyDescent="0.2">
      <c r="B143" s="80">
        <f t="shared" si="34"/>
        <v>49035</v>
      </c>
      <c r="C143" s="73">
        <v>5.9403990783737202</v>
      </c>
      <c r="D143" s="73">
        <v>6.2657476462731783</v>
      </c>
      <c r="E143" s="81">
        <f t="shared" si="32"/>
        <v>2034</v>
      </c>
      <c r="K143">
        <f t="shared" si="35"/>
        <v>4</v>
      </c>
      <c r="L143" s="101">
        <f t="shared" si="36"/>
        <v>2034</v>
      </c>
      <c r="M143" s="76">
        <f t="shared" si="33"/>
        <v>49035</v>
      </c>
      <c r="N143" s="77">
        <v>26.242799999999999</v>
      </c>
      <c r="O143" s="77">
        <v>31.322099999999999</v>
      </c>
      <c r="P143" s="77">
        <v>34.527000000000001</v>
      </c>
      <c r="Q143" s="78">
        <v>40.1875</v>
      </c>
      <c r="S143" s="98">
        <v>35.262277777777776</v>
      </c>
      <c r="T143" s="100">
        <f t="shared" si="37"/>
        <v>0.8882608264103441</v>
      </c>
      <c r="U143" s="100">
        <f t="shared" si="38"/>
        <v>1.1396739669870699</v>
      </c>
      <c r="AD143" s="154" t="str">
        <f t="shared" si="28"/>
        <v>Winter</v>
      </c>
      <c r="AE143">
        <f t="shared" si="29"/>
        <v>10</v>
      </c>
      <c r="AF143" s="152">
        <v>47027</v>
      </c>
      <c r="AG143" s="153">
        <v>416</v>
      </c>
      <c r="AH143" s="153">
        <v>328</v>
      </c>
      <c r="AI143">
        <f t="shared" si="30"/>
        <v>26</v>
      </c>
      <c r="AJ143">
        <f t="shared" si="31"/>
        <v>5</v>
      </c>
    </row>
    <row r="144" spans="2:36" x14ac:dyDescent="0.2">
      <c r="B144" s="80">
        <f t="shared" si="34"/>
        <v>49065</v>
      </c>
      <c r="C144" s="73">
        <v>5.943947694413465</v>
      </c>
      <c r="D144" s="73">
        <v>5.9618957255824583</v>
      </c>
      <c r="E144" s="81">
        <f t="shared" si="32"/>
        <v>2034</v>
      </c>
      <c r="K144">
        <f t="shared" si="35"/>
        <v>5</v>
      </c>
      <c r="L144" s="101">
        <f t="shared" si="36"/>
        <v>2034</v>
      </c>
      <c r="M144" s="76">
        <f t="shared" si="33"/>
        <v>49065</v>
      </c>
      <c r="N144" s="77">
        <v>11.736000000000001</v>
      </c>
      <c r="O144" s="77">
        <v>20.591100000000001</v>
      </c>
      <c r="P144" s="77">
        <v>16.278500000000001</v>
      </c>
      <c r="Q144" s="78">
        <v>34.0017</v>
      </c>
      <c r="S144" s="98">
        <v>26.503299999999999</v>
      </c>
      <c r="T144" s="100">
        <f t="shared" si="37"/>
        <v>0.77692589224738051</v>
      </c>
      <c r="U144" s="100">
        <f t="shared" si="38"/>
        <v>1.2829232586130783</v>
      </c>
      <c r="AD144" s="154" t="str">
        <f t="shared" si="28"/>
        <v>Winter</v>
      </c>
      <c r="AE144">
        <f t="shared" si="29"/>
        <v>11</v>
      </c>
      <c r="AF144" s="152">
        <v>47058</v>
      </c>
      <c r="AG144" s="153">
        <v>400</v>
      </c>
      <c r="AH144" s="153">
        <v>320</v>
      </c>
      <c r="AI144">
        <f t="shared" si="30"/>
        <v>25</v>
      </c>
      <c r="AJ144">
        <f t="shared" si="31"/>
        <v>5</v>
      </c>
    </row>
    <row r="145" spans="2:36" x14ac:dyDescent="0.2">
      <c r="B145" s="80">
        <f t="shared" si="34"/>
        <v>49096</v>
      </c>
      <c r="C145" s="73">
        <v>5.9922088725539897</v>
      </c>
      <c r="D145" s="73">
        <v>5.9396298213736962</v>
      </c>
      <c r="E145" s="81">
        <f t="shared" si="32"/>
        <v>2034</v>
      </c>
      <c r="K145">
        <f t="shared" si="35"/>
        <v>6</v>
      </c>
      <c r="L145" s="101">
        <f t="shared" si="36"/>
        <v>2034</v>
      </c>
      <c r="M145" s="76">
        <f t="shared" si="33"/>
        <v>49096</v>
      </c>
      <c r="N145" s="77">
        <v>22.978300000000001</v>
      </c>
      <c r="O145" s="77">
        <v>34.809199999999997</v>
      </c>
      <c r="P145" s="77">
        <v>36.870699999999999</v>
      </c>
      <c r="Q145" s="78">
        <v>53.048200000000001</v>
      </c>
      <c r="S145" s="98">
        <v>42.510111111111108</v>
      </c>
      <c r="T145" s="100">
        <f t="shared" si="37"/>
        <v>0.81884518977184517</v>
      </c>
      <c r="U145" s="100">
        <f t="shared" si="38"/>
        <v>1.2478960561016856</v>
      </c>
      <c r="AD145" s="154" t="str">
        <f t="shared" si="28"/>
        <v>Winter</v>
      </c>
      <c r="AE145">
        <f t="shared" si="29"/>
        <v>12</v>
      </c>
      <c r="AF145" s="152">
        <v>47088</v>
      </c>
      <c r="AG145" s="153">
        <v>400</v>
      </c>
      <c r="AH145" s="153">
        <v>344</v>
      </c>
      <c r="AI145">
        <f t="shared" si="30"/>
        <v>25</v>
      </c>
      <c r="AJ145">
        <f t="shared" si="31"/>
        <v>6</v>
      </c>
    </row>
    <row r="146" spans="2:36" x14ac:dyDescent="0.2">
      <c r="B146" s="80">
        <f t="shared" si="34"/>
        <v>49126</v>
      </c>
      <c r="C146" s="73">
        <v>5.9985963814255294</v>
      </c>
      <c r="D146" s="73">
        <v>6.9180868584172988</v>
      </c>
      <c r="E146" s="81">
        <f t="shared" si="32"/>
        <v>2034</v>
      </c>
      <c r="K146">
        <f t="shared" si="35"/>
        <v>7</v>
      </c>
      <c r="L146" s="101">
        <f t="shared" si="36"/>
        <v>2034</v>
      </c>
      <c r="M146" s="76">
        <f t="shared" si="33"/>
        <v>49126</v>
      </c>
      <c r="N146" s="77">
        <v>54.302799999999998</v>
      </c>
      <c r="O146" s="77">
        <v>66.360699999999994</v>
      </c>
      <c r="P146" s="77">
        <v>57.884999999999998</v>
      </c>
      <c r="Q146" s="78">
        <v>86.463499999999996</v>
      </c>
      <c r="S146" s="98">
        <v>75.655543010752694</v>
      </c>
      <c r="T146" s="100">
        <f t="shared" si="37"/>
        <v>0.87714260395392774</v>
      </c>
      <c r="U146" s="100">
        <f t="shared" si="38"/>
        <v>1.1428574372628744</v>
      </c>
      <c r="AD146" s="154" t="str">
        <f t="shared" si="28"/>
        <v>Winter</v>
      </c>
      <c r="AE146">
        <f t="shared" si="29"/>
        <v>1</v>
      </c>
      <c r="AF146" s="152">
        <v>47119</v>
      </c>
      <c r="AG146" s="153">
        <v>416</v>
      </c>
      <c r="AH146" s="153">
        <v>328</v>
      </c>
      <c r="AI146">
        <f t="shared" si="30"/>
        <v>26</v>
      </c>
      <c r="AJ146">
        <f t="shared" si="31"/>
        <v>5</v>
      </c>
    </row>
    <row r="147" spans="2:36" x14ac:dyDescent="0.2">
      <c r="B147" s="80">
        <f t="shared" si="34"/>
        <v>49157</v>
      </c>
      <c r="C147" s="73">
        <v>6.5686055064382041</v>
      </c>
      <c r="D147" s="73">
        <v>6.1620299575984152</v>
      </c>
      <c r="E147" s="81">
        <f t="shared" si="32"/>
        <v>2034</v>
      </c>
      <c r="K147">
        <f t="shared" si="35"/>
        <v>8</v>
      </c>
      <c r="L147" s="101">
        <f t="shared" si="36"/>
        <v>2034</v>
      </c>
      <c r="M147" s="76">
        <f t="shared" si="33"/>
        <v>49157</v>
      </c>
      <c r="N147" s="77">
        <v>69.406099999999995</v>
      </c>
      <c r="O147" s="77">
        <v>85.372299999999996</v>
      </c>
      <c r="P147" s="77">
        <v>58.366199999999999</v>
      </c>
      <c r="Q147" s="78">
        <v>81.752300000000005</v>
      </c>
      <c r="S147" s="98">
        <v>83.854235483870966</v>
      </c>
      <c r="T147" s="100">
        <f t="shared" si="37"/>
        <v>1.0181036116705282</v>
      </c>
      <c r="U147" s="100">
        <f t="shared" si="38"/>
        <v>0.97493346076388399</v>
      </c>
      <c r="AD147" s="154" t="str">
        <f t="shared" si="28"/>
        <v>Winter</v>
      </c>
      <c r="AE147">
        <f t="shared" si="29"/>
        <v>2</v>
      </c>
      <c r="AF147" s="152">
        <v>47150</v>
      </c>
      <c r="AG147" s="153">
        <v>384</v>
      </c>
      <c r="AH147" s="153">
        <v>288</v>
      </c>
      <c r="AI147">
        <f t="shared" si="30"/>
        <v>24</v>
      </c>
      <c r="AJ147">
        <f t="shared" si="31"/>
        <v>4</v>
      </c>
    </row>
    <row r="148" spans="2:36" x14ac:dyDescent="0.2">
      <c r="B148" s="80">
        <f t="shared" si="34"/>
        <v>49188</v>
      </c>
      <c r="C148" s="73">
        <v>6.6066263925783231</v>
      </c>
      <c r="D148" s="73">
        <v>6.4584771706104069</v>
      </c>
      <c r="E148" s="81">
        <f t="shared" si="32"/>
        <v>2034</v>
      </c>
      <c r="K148">
        <f t="shared" si="35"/>
        <v>9</v>
      </c>
      <c r="L148" s="101">
        <f t="shared" si="36"/>
        <v>2034</v>
      </c>
      <c r="M148" s="76">
        <f t="shared" si="33"/>
        <v>49188</v>
      </c>
      <c r="N148" s="77">
        <v>63.1235</v>
      </c>
      <c r="O148" s="77">
        <v>74.769000000000005</v>
      </c>
      <c r="P148" s="77">
        <v>61.805700000000002</v>
      </c>
      <c r="Q148" s="78">
        <v>81.280100000000004</v>
      </c>
      <c r="S148" s="98">
        <v>77.662822222222218</v>
      </c>
      <c r="T148" s="100">
        <f t="shared" si="37"/>
        <v>0.96273864199858827</v>
      </c>
      <c r="U148" s="100">
        <f t="shared" si="38"/>
        <v>1.046576697501765</v>
      </c>
      <c r="AD148" s="154" t="str">
        <f t="shared" si="28"/>
        <v>Winter</v>
      </c>
      <c r="AE148">
        <f t="shared" si="29"/>
        <v>3</v>
      </c>
      <c r="AF148" s="152">
        <v>47178</v>
      </c>
      <c r="AG148" s="153">
        <v>432</v>
      </c>
      <c r="AH148" s="153">
        <v>312</v>
      </c>
      <c r="AI148">
        <f t="shared" si="30"/>
        <v>27</v>
      </c>
      <c r="AJ148">
        <f t="shared" si="31"/>
        <v>4</v>
      </c>
    </row>
    <row r="149" spans="2:36" x14ac:dyDescent="0.2">
      <c r="B149" s="80">
        <f t="shared" si="34"/>
        <v>49218</v>
      </c>
      <c r="C149" s="73">
        <v>6.8222808587650814</v>
      </c>
      <c r="D149" s="73">
        <v>6.6215878642327262</v>
      </c>
      <c r="E149" s="81">
        <f t="shared" si="32"/>
        <v>2034</v>
      </c>
      <c r="K149">
        <f t="shared" si="35"/>
        <v>10</v>
      </c>
      <c r="L149" s="101">
        <f t="shared" si="36"/>
        <v>2034</v>
      </c>
      <c r="M149" s="76">
        <f t="shared" si="33"/>
        <v>49218</v>
      </c>
      <c r="N149" s="77">
        <v>42.244700000000002</v>
      </c>
      <c r="O149" s="77">
        <v>51.630299999999998</v>
      </c>
      <c r="P149" s="77">
        <v>52.524999999999999</v>
      </c>
      <c r="Q149" s="78">
        <v>65.717299999999994</v>
      </c>
      <c r="S149" s="98">
        <v>57.840697849462366</v>
      </c>
      <c r="T149" s="100">
        <f t="shared" si="37"/>
        <v>0.89262927176940876</v>
      </c>
      <c r="U149" s="100">
        <f t="shared" si="38"/>
        <v>1.1361775089753838</v>
      </c>
      <c r="AD149" s="154" t="str">
        <f t="shared" si="28"/>
        <v>Winter</v>
      </c>
      <c r="AE149">
        <f t="shared" si="29"/>
        <v>4</v>
      </c>
      <c r="AF149" s="152">
        <v>47209</v>
      </c>
      <c r="AG149" s="153">
        <v>400</v>
      </c>
      <c r="AH149" s="153">
        <v>320</v>
      </c>
      <c r="AI149">
        <f t="shared" si="30"/>
        <v>25</v>
      </c>
      <c r="AJ149">
        <f t="shared" si="31"/>
        <v>5</v>
      </c>
    </row>
    <row r="150" spans="2:36" x14ac:dyDescent="0.2">
      <c r="B150" s="80">
        <f t="shared" si="34"/>
        <v>49249</v>
      </c>
      <c r="C150" s="73">
        <v>7.1890049792152491</v>
      </c>
      <c r="D150" s="73">
        <v>6.7253573340800692</v>
      </c>
      <c r="E150" s="81">
        <f t="shared" si="32"/>
        <v>2034</v>
      </c>
      <c r="K150">
        <f t="shared" si="35"/>
        <v>11</v>
      </c>
      <c r="L150" s="101">
        <f t="shared" si="36"/>
        <v>2034</v>
      </c>
      <c r="M150" s="76">
        <f t="shared" si="33"/>
        <v>49249</v>
      </c>
      <c r="N150" s="77">
        <v>57.052700000000002</v>
      </c>
      <c r="O150" s="77">
        <v>66.371200000000002</v>
      </c>
      <c r="P150" s="77">
        <v>54.674399999999999</v>
      </c>
      <c r="Q150" s="78">
        <v>67.073099999999997</v>
      </c>
      <c r="S150" s="98">
        <v>66.683696393897364</v>
      </c>
      <c r="T150" s="100">
        <f t="shared" si="37"/>
        <v>0.99531375117462806</v>
      </c>
      <c r="U150" s="100">
        <f t="shared" si="38"/>
        <v>1.0058395623992173</v>
      </c>
      <c r="AD150" s="154" t="str">
        <f t="shared" si="28"/>
        <v>Winter</v>
      </c>
      <c r="AE150">
        <f t="shared" si="29"/>
        <v>5</v>
      </c>
      <c r="AF150" s="152">
        <v>47239</v>
      </c>
      <c r="AG150" s="153">
        <v>416</v>
      </c>
      <c r="AH150" s="153">
        <v>328</v>
      </c>
      <c r="AI150">
        <f t="shared" si="30"/>
        <v>26</v>
      </c>
      <c r="AJ150">
        <f t="shared" si="31"/>
        <v>5</v>
      </c>
    </row>
    <row r="151" spans="2:36" x14ac:dyDescent="0.2">
      <c r="B151" s="82">
        <f t="shared" si="34"/>
        <v>49279</v>
      </c>
      <c r="C151" s="83">
        <v>7.2175966855926186</v>
      </c>
      <c r="D151" s="83">
        <v>6.9180350772447206</v>
      </c>
      <c r="E151" s="84">
        <f t="shared" si="32"/>
        <v>2034</v>
      </c>
      <c r="K151">
        <f t="shared" si="35"/>
        <v>12</v>
      </c>
      <c r="L151" s="101">
        <f t="shared" si="36"/>
        <v>2034</v>
      </c>
      <c r="M151" s="85">
        <f t="shared" si="33"/>
        <v>49279</v>
      </c>
      <c r="N151" s="86">
        <v>74.420199999999994</v>
      </c>
      <c r="O151" s="86">
        <v>72.927899999999994</v>
      </c>
      <c r="P151" s="86">
        <v>70.747299999999996</v>
      </c>
      <c r="Q151" s="87">
        <v>79.469300000000004</v>
      </c>
      <c r="S151" s="98">
        <v>75.952418279569898</v>
      </c>
      <c r="T151" s="100">
        <f t="shared" si="37"/>
        <v>0.96017877576409627</v>
      </c>
      <c r="U151" s="100">
        <f t="shared" si="38"/>
        <v>1.0463037491115157</v>
      </c>
      <c r="AD151" s="154" t="str">
        <f t="shared" si="28"/>
        <v>Summer</v>
      </c>
      <c r="AE151">
        <f t="shared" si="29"/>
        <v>6</v>
      </c>
      <c r="AF151" s="152">
        <v>47270</v>
      </c>
      <c r="AG151" s="153">
        <v>416</v>
      </c>
      <c r="AH151" s="153">
        <v>304</v>
      </c>
      <c r="AI151">
        <f t="shared" si="30"/>
        <v>26</v>
      </c>
      <c r="AJ151">
        <f t="shared" si="31"/>
        <v>4</v>
      </c>
    </row>
    <row r="152" spans="2:36" x14ac:dyDescent="0.2">
      <c r="B152" s="206">
        <f t="shared" si="34"/>
        <v>49310</v>
      </c>
      <c r="C152" s="73">
        <v>7.5599874389131099</v>
      </c>
      <c r="D152" s="73">
        <v>7.3733987089001722</v>
      </c>
      <c r="E152" s="205">
        <f t="shared" si="32"/>
        <v>2035</v>
      </c>
      <c r="K152">
        <f t="shared" si="35"/>
        <v>1</v>
      </c>
      <c r="L152" s="101">
        <f t="shared" si="36"/>
        <v>2035</v>
      </c>
      <c r="M152" s="76">
        <f t="shared" si="33"/>
        <v>49310</v>
      </c>
      <c r="N152" s="204">
        <v>52.330300000000001</v>
      </c>
      <c r="O152" s="204">
        <v>58.464799999999997</v>
      </c>
      <c r="P152" s="204">
        <v>56.523499999999999</v>
      </c>
      <c r="Q152" s="203">
        <v>72.077500000000001</v>
      </c>
      <c r="S152" s="98">
        <v>64.466097849462358</v>
      </c>
      <c r="T152" s="100">
        <f t="shared" si="37"/>
        <v>0.90690769179986264</v>
      </c>
      <c r="U152" s="100">
        <f t="shared" si="38"/>
        <v>1.1180682933270036</v>
      </c>
      <c r="AD152" s="154" t="str">
        <f t="shared" si="28"/>
        <v>Summer</v>
      </c>
      <c r="AE152">
        <f t="shared" si="29"/>
        <v>7</v>
      </c>
      <c r="AF152" s="152">
        <v>47300</v>
      </c>
      <c r="AG152" s="153">
        <v>400</v>
      </c>
      <c r="AH152" s="153">
        <v>344</v>
      </c>
      <c r="AI152">
        <f t="shared" si="30"/>
        <v>25</v>
      </c>
      <c r="AJ152">
        <f t="shared" si="31"/>
        <v>6</v>
      </c>
    </row>
    <row r="153" spans="2:36" x14ac:dyDescent="0.2">
      <c r="B153" s="80">
        <f t="shared" si="34"/>
        <v>49341</v>
      </c>
      <c r="C153" s="73">
        <v>7.8641545280340672</v>
      </c>
      <c r="D153" s="73">
        <v>7.6761632249667446</v>
      </c>
      <c r="E153" s="81">
        <f t="shared" si="32"/>
        <v>2035</v>
      </c>
      <c r="K153">
        <f t="shared" si="35"/>
        <v>2</v>
      </c>
      <c r="L153" s="101">
        <f t="shared" si="36"/>
        <v>2035</v>
      </c>
      <c r="M153" s="76">
        <f t="shared" si="33"/>
        <v>49341</v>
      </c>
      <c r="N153" s="77">
        <v>70.069400000000002</v>
      </c>
      <c r="O153" s="77">
        <v>68.862899999999996</v>
      </c>
      <c r="P153" s="77">
        <v>65.235900000000001</v>
      </c>
      <c r="Q153" s="78">
        <v>72.7</v>
      </c>
      <c r="S153" s="98">
        <v>70.507371428571417</v>
      </c>
      <c r="T153" s="100">
        <f t="shared" si="37"/>
        <v>0.97667660281113478</v>
      </c>
      <c r="U153" s="100">
        <f t="shared" si="38"/>
        <v>1.0310978629184873</v>
      </c>
      <c r="AD153" s="154" t="str">
        <f t="shared" si="28"/>
        <v>Summer</v>
      </c>
      <c r="AE153">
        <f t="shared" si="29"/>
        <v>8</v>
      </c>
      <c r="AF153" s="152">
        <v>47331</v>
      </c>
      <c r="AG153" s="153">
        <v>432</v>
      </c>
      <c r="AH153" s="153">
        <v>312</v>
      </c>
      <c r="AI153">
        <f t="shared" si="30"/>
        <v>27</v>
      </c>
      <c r="AJ153">
        <f t="shared" si="31"/>
        <v>4</v>
      </c>
    </row>
    <row r="154" spans="2:36" x14ac:dyDescent="0.2">
      <c r="B154" s="80">
        <f t="shared" si="34"/>
        <v>49369</v>
      </c>
      <c r="C154" s="73">
        <v>6.3720121778363588</v>
      </c>
      <c r="D154" s="73">
        <v>7.7972276064553103</v>
      </c>
      <c r="E154" s="81">
        <f t="shared" si="32"/>
        <v>2035</v>
      </c>
      <c r="K154">
        <f t="shared" si="35"/>
        <v>3</v>
      </c>
      <c r="L154" s="101">
        <f t="shared" si="36"/>
        <v>2035</v>
      </c>
      <c r="M154" s="76">
        <f t="shared" si="33"/>
        <v>49369</v>
      </c>
      <c r="N154" s="77">
        <v>39.848100000000002</v>
      </c>
      <c r="O154" s="77">
        <v>42.043100000000003</v>
      </c>
      <c r="P154" s="77">
        <v>45.389600000000002</v>
      </c>
      <c r="Q154" s="78">
        <v>53.275100000000002</v>
      </c>
      <c r="S154" s="98">
        <v>46.744515881561242</v>
      </c>
      <c r="T154" s="100">
        <f t="shared" si="37"/>
        <v>0.89942315600244027</v>
      </c>
      <c r="U154" s="100">
        <f t="shared" si="38"/>
        <v>1.1397080276750668</v>
      </c>
      <c r="AD154" s="154" t="str">
        <f t="shared" si="28"/>
        <v>Summer</v>
      </c>
      <c r="AE154">
        <f t="shared" si="29"/>
        <v>9</v>
      </c>
      <c r="AF154" s="152">
        <v>47362</v>
      </c>
      <c r="AG154" s="153">
        <v>384</v>
      </c>
      <c r="AH154" s="153">
        <v>336</v>
      </c>
      <c r="AI154">
        <f t="shared" si="30"/>
        <v>24</v>
      </c>
      <c r="AJ154">
        <f t="shared" si="31"/>
        <v>6</v>
      </c>
    </row>
    <row r="155" spans="2:36" x14ac:dyDescent="0.2">
      <c r="B155" s="80">
        <f t="shared" si="34"/>
        <v>49400</v>
      </c>
      <c r="C155" s="73">
        <v>5.8832156656189802</v>
      </c>
      <c r="D155" s="73">
        <v>7.1615101507088932</v>
      </c>
      <c r="E155" s="81">
        <f t="shared" si="32"/>
        <v>2035</v>
      </c>
      <c r="K155">
        <f t="shared" si="35"/>
        <v>4</v>
      </c>
      <c r="L155" s="101">
        <f t="shared" si="36"/>
        <v>2035</v>
      </c>
      <c r="M155" s="76">
        <f t="shared" si="33"/>
        <v>49400</v>
      </c>
      <c r="N155" s="77">
        <v>25.064900000000002</v>
      </c>
      <c r="O155" s="77">
        <v>30.088699999999999</v>
      </c>
      <c r="P155" s="77">
        <v>24.332699999999999</v>
      </c>
      <c r="Q155" s="78">
        <v>33.2622</v>
      </c>
      <c r="S155" s="98">
        <v>31.499144444444443</v>
      </c>
      <c r="T155" s="100">
        <f t="shared" si="37"/>
        <v>0.95522276971896591</v>
      </c>
      <c r="U155" s="100">
        <f t="shared" si="38"/>
        <v>1.0559715378512926</v>
      </c>
      <c r="AD155" s="154" t="str">
        <f t="shared" si="28"/>
        <v>Winter</v>
      </c>
      <c r="AE155">
        <f t="shared" si="29"/>
        <v>10</v>
      </c>
      <c r="AF155" s="152">
        <v>47392</v>
      </c>
      <c r="AG155" s="153">
        <v>432</v>
      </c>
      <c r="AH155" s="153">
        <v>312</v>
      </c>
      <c r="AI155">
        <f t="shared" si="30"/>
        <v>27</v>
      </c>
      <c r="AJ155">
        <f t="shared" si="31"/>
        <v>4</v>
      </c>
    </row>
    <row r="156" spans="2:36" x14ac:dyDescent="0.2">
      <c r="B156" s="80">
        <f t="shared" si="34"/>
        <v>49430</v>
      </c>
      <c r="C156" s="73">
        <v>5.8695281466085367</v>
      </c>
      <c r="D156" s="73">
        <v>6.1171356809728428</v>
      </c>
      <c r="E156" s="81">
        <f t="shared" si="32"/>
        <v>2035</v>
      </c>
      <c r="K156">
        <f t="shared" si="35"/>
        <v>5</v>
      </c>
      <c r="L156" s="101">
        <f t="shared" si="36"/>
        <v>2035</v>
      </c>
      <c r="M156" s="76">
        <f t="shared" si="33"/>
        <v>49430</v>
      </c>
      <c r="N156" s="77">
        <v>11.676</v>
      </c>
      <c r="O156" s="77">
        <v>23.6265</v>
      </c>
      <c r="P156" s="77">
        <v>16.389600000000002</v>
      </c>
      <c r="Q156" s="78">
        <v>33.4054</v>
      </c>
      <c r="S156" s="98">
        <v>27.937627956989246</v>
      </c>
      <c r="T156" s="100">
        <f t="shared" si="37"/>
        <v>0.84568740182143065</v>
      </c>
      <c r="U156" s="100">
        <f t="shared" si="38"/>
        <v>1.1957135391533076</v>
      </c>
      <c r="AD156" s="154" t="str">
        <f t="shared" si="28"/>
        <v>Winter</v>
      </c>
      <c r="AE156">
        <f t="shared" si="29"/>
        <v>11</v>
      </c>
      <c r="AF156" s="152">
        <v>47423</v>
      </c>
      <c r="AG156" s="153">
        <v>400</v>
      </c>
      <c r="AH156" s="153">
        <v>320</v>
      </c>
      <c r="AI156">
        <f t="shared" si="30"/>
        <v>25</v>
      </c>
      <c r="AJ156">
        <f t="shared" si="31"/>
        <v>5</v>
      </c>
    </row>
    <row r="157" spans="2:36" x14ac:dyDescent="0.2">
      <c r="B157" s="80">
        <f t="shared" si="34"/>
        <v>49461</v>
      </c>
      <c r="C157" s="73">
        <v>5.8488447845483122</v>
      </c>
      <c r="D157" s="73">
        <v>5.8749551368231323</v>
      </c>
      <c r="E157" s="81">
        <f t="shared" si="32"/>
        <v>2035</v>
      </c>
      <c r="K157">
        <f t="shared" si="35"/>
        <v>6</v>
      </c>
      <c r="L157" s="101">
        <f t="shared" si="36"/>
        <v>2035</v>
      </c>
      <c r="M157" s="76">
        <f t="shared" si="33"/>
        <v>49461</v>
      </c>
      <c r="N157" s="77">
        <v>25.679500000000001</v>
      </c>
      <c r="O157" s="77">
        <v>35.7791</v>
      </c>
      <c r="P157" s="77">
        <v>37.337499999999999</v>
      </c>
      <c r="Q157" s="78">
        <v>53.176299999999998</v>
      </c>
      <c r="S157" s="98">
        <v>43.124584444444444</v>
      </c>
      <c r="T157" s="100">
        <f t="shared" si="37"/>
        <v>0.82966828459744768</v>
      </c>
      <c r="U157" s="100">
        <f t="shared" si="38"/>
        <v>1.233085505287703</v>
      </c>
      <c r="AD157" s="154" t="str">
        <f t="shared" si="28"/>
        <v>Winter</v>
      </c>
      <c r="AE157">
        <f t="shared" si="29"/>
        <v>12</v>
      </c>
      <c r="AF157" s="152">
        <v>47453</v>
      </c>
      <c r="AG157" s="153">
        <v>400</v>
      </c>
      <c r="AH157" s="153">
        <v>344</v>
      </c>
      <c r="AI157">
        <f t="shared" si="30"/>
        <v>25</v>
      </c>
      <c r="AJ157">
        <f t="shared" si="31"/>
        <v>6</v>
      </c>
    </row>
    <row r="158" spans="2:36" x14ac:dyDescent="0.2">
      <c r="B158" s="80">
        <f t="shared" si="34"/>
        <v>49491</v>
      </c>
      <c r="C158" s="73">
        <v>5.9456713079184826</v>
      </c>
      <c r="D158" s="73">
        <v>5.9808994159187714</v>
      </c>
      <c r="E158" s="81">
        <f t="shared" si="32"/>
        <v>2035</v>
      </c>
      <c r="K158">
        <f t="shared" si="35"/>
        <v>7</v>
      </c>
      <c r="L158" s="101">
        <f t="shared" si="36"/>
        <v>2035</v>
      </c>
      <c r="M158" s="76">
        <f t="shared" si="33"/>
        <v>49491</v>
      </c>
      <c r="N158" s="77">
        <v>50.878900000000002</v>
      </c>
      <c r="O158" s="77">
        <v>66.5505</v>
      </c>
      <c r="P158" s="77">
        <v>49.040599999999998</v>
      </c>
      <c r="Q158" s="78">
        <v>74.344300000000004</v>
      </c>
      <c r="S158" s="98">
        <v>70.154084946236551</v>
      </c>
      <c r="T158" s="100">
        <f t="shared" si="37"/>
        <v>0.94863328416302195</v>
      </c>
      <c r="U158" s="100">
        <f t="shared" si="38"/>
        <v>1.0597287393453236</v>
      </c>
      <c r="AD158" s="154" t="str">
        <f t="shared" si="28"/>
        <v>Winter</v>
      </c>
      <c r="AE158">
        <f t="shared" si="29"/>
        <v>1</v>
      </c>
      <c r="AF158" s="152">
        <v>47484</v>
      </c>
      <c r="AG158" s="153">
        <v>416</v>
      </c>
      <c r="AH158" s="153">
        <v>328</v>
      </c>
      <c r="AI158">
        <f t="shared" si="30"/>
        <v>26</v>
      </c>
      <c r="AJ158">
        <f t="shared" si="31"/>
        <v>5</v>
      </c>
    </row>
    <row r="159" spans="2:36" x14ac:dyDescent="0.2">
      <c r="B159" s="80">
        <f t="shared" si="34"/>
        <v>49522</v>
      </c>
      <c r="C159" s="73">
        <v>6.5284554506742376</v>
      </c>
      <c r="D159" s="73">
        <v>6.0641635414250228</v>
      </c>
      <c r="E159" s="81">
        <f t="shared" si="32"/>
        <v>2035</v>
      </c>
      <c r="K159">
        <f t="shared" si="35"/>
        <v>8</v>
      </c>
      <c r="L159" s="101">
        <f t="shared" si="36"/>
        <v>2035</v>
      </c>
      <c r="M159" s="76">
        <f t="shared" si="33"/>
        <v>49522</v>
      </c>
      <c r="N159" s="77">
        <v>69.533299999999997</v>
      </c>
      <c r="O159" s="77">
        <v>87.597899999999996</v>
      </c>
      <c r="P159" s="77">
        <v>57.721899999999998</v>
      </c>
      <c r="Q159" s="78">
        <v>85.137</v>
      </c>
      <c r="S159" s="98">
        <v>86.565909677419342</v>
      </c>
      <c r="T159" s="100">
        <f t="shared" si="37"/>
        <v>1.0119214402808945</v>
      </c>
      <c r="U159" s="100">
        <f t="shared" si="38"/>
        <v>0.98349339038030037</v>
      </c>
      <c r="AD159" s="154" t="str">
        <f t="shared" si="28"/>
        <v>Winter</v>
      </c>
      <c r="AE159">
        <f t="shared" si="29"/>
        <v>2</v>
      </c>
      <c r="AF159" s="152">
        <v>47515</v>
      </c>
      <c r="AG159" s="153">
        <v>384</v>
      </c>
      <c r="AH159" s="153">
        <v>288</v>
      </c>
      <c r="AI159">
        <f t="shared" si="30"/>
        <v>24</v>
      </c>
      <c r="AJ159">
        <f t="shared" si="31"/>
        <v>4</v>
      </c>
    </row>
    <row r="160" spans="2:36" x14ac:dyDescent="0.2">
      <c r="B160" s="80">
        <f t="shared" si="34"/>
        <v>49553</v>
      </c>
      <c r="C160" s="73">
        <v>6.6193000212916964</v>
      </c>
      <c r="D160" s="73">
        <v>6.3063440855747332</v>
      </c>
      <c r="E160" s="81">
        <f t="shared" si="32"/>
        <v>2035</v>
      </c>
      <c r="K160">
        <f t="shared" si="35"/>
        <v>9</v>
      </c>
      <c r="L160" s="101">
        <f t="shared" si="36"/>
        <v>2035</v>
      </c>
      <c r="M160" s="76">
        <f t="shared" si="33"/>
        <v>49553</v>
      </c>
      <c r="N160" s="77">
        <v>66.3125</v>
      </c>
      <c r="O160" s="77">
        <v>91.808199999999999</v>
      </c>
      <c r="P160" s="77">
        <v>60.900399999999998</v>
      </c>
      <c r="Q160" s="78">
        <v>85.426100000000005</v>
      </c>
      <c r="S160" s="98">
        <v>88.829886666666667</v>
      </c>
      <c r="T160" s="100">
        <f t="shared" si="37"/>
        <v>1.0335282802342125</v>
      </c>
      <c r="U160" s="100">
        <f t="shared" si="38"/>
        <v>0.96168196544661433</v>
      </c>
      <c r="AD160" s="154" t="str">
        <f t="shared" si="28"/>
        <v>Winter</v>
      </c>
      <c r="AE160">
        <f t="shared" si="29"/>
        <v>3</v>
      </c>
      <c r="AF160" s="152">
        <v>47543</v>
      </c>
      <c r="AG160" s="153">
        <v>416</v>
      </c>
      <c r="AH160" s="153">
        <v>328</v>
      </c>
      <c r="AI160">
        <f t="shared" si="30"/>
        <v>26</v>
      </c>
      <c r="AJ160">
        <f t="shared" si="31"/>
        <v>5</v>
      </c>
    </row>
    <row r="161" spans="2:36" x14ac:dyDescent="0.2">
      <c r="B161" s="80">
        <f t="shared" si="34"/>
        <v>49583</v>
      </c>
      <c r="C161" s="73">
        <v>6.8656753634796717</v>
      </c>
      <c r="D161" s="73">
        <v>6.5788166156828742</v>
      </c>
      <c r="E161" s="81">
        <f t="shared" si="32"/>
        <v>2035</v>
      </c>
      <c r="K161">
        <f t="shared" si="35"/>
        <v>10</v>
      </c>
      <c r="L161" s="101">
        <f t="shared" si="36"/>
        <v>2035</v>
      </c>
      <c r="M161" s="76">
        <f t="shared" si="33"/>
        <v>49583</v>
      </c>
      <c r="N161" s="77">
        <v>45.066699999999997</v>
      </c>
      <c r="O161" s="77">
        <v>53.774999999999999</v>
      </c>
      <c r="P161" s="77">
        <v>52.991900000000001</v>
      </c>
      <c r="Q161" s="78">
        <v>69.185000000000002</v>
      </c>
      <c r="S161" s="98">
        <v>60.237258064516126</v>
      </c>
      <c r="T161" s="100">
        <f t="shared" si="37"/>
        <v>0.89271991667358375</v>
      </c>
      <c r="U161" s="100">
        <f t="shared" si="38"/>
        <v>1.1485416538365765</v>
      </c>
      <c r="AD161" s="154" t="str">
        <f t="shared" si="28"/>
        <v>Winter</v>
      </c>
      <c r="AE161">
        <f t="shared" si="29"/>
        <v>4</v>
      </c>
      <c r="AF161" s="152">
        <v>47574</v>
      </c>
      <c r="AG161" s="153">
        <v>416</v>
      </c>
      <c r="AH161" s="153">
        <v>304</v>
      </c>
      <c r="AI161">
        <f t="shared" si="30"/>
        <v>26</v>
      </c>
      <c r="AJ161">
        <f t="shared" si="31"/>
        <v>4</v>
      </c>
    </row>
    <row r="162" spans="2:36" x14ac:dyDescent="0.2">
      <c r="B162" s="80">
        <f t="shared" si="34"/>
        <v>49614</v>
      </c>
      <c r="C162" s="73">
        <v>7.2820801084862623</v>
      </c>
      <c r="D162" s="73">
        <v>6.7074410483679037</v>
      </c>
      <c r="E162" s="81">
        <f t="shared" si="32"/>
        <v>2035</v>
      </c>
      <c r="K162">
        <f t="shared" si="35"/>
        <v>11</v>
      </c>
      <c r="L162" s="101">
        <f t="shared" si="36"/>
        <v>2035</v>
      </c>
      <c r="M162" s="76">
        <f t="shared" si="33"/>
        <v>49614</v>
      </c>
      <c r="N162" s="77">
        <v>68.255899999999997</v>
      </c>
      <c r="O162" s="77">
        <v>73.809100000000001</v>
      </c>
      <c r="P162" s="77">
        <v>60.153300000000002</v>
      </c>
      <c r="Q162" s="78">
        <v>74.014399999999995</v>
      </c>
      <c r="S162" s="98">
        <v>73.900502635228847</v>
      </c>
      <c r="T162" s="100">
        <f t="shared" si="37"/>
        <v>0.99876316625774508</v>
      </c>
      <c r="U162" s="100">
        <f t="shared" si="38"/>
        <v>1.0015412258470466</v>
      </c>
      <c r="AD162" s="154" t="str">
        <f t="shared" si="28"/>
        <v>Winter</v>
      </c>
      <c r="AE162">
        <f t="shared" si="29"/>
        <v>5</v>
      </c>
      <c r="AF162" s="152">
        <v>47604</v>
      </c>
      <c r="AG162" s="153">
        <v>416</v>
      </c>
      <c r="AH162" s="153">
        <v>328</v>
      </c>
      <c r="AI162">
        <f t="shared" si="30"/>
        <v>26</v>
      </c>
      <c r="AJ162">
        <f t="shared" si="31"/>
        <v>5</v>
      </c>
    </row>
    <row r="163" spans="2:36" x14ac:dyDescent="0.2">
      <c r="B163" s="82">
        <f t="shared" si="34"/>
        <v>49644</v>
      </c>
      <c r="C163" s="83">
        <v>7.3456510301125428</v>
      </c>
      <c r="D163" s="83">
        <v>6.9117695553627199</v>
      </c>
      <c r="E163" s="84">
        <f t="shared" si="32"/>
        <v>2035</v>
      </c>
      <c r="K163">
        <f t="shared" si="35"/>
        <v>12</v>
      </c>
      <c r="L163" s="101">
        <f t="shared" si="36"/>
        <v>2035</v>
      </c>
      <c r="M163" s="85">
        <f t="shared" si="33"/>
        <v>49644</v>
      </c>
      <c r="N163" s="86">
        <v>74.132000000000005</v>
      </c>
      <c r="O163" s="86">
        <v>76.9833</v>
      </c>
      <c r="P163" s="86">
        <v>68.484700000000004</v>
      </c>
      <c r="Q163" s="87">
        <v>77.509399999999999</v>
      </c>
      <c r="S163" s="98">
        <v>77.226550537634409</v>
      </c>
      <c r="T163" s="100">
        <f t="shared" si="37"/>
        <v>0.99685016958622452</v>
      </c>
      <c r="U163" s="100">
        <f t="shared" si="38"/>
        <v>1.0036625935043901</v>
      </c>
      <c r="AD163" s="154" t="str">
        <f t="shared" si="28"/>
        <v>Summer</v>
      </c>
      <c r="AE163">
        <f t="shared" si="29"/>
        <v>6</v>
      </c>
      <c r="AF163" s="152">
        <v>47635</v>
      </c>
      <c r="AG163" s="153">
        <v>400</v>
      </c>
      <c r="AH163" s="153">
        <v>320</v>
      </c>
      <c r="AI163">
        <f t="shared" si="30"/>
        <v>25</v>
      </c>
      <c r="AJ163">
        <f t="shared" si="31"/>
        <v>5</v>
      </c>
    </row>
    <row r="164" spans="2:36" x14ac:dyDescent="0.2">
      <c r="B164" s="206">
        <f t="shared" si="34"/>
        <v>49675</v>
      </c>
      <c r="C164" s="73">
        <v>7.4964165172868302</v>
      </c>
      <c r="D164" s="73">
        <v>7.4121310259889022</v>
      </c>
      <c r="E164" s="205">
        <f t="shared" si="32"/>
        <v>2036</v>
      </c>
      <c r="K164">
        <f t="shared" si="35"/>
        <v>1</v>
      </c>
      <c r="L164" s="101">
        <f t="shared" si="36"/>
        <v>2036</v>
      </c>
      <c r="M164" s="76">
        <f t="shared" si="33"/>
        <v>49675</v>
      </c>
      <c r="N164" s="204">
        <v>59.491</v>
      </c>
      <c r="O164" s="204">
        <v>61.600499999999997</v>
      </c>
      <c r="P164" s="204">
        <v>50.051699999999997</v>
      </c>
      <c r="Q164" s="203">
        <v>61.557499999999997</v>
      </c>
      <c r="S164" s="98">
        <v>61.581543010752682</v>
      </c>
      <c r="T164" s="100">
        <f t="shared" si="37"/>
        <v>1.0003078355676149</v>
      </c>
      <c r="U164" s="100">
        <f t="shared" si="38"/>
        <v>0.99960957440204956</v>
      </c>
      <c r="AD164" s="154" t="str">
        <f t="shared" si="28"/>
        <v>Summer</v>
      </c>
      <c r="AE164">
        <f t="shared" si="29"/>
        <v>7</v>
      </c>
      <c r="AF164" s="152">
        <v>47665</v>
      </c>
      <c r="AG164" s="153">
        <v>416</v>
      </c>
      <c r="AH164" s="153">
        <v>328</v>
      </c>
      <c r="AI164">
        <f t="shared" si="30"/>
        <v>26</v>
      </c>
      <c r="AJ164">
        <f t="shared" si="31"/>
        <v>5</v>
      </c>
    </row>
    <row r="165" spans="2:36" x14ac:dyDescent="0.2">
      <c r="B165" s="80">
        <f t="shared" si="34"/>
        <v>49706</v>
      </c>
      <c r="C165" s="73">
        <v>7.4331497627496708</v>
      </c>
      <c r="D165" s="73">
        <v>6.7089944835452586</v>
      </c>
      <c r="E165" s="81">
        <f t="shared" si="32"/>
        <v>2036</v>
      </c>
      <c r="K165">
        <f t="shared" si="35"/>
        <v>2</v>
      </c>
      <c r="L165" s="101">
        <f t="shared" si="36"/>
        <v>2036</v>
      </c>
      <c r="M165" s="76">
        <f t="shared" si="33"/>
        <v>49706</v>
      </c>
      <c r="N165" s="77">
        <v>71.296700000000001</v>
      </c>
      <c r="O165" s="77">
        <v>68.293300000000002</v>
      </c>
      <c r="P165" s="77">
        <v>58.425899999999999</v>
      </c>
      <c r="Q165" s="78">
        <v>66.167699999999996</v>
      </c>
      <c r="S165" s="98">
        <v>67.389309195402305</v>
      </c>
      <c r="T165" s="100">
        <f t="shared" si="37"/>
        <v>1.0134144542419403</v>
      </c>
      <c r="U165" s="100">
        <f t="shared" si="38"/>
        <v>0.98187235913251281</v>
      </c>
      <c r="AD165" s="154" t="str">
        <f t="shared" si="28"/>
        <v>Summer</v>
      </c>
      <c r="AE165">
        <f t="shared" si="29"/>
        <v>8</v>
      </c>
      <c r="AF165" s="152">
        <v>47696</v>
      </c>
      <c r="AG165" s="153">
        <v>432</v>
      </c>
      <c r="AH165" s="153">
        <v>312</v>
      </c>
      <c r="AI165">
        <f t="shared" si="30"/>
        <v>27</v>
      </c>
      <c r="AJ165">
        <f t="shared" si="31"/>
        <v>4</v>
      </c>
    </row>
    <row r="166" spans="2:36" x14ac:dyDescent="0.2">
      <c r="B166" s="80">
        <f t="shared" si="34"/>
        <v>49735</v>
      </c>
      <c r="C166" s="73">
        <v>6.4893192852073405</v>
      </c>
      <c r="D166" s="73">
        <v>6.5776774298861467</v>
      </c>
      <c r="E166" s="81">
        <f t="shared" si="32"/>
        <v>2036</v>
      </c>
      <c r="K166">
        <f t="shared" si="35"/>
        <v>3</v>
      </c>
      <c r="L166" s="101">
        <f t="shared" si="36"/>
        <v>2036</v>
      </c>
      <c r="M166" s="76">
        <f t="shared" si="33"/>
        <v>49735</v>
      </c>
      <c r="N166" s="77">
        <v>42.623600000000003</v>
      </c>
      <c r="O166" s="77">
        <v>46.113100000000003</v>
      </c>
      <c r="P166" s="77">
        <v>38.926400000000001</v>
      </c>
      <c r="Q166" s="78">
        <v>47.0047</v>
      </c>
      <c r="S166" s="98">
        <v>46.505500000000005</v>
      </c>
      <c r="T166" s="100">
        <f t="shared" si="37"/>
        <v>0.99156228833148763</v>
      </c>
      <c r="U166" s="100">
        <f t="shared" si="38"/>
        <v>1.0107342142327251</v>
      </c>
      <c r="AD166" s="154" t="str">
        <f t="shared" si="28"/>
        <v>Summer</v>
      </c>
      <c r="AE166">
        <f t="shared" si="29"/>
        <v>9</v>
      </c>
      <c r="AF166" s="152">
        <v>47727</v>
      </c>
      <c r="AG166" s="153">
        <v>384</v>
      </c>
      <c r="AH166" s="153">
        <v>336</v>
      </c>
      <c r="AI166">
        <f t="shared" si="30"/>
        <v>24</v>
      </c>
      <c r="AJ166">
        <f t="shared" si="31"/>
        <v>6</v>
      </c>
    </row>
    <row r="167" spans="2:36" x14ac:dyDescent="0.2">
      <c r="B167" s="80">
        <f t="shared" si="34"/>
        <v>49766</v>
      </c>
      <c r="C167" s="73">
        <v>6.1177284913312384</v>
      </c>
      <c r="D167" s="73">
        <v>6.5158507098274017</v>
      </c>
      <c r="E167" s="81">
        <f t="shared" si="32"/>
        <v>2036</v>
      </c>
      <c r="K167">
        <f t="shared" si="35"/>
        <v>4</v>
      </c>
      <c r="L167" s="101">
        <f t="shared" si="36"/>
        <v>2036</v>
      </c>
      <c r="M167" s="76">
        <f t="shared" si="33"/>
        <v>49766</v>
      </c>
      <c r="N167" s="77">
        <v>23.4314</v>
      </c>
      <c r="O167" s="77">
        <v>27.456600000000002</v>
      </c>
      <c r="P167" s="77">
        <v>28.684200000000001</v>
      </c>
      <c r="Q167" s="78">
        <v>35.184699999999999</v>
      </c>
      <c r="S167" s="98">
        <v>30.719575555555554</v>
      </c>
      <c r="T167" s="100">
        <f t="shared" si="37"/>
        <v>0.89378188023286498</v>
      </c>
      <c r="U167" s="100">
        <f t="shared" si="38"/>
        <v>1.1453511112602901</v>
      </c>
      <c r="AD167" s="154" t="str">
        <f t="shared" si="28"/>
        <v>Winter</v>
      </c>
      <c r="AE167">
        <f t="shared" si="29"/>
        <v>10</v>
      </c>
      <c r="AF167" s="152">
        <v>47757</v>
      </c>
      <c r="AG167" s="153">
        <v>432</v>
      </c>
      <c r="AH167" s="153">
        <v>312</v>
      </c>
      <c r="AI167">
        <f t="shared" si="30"/>
        <v>27</v>
      </c>
      <c r="AJ167">
        <f t="shared" si="31"/>
        <v>4</v>
      </c>
    </row>
    <row r="168" spans="2:36" x14ac:dyDescent="0.2">
      <c r="B168" s="80">
        <f t="shared" si="34"/>
        <v>49796</v>
      </c>
      <c r="C168" s="73">
        <v>6.1154979326776848</v>
      </c>
      <c r="D168" s="73">
        <v>6.5853410434277677</v>
      </c>
      <c r="E168" s="81">
        <f t="shared" si="32"/>
        <v>2036</v>
      </c>
      <c r="K168">
        <f t="shared" si="35"/>
        <v>5</v>
      </c>
      <c r="L168" s="101">
        <f t="shared" si="36"/>
        <v>2036</v>
      </c>
      <c r="M168" s="76">
        <f t="shared" si="33"/>
        <v>49796</v>
      </c>
      <c r="N168" s="77">
        <v>8.0427999999999997</v>
      </c>
      <c r="O168" s="77">
        <v>20.8719</v>
      </c>
      <c r="P168" s="77">
        <v>12.464700000000001</v>
      </c>
      <c r="Q168" s="78">
        <v>32.173099999999998</v>
      </c>
      <c r="S168" s="98">
        <v>25.854149462365591</v>
      </c>
      <c r="T168" s="100">
        <f t="shared" si="37"/>
        <v>0.80729401020838198</v>
      </c>
      <c r="U168" s="100">
        <f t="shared" si="38"/>
        <v>1.2444075968088815</v>
      </c>
      <c r="AD168" s="154" t="str">
        <f t="shared" si="28"/>
        <v>Winter</v>
      </c>
      <c r="AE168">
        <f t="shared" si="29"/>
        <v>11</v>
      </c>
      <c r="AF168" s="152">
        <v>47788</v>
      </c>
      <c r="AG168" s="153">
        <v>400</v>
      </c>
      <c r="AH168" s="153">
        <v>320</v>
      </c>
      <c r="AI168">
        <f t="shared" si="30"/>
        <v>25</v>
      </c>
      <c r="AJ168">
        <f t="shared" si="31"/>
        <v>5</v>
      </c>
    </row>
    <row r="169" spans="2:36" x14ac:dyDescent="0.2">
      <c r="B169" s="80">
        <f t="shared" si="34"/>
        <v>49827</v>
      </c>
      <c r="C169" s="73">
        <v>6.1031284710534326</v>
      </c>
      <c r="D169" s="73">
        <v>7.0567050574099808</v>
      </c>
      <c r="E169" s="81">
        <f t="shared" si="32"/>
        <v>2036</v>
      </c>
      <c r="K169">
        <f t="shared" si="35"/>
        <v>6</v>
      </c>
      <c r="L169" s="101">
        <f t="shared" si="36"/>
        <v>2036</v>
      </c>
      <c r="M169" s="76">
        <f t="shared" si="33"/>
        <v>49827</v>
      </c>
      <c r="N169" s="77">
        <v>26.516100000000002</v>
      </c>
      <c r="O169" s="77">
        <v>38.257399999999997</v>
      </c>
      <c r="P169" s="77">
        <v>39.243600000000001</v>
      </c>
      <c r="Q169" s="78">
        <v>54.788699999999999</v>
      </c>
      <c r="S169" s="98">
        <v>45.604644444444439</v>
      </c>
      <c r="T169" s="100">
        <f t="shared" si="37"/>
        <v>0.83889262740783233</v>
      </c>
      <c r="U169" s="100">
        <f t="shared" si="38"/>
        <v>1.2013842157402097</v>
      </c>
      <c r="AD169" s="154" t="str">
        <f t="shared" si="28"/>
        <v>Winter</v>
      </c>
      <c r="AE169">
        <f t="shared" si="29"/>
        <v>12</v>
      </c>
      <c r="AF169" s="152">
        <v>47818</v>
      </c>
      <c r="AG169" s="153">
        <v>400</v>
      </c>
      <c r="AH169" s="153">
        <v>344</v>
      </c>
      <c r="AI169">
        <f t="shared" si="30"/>
        <v>25</v>
      </c>
      <c r="AJ169">
        <f t="shared" si="31"/>
        <v>6</v>
      </c>
    </row>
    <row r="170" spans="2:36" x14ac:dyDescent="0.2">
      <c r="B170" s="80">
        <f t="shared" si="34"/>
        <v>49857</v>
      </c>
      <c r="C170" s="73">
        <v>6.3143218199330837</v>
      </c>
      <c r="D170" s="73">
        <v>7.2421852175862185</v>
      </c>
      <c r="E170" s="81">
        <f t="shared" si="32"/>
        <v>2036</v>
      </c>
      <c r="K170">
        <f t="shared" si="35"/>
        <v>7</v>
      </c>
      <c r="L170" s="101">
        <f t="shared" si="36"/>
        <v>2036</v>
      </c>
      <c r="M170" s="76">
        <f t="shared" si="33"/>
        <v>49857</v>
      </c>
      <c r="N170" s="77">
        <v>65.550399999999996</v>
      </c>
      <c r="O170" s="77">
        <v>79.339299999999994</v>
      </c>
      <c r="P170" s="77">
        <v>51.960999999999999</v>
      </c>
      <c r="Q170" s="78">
        <v>76.777600000000007</v>
      </c>
      <c r="S170" s="98">
        <v>78.209948387096773</v>
      </c>
      <c r="T170" s="100">
        <f t="shared" si="37"/>
        <v>1.0144399994654585</v>
      </c>
      <c r="U170" s="100">
        <f t="shared" si="38"/>
        <v>0.98168585433649158</v>
      </c>
      <c r="AD170" s="154" t="str">
        <f t="shared" si="28"/>
        <v>Winter</v>
      </c>
      <c r="AE170">
        <f t="shared" si="29"/>
        <v>1</v>
      </c>
      <c r="AF170" s="152">
        <v>47849</v>
      </c>
      <c r="AG170" s="153">
        <v>416</v>
      </c>
      <c r="AH170" s="153">
        <v>328</v>
      </c>
      <c r="AI170">
        <f t="shared" si="30"/>
        <v>26</v>
      </c>
      <c r="AJ170">
        <f t="shared" si="31"/>
        <v>5</v>
      </c>
    </row>
    <row r="171" spans="2:36" x14ac:dyDescent="0.2">
      <c r="B171" s="80">
        <f t="shared" si="34"/>
        <v>49888</v>
      </c>
      <c r="C171" s="73">
        <v>6.8697309246679517</v>
      </c>
      <c r="D171" s="73">
        <v>7.2808139723297893</v>
      </c>
      <c r="E171" s="81">
        <f t="shared" si="32"/>
        <v>2036</v>
      </c>
      <c r="K171">
        <f t="shared" si="35"/>
        <v>8</v>
      </c>
      <c r="L171" s="101">
        <f t="shared" si="36"/>
        <v>2036</v>
      </c>
      <c r="M171" s="76">
        <f t="shared" si="33"/>
        <v>49888</v>
      </c>
      <c r="N171" s="77">
        <v>75.760800000000003</v>
      </c>
      <c r="O171" s="77">
        <v>92.297200000000004</v>
      </c>
      <c r="P171" s="77">
        <v>62.806800000000003</v>
      </c>
      <c r="Q171" s="78">
        <v>89.0137</v>
      </c>
      <c r="S171" s="98">
        <v>90.849635483870955</v>
      </c>
      <c r="T171" s="100">
        <f t="shared" si="37"/>
        <v>1.0159336304259146</v>
      </c>
      <c r="U171" s="100">
        <f t="shared" si="38"/>
        <v>0.97979149311835267</v>
      </c>
      <c r="AD171" s="154" t="str">
        <f t="shared" si="28"/>
        <v>Winter</v>
      </c>
      <c r="AE171">
        <f t="shared" si="29"/>
        <v>2</v>
      </c>
      <c r="AF171" s="152">
        <v>47880</v>
      </c>
      <c r="AG171" s="153">
        <v>384</v>
      </c>
      <c r="AH171" s="153">
        <v>288</v>
      </c>
      <c r="AI171">
        <f t="shared" si="30"/>
        <v>24</v>
      </c>
      <c r="AJ171">
        <f t="shared" si="31"/>
        <v>4</v>
      </c>
    </row>
    <row r="172" spans="2:36" x14ac:dyDescent="0.2">
      <c r="B172" s="80">
        <f t="shared" si="34"/>
        <v>49919</v>
      </c>
      <c r="C172" s="73">
        <v>6.9311726766703847</v>
      </c>
      <c r="D172" s="73">
        <v>6.7476232382888313</v>
      </c>
      <c r="E172" s="81">
        <f t="shared" si="32"/>
        <v>2036</v>
      </c>
      <c r="K172">
        <f t="shared" si="35"/>
        <v>9</v>
      </c>
      <c r="L172" s="101">
        <f t="shared" si="36"/>
        <v>2036</v>
      </c>
      <c r="M172" s="76">
        <f t="shared" si="33"/>
        <v>49919</v>
      </c>
      <c r="N172" s="77">
        <v>71.625600000000006</v>
      </c>
      <c r="O172" s="77">
        <v>85.856300000000005</v>
      </c>
      <c r="P172" s="77">
        <v>61.8962</v>
      </c>
      <c r="Q172" s="78">
        <v>86.429100000000005</v>
      </c>
      <c r="S172" s="98">
        <v>86.110877777777787</v>
      </c>
      <c r="T172" s="100">
        <f t="shared" si="37"/>
        <v>0.99704360489234867</v>
      </c>
      <c r="U172" s="100">
        <f t="shared" si="38"/>
        <v>1.0036954938845639</v>
      </c>
      <c r="AD172" s="154" t="str">
        <f t="shared" si="28"/>
        <v>Winter</v>
      </c>
      <c r="AE172">
        <f t="shared" si="29"/>
        <v>3</v>
      </c>
      <c r="AF172" s="152">
        <v>47908</v>
      </c>
      <c r="AG172" s="153">
        <v>416</v>
      </c>
      <c r="AH172" s="153">
        <v>328</v>
      </c>
      <c r="AI172">
        <f t="shared" si="30"/>
        <v>26</v>
      </c>
      <c r="AJ172">
        <f t="shared" si="31"/>
        <v>5</v>
      </c>
    </row>
    <row r="173" spans="2:36" x14ac:dyDescent="0.2">
      <c r="B173" s="80">
        <f t="shared" si="34"/>
        <v>49949</v>
      </c>
      <c r="C173" s="73">
        <v>7.1629479985805542</v>
      </c>
      <c r="D173" s="73">
        <v>6.5467640698567742</v>
      </c>
      <c r="E173" s="81">
        <f t="shared" si="32"/>
        <v>2036</v>
      </c>
      <c r="K173">
        <f t="shared" si="35"/>
        <v>10</v>
      </c>
      <c r="L173" s="101">
        <f t="shared" si="36"/>
        <v>2036</v>
      </c>
      <c r="M173" s="76">
        <f t="shared" si="33"/>
        <v>49949</v>
      </c>
      <c r="N173" s="77">
        <v>45.024700000000003</v>
      </c>
      <c r="O173" s="77">
        <v>51.694299999999998</v>
      </c>
      <c r="P173" s="77">
        <v>53.847999999999999</v>
      </c>
      <c r="Q173" s="78">
        <v>69.552199999999999</v>
      </c>
      <c r="S173" s="98">
        <v>59.183096774193544</v>
      </c>
      <c r="T173" s="100">
        <f t="shared" si="37"/>
        <v>0.87346392496549807</v>
      </c>
      <c r="U173" s="100">
        <f t="shared" si="38"/>
        <v>1.1752037962016182</v>
      </c>
      <c r="AD173" s="154" t="str">
        <f t="shared" si="28"/>
        <v>Winter</v>
      </c>
      <c r="AE173">
        <f t="shared" si="29"/>
        <v>4</v>
      </c>
      <c r="AF173" s="152">
        <v>47939</v>
      </c>
      <c r="AG173" s="153">
        <v>416</v>
      </c>
      <c r="AH173" s="153">
        <v>304</v>
      </c>
      <c r="AI173">
        <f t="shared" si="30"/>
        <v>26</v>
      </c>
      <c r="AJ173">
        <f t="shared" si="31"/>
        <v>4</v>
      </c>
    </row>
    <row r="174" spans="2:36" x14ac:dyDescent="0.2">
      <c r="B174" s="80">
        <f t="shared" si="34"/>
        <v>49980</v>
      </c>
      <c r="C174" s="73">
        <v>7.5124359839805335</v>
      </c>
      <c r="D174" s="73">
        <v>6.7089944835452595</v>
      </c>
      <c r="E174" s="81">
        <f t="shared" si="32"/>
        <v>2036</v>
      </c>
      <c r="K174">
        <f t="shared" si="35"/>
        <v>11</v>
      </c>
      <c r="L174" s="101">
        <f t="shared" si="36"/>
        <v>2036</v>
      </c>
      <c r="M174" s="76">
        <f t="shared" si="33"/>
        <v>49980</v>
      </c>
      <c r="N174" s="77">
        <v>71.284999999999997</v>
      </c>
      <c r="O174" s="77">
        <v>72.746499999999997</v>
      </c>
      <c r="P174" s="77">
        <v>58.2331</v>
      </c>
      <c r="Q174" s="78">
        <v>73.127200000000002</v>
      </c>
      <c r="S174" s="98">
        <v>72.924441608876563</v>
      </c>
      <c r="T174" s="100">
        <f t="shared" si="37"/>
        <v>0.99755991811591871</v>
      </c>
      <c r="U174" s="100">
        <f t="shared" si="38"/>
        <v>1.0027803900400214</v>
      </c>
      <c r="AD174" s="154" t="str">
        <f t="shared" si="28"/>
        <v>Winter</v>
      </c>
      <c r="AE174">
        <f t="shared" si="29"/>
        <v>5</v>
      </c>
      <c r="AF174" s="152">
        <v>47969</v>
      </c>
      <c r="AG174" s="153">
        <v>416</v>
      </c>
      <c r="AH174" s="153">
        <v>328</v>
      </c>
      <c r="AI174">
        <f t="shared" si="30"/>
        <v>26</v>
      </c>
      <c r="AJ174">
        <f t="shared" si="31"/>
        <v>5</v>
      </c>
    </row>
    <row r="175" spans="2:36" x14ac:dyDescent="0.2">
      <c r="B175" s="82">
        <f t="shared" si="34"/>
        <v>50010</v>
      </c>
      <c r="C175" s="83">
        <v>7.6468778373719966</v>
      </c>
      <c r="D175" s="83">
        <v>6.7708212036040045</v>
      </c>
      <c r="E175" s="84">
        <f t="shared" si="32"/>
        <v>2036</v>
      </c>
      <c r="K175">
        <f t="shared" si="35"/>
        <v>12</v>
      </c>
      <c r="L175" s="101">
        <f t="shared" si="36"/>
        <v>2036</v>
      </c>
      <c r="M175" s="85">
        <f t="shared" si="33"/>
        <v>50010</v>
      </c>
      <c r="N175" s="86">
        <v>78.800700000000006</v>
      </c>
      <c r="O175" s="86">
        <v>79.176699999999997</v>
      </c>
      <c r="P175" s="86">
        <v>69.038200000000003</v>
      </c>
      <c r="Q175" s="87">
        <v>78.121499999999997</v>
      </c>
      <c r="S175" s="98">
        <v>78.711504301075266</v>
      </c>
      <c r="T175" s="100">
        <f t="shared" si="37"/>
        <v>1.0059101360475253</v>
      </c>
      <c r="U175" s="100">
        <f t="shared" si="38"/>
        <v>0.99250421769582153</v>
      </c>
      <c r="AD175" s="154" t="str">
        <f t="shared" si="28"/>
        <v>Summer</v>
      </c>
      <c r="AE175">
        <f t="shared" si="29"/>
        <v>6</v>
      </c>
      <c r="AF175" s="152">
        <v>48000</v>
      </c>
      <c r="AG175" s="153">
        <v>400</v>
      </c>
      <c r="AH175" s="153">
        <v>320</v>
      </c>
      <c r="AI175">
        <f t="shared" si="30"/>
        <v>25</v>
      </c>
      <c r="AJ175">
        <f t="shared" si="31"/>
        <v>5</v>
      </c>
    </row>
    <row r="176" spans="2:36" x14ac:dyDescent="0.2">
      <c r="B176" s="206">
        <f t="shared" si="34"/>
        <v>50041</v>
      </c>
      <c r="C176" s="73">
        <v>7.821165579438305</v>
      </c>
      <c r="D176" s="73">
        <v>7.9699695981772329</v>
      </c>
      <c r="E176" s="205">
        <f t="shared" si="32"/>
        <v>2037</v>
      </c>
      <c r="K176">
        <f t="shared" si="35"/>
        <v>1</v>
      </c>
      <c r="L176" s="101">
        <f t="shared" si="36"/>
        <v>2037</v>
      </c>
      <c r="M176" s="76">
        <f t="shared" si="33"/>
        <v>50041</v>
      </c>
      <c r="N176" s="204">
        <v>62.453699999999998</v>
      </c>
      <c r="O176" s="204">
        <v>65.115499999999997</v>
      </c>
      <c r="P176" s="204">
        <v>51.256999999999998</v>
      </c>
      <c r="Q176" s="203">
        <v>62.307400000000001</v>
      </c>
      <c r="S176" s="98">
        <v>63.877520430107538</v>
      </c>
      <c r="T176" s="100">
        <f t="shared" si="37"/>
        <v>1.0193805201197033</v>
      </c>
      <c r="U176" s="100">
        <f t="shared" si="38"/>
        <v>0.9754198281408637</v>
      </c>
      <c r="AD176" s="154" t="str">
        <f t="shared" si="28"/>
        <v>Summer</v>
      </c>
      <c r="AE176">
        <f t="shared" si="29"/>
        <v>7</v>
      </c>
      <c r="AF176" s="152">
        <v>48030</v>
      </c>
      <c r="AG176" s="153">
        <v>416</v>
      </c>
      <c r="AH176" s="153">
        <v>328</v>
      </c>
      <c r="AI176">
        <f t="shared" si="30"/>
        <v>26</v>
      </c>
      <c r="AJ176">
        <f t="shared" si="31"/>
        <v>5</v>
      </c>
    </row>
    <row r="177" spans="2:36" x14ac:dyDescent="0.2">
      <c r="B177" s="80">
        <f t="shared" si="34"/>
        <v>50072</v>
      </c>
      <c r="C177" s="73">
        <v>8.0174547409510293</v>
      </c>
      <c r="D177" s="73">
        <v>7.9620470787727218</v>
      </c>
      <c r="E177" s="81">
        <f t="shared" si="32"/>
        <v>2037</v>
      </c>
      <c r="K177">
        <f t="shared" si="35"/>
        <v>2</v>
      </c>
      <c r="L177" s="101">
        <f t="shared" si="36"/>
        <v>2037</v>
      </c>
      <c r="M177" s="76">
        <f t="shared" si="33"/>
        <v>50072</v>
      </c>
      <c r="N177" s="77">
        <v>71.386499999999998</v>
      </c>
      <c r="O177" s="77">
        <v>72.724999999999994</v>
      </c>
      <c r="P177" s="77">
        <v>59.211300000000001</v>
      </c>
      <c r="Q177" s="78">
        <v>62.158200000000001</v>
      </c>
      <c r="S177" s="98">
        <v>68.196371428571425</v>
      </c>
      <c r="T177" s="100">
        <f t="shared" si="37"/>
        <v>1.0664057115732593</v>
      </c>
      <c r="U177" s="100">
        <f t="shared" si="38"/>
        <v>0.9114590512356544</v>
      </c>
      <c r="AD177" s="154" t="str">
        <f t="shared" si="28"/>
        <v>Summer</v>
      </c>
      <c r="AE177">
        <f t="shared" si="29"/>
        <v>8</v>
      </c>
      <c r="AF177" s="152">
        <v>48061</v>
      </c>
      <c r="AG177" s="153">
        <v>416</v>
      </c>
      <c r="AH177" s="153">
        <v>328</v>
      </c>
      <c r="AI177">
        <f t="shared" si="30"/>
        <v>26</v>
      </c>
      <c r="AJ177">
        <f t="shared" si="31"/>
        <v>5</v>
      </c>
    </row>
    <row r="178" spans="2:36" x14ac:dyDescent="0.2">
      <c r="B178" s="80">
        <f t="shared" si="34"/>
        <v>50100</v>
      </c>
      <c r="C178" s="73">
        <v>6.8496558967859684</v>
      </c>
      <c r="D178" s="73">
        <v>7.464999603191564</v>
      </c>
      <c r="E178" s="81">
        <f t="shared" si="32"/>
        <v>2037</v>
      </c>
      <c r="K178">
        <f t="shared" si="35"/>
        <v>3</v>
      </c>
      <c r="L178" s="101">
        <f t="shared" si="36"/>
        <v>2037</v>
      </c>
      <c r="M178" s="76">
        <f t="shared" si="33"/>
        <v>50100</v>
      </c>
      <c r="N178" s="77">
        <v>51.4983</v>
      </c>
      <c r="O178" s="77">
        <v>51.758899999999997</v>
      </c>
      <c r="P178" s="77">
        <v>50.4602</v>
      </c>
      <c r="Q178" s="78">
        <v>54.113300000000002</v>
      </c>
      <c r="S178" s="98">
        <v>52.795089502018833</v>
      </c>
      <c r="T178" s="100">
        <f t="shared" si="37"/>
        <v>0.98037337351271636</v>
      </c>
      <c r="U178" s="100">
        <f t="shared" si="38"/>
        <v>1.0249684300266366</v>
      </c>
      <c r="AD178" s="154" t="str">
        <f t="shared" si="28"/>
        <v>Summer</v>
      </c>
      <c r="AE178">
        <f t="shared" si="29"/>
        <v>9</v>
      </c>
      <c r="AF178" s="152">
        <v>48092</v>
      </c>
      <c r="AG178" s="153">
        <v>400</v>
      </c>
      <c r="AH178" s="153">
        <v>320</v>
      </c>
      <c r="AI178">
        <f t="shared" si="30"/>
        <v>25</v>
      </c>
      <c r="AJ178">
        <f t="shared" si="31"/>
        <v>5</v>
      </c>
    </row>
    <row r="179" spans="2:36" x14ac:dyDescent="0.2">
      <c r="B179" s="80">
        <f t="shared" si="34"/>
        <v>50131</v>
      </c>
      <c r="C179" s="73">
        <v>6.5542082642198114</v>
      </c>
      <c r="D179" s="73">
        <v>6.6919066965943497</v>
      </c>
      <c r="E179" s="81">
        <f t="shared" si="32"/>
        <v>2037</v>
      </c>
      <c r="K179">
        <f t="shared" si="35"/>
        <v>4</v>
      </c>
      <c r="L179" s="101">
        <f t="shared" si="36"/>
        <v>2037</v>
      </c>
      <c r="M179" s="76">
        <f t="shared" si="33"/>
        <v>50131</v>
      </c>
      <c r="N179" s="77">
        <v>24.805700000000002</v>
      </c>
      <c r="O179" s="77">
        <v>30.328399999999998</v>
      </c>
      <c r="P179" s="77">
        <v>33.554200000000002</v>
      </c>
      <c r="Q179" s="78">
        <v>42.880099999999999</v>
      </c>
      <c r="S179" s="98">
        <v>35.628006666666664</v>
      </c>
      <c r="T179" s="100">
        <f t="shared" si="37"/>
        <v>0.85125166512262551</v>
      </c>
      <c r="U179" s="100">
        <f t="shared" si="38"/>
        <v>1.2035503529900915</v>
      </c>
      <c r="AD179" s="154" t="str">
        <f t="shared" si="28"/>
        <v>Winter</v>
      </c>
      <c r="AE179">
        <f t="shared" si="29"/>
        <v>10</v>
      </c>
      <c r="AF179" s="152">
        <v>48122</v>
      </c>
      <c r="AG179" s="153">
        <v>432</v>
      </c>
      <c r="AH179" s="153">
        <v>312</v>
      </c>
      <c r="AI179">
        <f t="shared" si="30"/>
        <v>27</v>
      </c>
      <c r="AJ179">
        <f t="shared" si="31"/>
        <v>4</v>
      </c>
    </row>
    <row r="180" spans="2:36" x14ac:dyDescent="0.2">
      <c r="B180" s="80">
        <f t="shared" si="34"/>
        <v>50161</v>
      </c>
      <c r="C180" s="73">
        <v>6.5444749173679408</v>
      </c>
      <c r="D180" s="73">
        <v>6.5183362061111705</v>
      </c>
      <c r="E180" s="81">
        <f t="shared" si="32"/>
        <v>2037</v>
      </c>
      <c r="K180">
        <f t="shared" si="35"/>
        <v>5</v>
      </c>
      <c r="L180" s="101">
        <f t="shared" si="36"/>
        <v>2037</v>
      </c>
      <c r="M180" s="76">
        <f t="shared" si="33"/>
        <v>50161</v>
      </c>
      <c r="N180" s="77">
        <v>12.1845</v>
      </c>
      <c r="O180" s="77">
        <v>22.338999999999999</v>
      </c>
      <c r="P180" s="77">
        <v>20.184799999999999</v>
      </c>
      <c r="Q180" s="78">
        <v>38.647199999999998</v>
      </c>
      <c r="S180" s="98">
        <v>29.879350537634409</v>
      </c>
      <c r="T180" s="100">
        <f t="shared" si="37"/>
        <v>0.74764007911962493</v>
      </c>
      <c r="U180" s="100">
        <f t="shared" si="38"/>
        <v>1.2934417684655521</v>
      </c>
      <c r="AD180" s="154" t="str">
        <f t="shared" si="28"/>
        <v>Winter</v>
      </c>
      <c r="AE180">
        <f t="shared" si="29"/>
        <v>11</v>
      </c>
      <c r="AF180" s="152">
        <v>48153</v>
      </c>
      <c r="AG180" s="153">
        <v>384</v>
      </c>
      <c r="AH180" s="153">
        <v>336</v>
      </c>
      <c r="AI180">
        <f t="shared" si="30"/>
        <v>24</v>
      </c>
      <c r="AJ180">
        <f t="shared" si="31"/>
        <v>6</v>
      </c>
    </row>
    <row r="181" spans="2:36" x14ac:dyDescent="0.2">
      <c r="B181" s="80">
        <f t="shared" si="34"/>
        <v>50192</v>
      </c>
      <c r="C181" s="73">
        <v>6.5929388735678804</v>
      </c>
      <c r="D181" s="73">
        <v>6.5972507131208253</v>
      </c>
      <c r="E181" s="81">
        <f t="shared" si="32"/>
        <v>2037</v>
      </c>
      <c r="K181">
        <f t="shared" si="35"/>
        <v>6</v>
      </c>
      <c r="L181" s="101">
        <f t="shared" si="36"/>
        <v>2037</v>
      </c>
      <c r="M181" s="76">
        <f t="shared" si="33"/>
        <v>50192</v>
      </c>
      <c r="N181" s="77">
        <v>30.6783</v>
      </c>
      <c r="O181" s="77">
        <v>41.034100000000002</v>
      </c>
      <c r="P181" s="77">
        <v>45.344299999999997</v>
      </c>
      <c r="Q181" s="78">
        <v>58.017099999999999</v>
      </c>
      <c r="S181" s="98">
        <v>48.204700000000003</v>
      </c>
      <c r="T181" s="100">
        <f t="shared" si="37"/>
        <v>0.85124687011847389</v>
      </c>
      <c r="U181" s="100">
        <f t="shared" si="38"/>
        <v>1.2035569145747198</v>
      </c>
      <c r="AD181" s="154" t="str">
        <f t="shared" si="28"/>
        <v>Winter</v>
      </c>
      <c r="AE181">
        <f t="shared" si="29"/>
        <v>12</v>
      </c>
      <c r="AF181" s="152">
        <v>48183</v>
      </c>
      <c r="AG181" s="153">
        <v>416</v>
      </c>
      <c r="AH181" s="153">
        <v>328</v>
      </c>
      <c r="AI181">
        <f t="shared" si="30"/>
        <v>26</v>
      </c>
      <c r="AJ181">
        <f t="shared" si="31"/>
        <v>5</v>
      </c>
    </row>
    <row r="182" spans="2:36" x14ac:dyDescent="0.2">
      <c r="B182" s="80">
        <f t="shared" si="34"/>
        <v>50222</v>
      </c>
      <c r="C182" s="73">
        <v>6.6401861614113358</v>
      </c>
      <c r="D182" s="73">
        <v>6.6761134389579038</v>
      </c>
      <c r="E182" s="81">
        <f t="shared" si="32"/>
        <v>2037</v>
      </c>
      <c r="K182">
        <f t="shared" si="35"/>
        <v>7</v>
      </c>
      <c r="L182" s="101">
        <f t="shared" si="36"/>
        <v>2037</v>
      </c>
      <c r="M182" s="76">
        <f t="shared" si="33"/>
        <v>50222</v>
      </c>
      <c r="N182" s="77">
        <v>57.176099999999998</v>
      </c>
      <c r="O182" s="77">
        <v>75.781199999999998</v>
      </c>
      <c r="P182" s="77">
        <v>55.2273</v>
      </c>
      <c r="Q182" s="78">
        <v>82.340199999999996</v>
      </c>
      <c r="S182" s="98">
        <v>78.67280215053762</v>
      </c>
      <c r="T182" s="100">
        <f t="shared" si="37"/>
        <v>0.96324521217631676</v>
      </c>
      <c r="U182" s="100">
        <f t="shared" si="38"/>
        <v>1.0466158284593059</v>
      </c>
      <c r="AD182" s="154" t="str">
        <f t="shared" si="28"/>
        <v>Winter</v>
      </c>
      <c r="AE182">
        <f t="shared" si="29"/>
        <v>1</v>
      </c>
      <c r="AF182" s="152">
        <v>48214</v>
      </c>
      <c r="AG182" s="151">
        <v>416</v>
      </c>
      <c r="AH182" s="151">
        <v>328</v>
      </c>
      <c r="AI182">
        <f t="shared" si="30"/>
        <v>26</v>
      </c>
      <c r="AJ182">
        <f t="shared" si="31"/>
        <v>5</v>
      </c>
    </row>
    <row r="183" spans="2:36" x14ac:dyDescent="0.2">
      <c r="B183" s="80">
        <f t="shared" si="34"/>
        <v>50253</v>
      </c>
      <c r="C183" s="73">
        <v>7.1712618990165264</v>
      </c>
      <c r="D183" s="73">
        <v>6.8970119211778425</v>
      </c>
      <c r="E183" s="81">
        <f t="shared" si="32"/>
        <v>2037</v>
      </c>
      <c r="K183">
        <f t="shared" si="35"/>
        <v>8</v>
      </c>
      <c r="L183" s="101">
        <f t="shared" si="36"/>
        <v>2037</v>
      </c>
      <c r="M183" s="76">
        <f t="shared" si="33"/>
        <v>50253</v>
      </c>
      <c r="N183" s="77">
        <v>84.919399999999996</v>
      </c>
      <c r="O183" s="77">
        <v>95.551299999999998</v>
      </c>
      <c r="P183" s="77">
        <v>73.394800000000004</v>
      </c>
      <c r="Q183" s="78">
        <v>93.898899999999998</v>
      </c>
      <c r="S183" s="98">
        <v>94.822822580645152</v>
      </c>
      <c r="T183" s="100">
        <f t="shared" si="37"/>
        <v>1.0076825114411174</v>
      </c>
      <c r="U183" s="100">
        <f t="shared" si="38"/>
        <v>0.99025632695272936</v>
      </c>
      <c r="AD183" s="154" t="str">
        <f t="shared" si="28"/>
        <v>Winter</v>
      </c>
      <c r="AE183">
        <f t="shared" si="29"/>
        <v>2</v>
      </c>
      <c r="AF183" s="152">
        <v>48245</v>
      </c>
      <c r="AG183" s="151">
        <v>384</v>
      </c>
      <c r="AH183" s="151">
        <v>312</v>
      </c>
      <c r="AI183">
        <f t="shared" si="30"/>
        <v>24</v>
      </c>
      <c r="AJ183">
        <f t="shared" si="31"/>
        <v>5</v>
      </c>
    </row>
    <row r="184" spans="2:36" x14ac:dyDescent="0.2">
      <c r="B184" s="80">
        <f t="shared" si="34"/>
        <v>50284</v>
      </c>
      <c r="C184" s="73">
        <v>7.2049230568792453</v>
      </c>
      <c r="D184" s="73">
        <v>7.1573676569026121</v>
      </c>
      <c r="E184" s="81">
        <f t="shared" si="32"/>
        <v>2037</v>
      </c>
      <c r="K184">
        <f t="shared" si="35"/>
        <v>9</v>
      </c>
      <c r="L184" s="101">
        <f t="shared" si="36"/>
        <v>2037</v>
      </c>
      <c r="M184" s="76">
        <f t="shared" si="33"/>
        <v>50284</v>
      </c>
      <c r="N184" s="77">
        <v>73.160499999999999</v>
      </c>
      <c r="O184" s="77">
        <v>89.672300000000007</v>
      </c>
      <c r="P184" s="77">
        <v>68.728200000000001</v>
      </c>
      <c r="Q184" s="78">
        <v>87.064099999999996</v>
      </c>
      <c r="S184" s="98">
        <v>88.513100000000009</v>
      </c>
      <c r="T184" s="100">
        <f t="shared" si="37"/>
        <v>1.0130963665265367</v>
      </c>
      <c r="U184" s="100">
        <f t="shared" si="38"/>
        <v>0.98362954184182894</v>
      </c>
      <c r="AD184" s="154" t="str">
        <f t="shared" si="28"/>
        <v>Winter</v>
      </c>
      <c r="AE184">
        <f t="shared" si="29"/>
        <v>3</v>
      </c>
      <c r="AF184" s="152">
        <v>48274</v>
      </c>
      <c r="AG184" s="151">
        <v>432</v>
      </c>
      <c r="AH184" s="151">
        <v>312</v>
      </c>
      <c r="AI184">
        <f t="shared" si="30"/>
        <v>27</v>
      </c>
      <c r="AJ184">
        <f t="shared" si="31"/>
        <v>4</v>
      </c>
    </row>
    <row r="185" spans="2:36" x14ac:dyDescent="0.2">
      <c r="B185" s="80">
        <f t="shared" si="34"/>
        <v>50314</v>
      </c>
      <c r="C185" s="73">
        <v>7.5104082033863939</v>
      </c>
      <c r="D185" s="73">
        <v>7.2125663868713081</v>
      </c>
      <c r="E185" s="81">
        <f t="shared" si="32"/>
        <v>2037</v>
      </c>
      <c r="K185">
        <f t="shared" si="35"/>
        <v>10</v>
      </c>
      <c r="L185" s="101">
        <f t="shared" si="36"/>
        <v>2037</v>
      </c>
      <c r="M185" s="76">
        <f t="shared" si="33"/>
        <v>50314</v>
      </c>
      <c r="N185" s="77">
        <v>45.305100000000003</v>
      </c>
      <c r="O185" s="77">
        <v>56.030700000000003</v>
      </c>
      <c r="P185" s="77">
        <v>57.417499999999997</v>
      </c>
      <c r="Q185" s="78">
        <v>74.008700000000005</v>
      </c>
      <c r="S185" s="98">
        <v>63.569861290322578</v>
      </c>
      <c r="T185" s="100">
        <f t="shared" si="37"/>
        <v>0.88140352775206887</v>
      </c>
      <c r="U185" s="100">
        <f t="shared" si="38"/>
        <v>1.1642105000355973</v>
      </c>
      <c r="AD185" s="154" t="str">
        <f t="shared" si="28"/>
        <v>Winter</v>
      </c>
      <c r="AE185">
        <f t="shared" si="29"/>
        <v>4</v>
      </c>
      <c r="AF185" s="152">
        <v>48305</v>
      </c>
      <c r="AG185" s="151">
        <v>416</v>
      </c>
      <c r="AH185" s="151">
        <v>304</v>
      </c>
      <c r="AI185">
        <f t="shared" si="30"/>
        <v>26</v>
      </c>
      <c r="AJ185">
        <f t="shared" si="31"/>
        <v>4</v>
      </c>
    </row>
    <row r="186" spans="2:36" x14ac:dyDescent="0.2">
      <c r="B186" s="80">
        <f t="shared" si="34"/>
        <v>50345</v>
      </c>
      <c r="C186" s="73">
        <v>7.8547253482713169</v>
      </c>
      <c r="D186" s="73">
        <v>7.4886635990599455</v>
      </c>
      <c r="E186" s="81">
        <f t="shared" si="32"/>
        <v>2037</v>
      </c>
      <c r="K186">
        <f t="shared" si="35"/>
        <v>11</v>
      </c>
      <c r="L186" s="101">
        <f t="shared" si="36"/>
        <v>2037</v>
      </c>
      <c r="M186" s="76">
        <f t="shared" si="33"/>
        <v>50345</v>
      </c>
      <c r="N186" s="77">
        <v>65.650199999999998</v>
      </c>
      <c r="O186" s="77">
        <v>75.858999999999995</v>
      </c>
      <c r="P186" s="77">
        <v>58.941400000000002</v>
      </c>
      <c r="Q186" s="78">
        <v>74.811999999999998</v>
      </c>
      <c r="S186" s="98">
        <v>75.369625520110958</v>
      </c>
      <c r="T186" s="100">
        <f t="shared" si="37"/>
        <v>1.0064929933844298</v>
      </c>
      <c r="U186" s="100">
        <f t="shared" si="38"/>
        <v>0.99260145560943291</v>
      </c>
      <c r="AD186" s="154" t="str">
        <f t="shared" si="28"/>
        <v>Winter</v>
      </c>
      <c r="AE186">
        <f t="shared" si="29"/>
        <v>5</v>
      </c>
      <c r="AF186" s="152">
        <v>48335</v>
      </c>
      <c r="AG186" s="151">
        <v>400</v>
      </c>
      <c r="AH186" s="151">
        <v>344</v>
      </c>
      <c r="AI186">
        <f t="shared" si="30"/>
        <v>25</v>
      </c>
      <c r="AJ186">
        <f t="shared" si="31"/>
        <v>6</v>
      </c>
    </row>
    <row r="187" spans="2:36" x14ac:dyDescent="0.2">
      <c r="B187" s="82">
        <f t="shared" si="34"/>
        <v>50375</v>
      </c>
      <c r="C187" s="83">
        <v>8.101404857548415</v>
      </c>
      <c r="D187" s="83">
        <v>7.8673910952991974</v>
      </c>
      <c r="E187" s="84">
        <f t="shared" si="32"/>
        <v>2037</v>
      </c>
      <c r="K187">
        <f t="shared" si="35"/>
        <v>12</v>
      </c>
      <c r="L187" s="101">
        <f t="shared" si="36"/>
        <v>2037</v>
      </c>
      <c r="M187" s="85">
        <f t="shared" si="33"/>
        <v>50375</v>
      </c>
      <c r="N187" s="86">
        <v>81.787499999999994</v>
      </c>
      <c r="O187" s="86">
        <v>85.220699999999994</v>
      </c>
      <c r="P187" s="86">
        <v>70.930599999999998</v>
      </c>
      <c r="Q187" s="87">
        <v>80.121399999999994</v>
      </c>
      <c r="S187" s="98">
        <v>82.972621505376338</v>
      </c>
      <c r="T187" s="100">
        <f t="shared" si="37"/>
        <v>1.0270942204047149</v>
      </c>
      <c r="U187" s="100">
        <f t="shared" si="38"/>
        <v>0.96563659851109329</v>
      </c>
      <c r="AD187" s="154" t="str">
        <f t="shared" si="28"/>
        <v>Summer</v>
      </c>
      <c r="AE187">
        <f t="shared" si="29"/>
        <v>6</v>
      </c>
      <c r="AF187" s="152">
        <v>48366</v>
      </c>
      <c r="AG187" s="151">
        <v>416</v>
      </c>
      <c r="AH187" s="151">
        <v>304</v>
      </c>
      <c r="AI187">
        <f t="shared" si="30"/>
        <v>26</v>
      </c>
      <c r="AJ187">
        <f t="shared" si="31"/>
        <v>4</v>
      </c>
    </row>
    <row r="188" spans="2:36" x14ac:dyDescent="0.2">
      <c r="B188" s="206">
        <f t="shared" si="34"/>
        <v>50406</v>
      </c>
      <c r="C188" s="73">
        <v>8.201273051809796</v>
      </c>
      <c r="D188" s="73">
        <v>8.3142626146517724</v>
      </c>
      <c r="E188" s="205">
        <f t="shared" si="32"/>
        <v>2038</v>
      </c>
      <c r="K188">
        <f t="shared" si="35"/>
        <v>1</v>
      </c>
      <c r="L188" s="101">
        <f t="shared" si="36"/>
        <v>2038</v>
      </c>
      <c r="M188" s="76">
        <f t="shared" si="33"/>
        <v>50406</v>
      </c>
      <c r="N188" s="204">
        <v>57.593699999999998</v>
      </c>
      <c r="O188" s="204">
        <v>62.133400000000002</v>
      </c>
      <c r="P188" s="204">
        <v>50.467799999999997</v>
      </c>
      <c r="Q188" s="203">
        <v>60.219200000000001</v>
      </c>
      <c r="S188" s="98">
        <v>61.248339784946239</v>
      </c>
      <c r="T188" s="100">
        <f t="shared" si="37"/>
        <v>1.014450354379586</v>
      </c>
      <c r="U188" s="100">
        <f t="shared" si="38"/>
        <v>0.9831972623493187</v>
      </c>
      <c r="AD188" s="154" t="str">
        <f t="shared" si="28"/>
        <v>Summer</v>
      </c>
      <c r="AE188">
        <f t="shared" si="29"/>
        <v>7</v>
      </c>
      <c r="AF188" s="152">
        <v>48396</v>
      </c>
      <c r="AG188" s="151">
        <v>416</v>
      </c>
      <c r="AH188" s="151">
        <v>328</v>
      </c>
      <c r="AI188">
        <f t="shared" si="30"/>
        <v>26</v>
      </c>
      <c r="AJ188">
        <f t="shared" si="31"/>
        <v>5</v>
      </c>
    </row>
    <row r="189" spans="2:36" x14ac:dyDescent="0.2">
      <c r="B189" s="80">
        <f t="shared" si="34"/>
        <v>50437</v>
      </c>
      <c r="C189" s="73">
        <v>8.4375094910270718</v>
      </c>
      <c r="D189" s="73">
        <v>8.5237174577318626</v>
      </c>
      <c r="E189" s="81">
        <f t="shared" si="32"/>
        <v>2038</v>
      </c>
      <c r="K189">
        <f t="shared" si="35"/>
        <v>2</v>
      </c>
      <c r="L189" s="101">
        <f t="shared" si="36"/>
        <v>2038</v>
      </c>
      <c r="M189" s="76">
        <f t="shared" si="33"/>
        <v>50437</v>
      </c>
      <c r="N189" s="77">
        <v>80.069400000000002</v>
      </c>
      <c r="O189" s="77">
        <v>76.419600000000003</v>
      </c>
      <c r="P189" s="77">
        <v>72.293599999999998</v>
      </c>
      <c r="Q189" s="78">
        <v>79.650199999999998</v>
      </c>
      <c r="S189" s="98">
        <v>77.80414285714285</v>
      </c>
      <c r="T189" s="100">
        <f t="shared" si="37"/>
        <v>0.98220476691472558</v>
      </c>
      <c r="U189" s="100">
        <f t="shared" si="38"/>
        <v>1.0237269774470328</v>
      </c>
      <c r="AD189" s="154" t="str">
        <f t="shared" si="28"/>
        <v>Summer</v>
      </c>
      <c r="AE189">
        <f t="shared" si="29"/>
        <v>8</v>
      </c>
      <c r="AF189" s="152">
        <v>48427</v>
      </c>
      <c r="AG189" s="151">
        <v>416</v>
      </c>
      <c r="AH189" s="151">
        <v>328</v>
      </c>
      <c r="AI189">
        <f t="shared" si="30"/>
        <v>26</v>
      </c>
      <c r="AJ189">
        <f t="shared" si="31"/>
        <v>5</v>
      </c>
    </row>
    <row r="190" spans="2:36" x14ac:dyDescent="0.2">
      <c r="B190" s="80">
        <f t="shared" si="34"/>
        <v>50465</v>
      </c>
      <c r="C190" s="73">
        <v>7.1864702534725753</v>
      </c>
      <c r="D190" s="73">
        <v>7.8471446568209977</v>
      </c>
      <c r="E190" s="81">
        <f t="shared" si="32"/>
        <v>2038</v>
      </c>
      <c r="K190">
        <f t="shared" si="35"/>
        <v>3</v>
      </c>
      <c r="L190" s="101">
        <f t="shared" si="36"/>
        <v>2038</v>
      </c>
      <c r="M190" s="76">
        <f t="shared" si="33"/>
        <v>50465</v>
      </c>
      <c r="N190" s="77">
        <v>46.225499999999997</v>
      </c>
      <c r="O190" s="77">
        <v>44.704599999999999</v>
      </c>
      <c r="P190" s="77">
        <v>48.846499999999999</v>
      </c>
      <c r="Q190" s="78">
        <v>54.94</v>
      </c>
      <c r="S190" s="98">
        <v>48.988865679676984</v>
      </c>
      <c r="T190" s="100">
        <f t="shared" si="37"/>
        <v>0.91254613430548748</v>
      </c>
      <c r="U190" s="100">
        <f t="shared" si="38"/>
        <v>1.1214793246946284</v>
      </c>
      <c r="AD190" s="154" t="str">
        <f t="shared" si="28"/>
        <v>Summer</v>
      </c>
      <c r="AE190">
        <f t="shared" si="29"/>
        <v>9</v>
      </c>
      <c r="AF190" s="152">
        <v>48458</v>
      </c>
      <c r="AG190" s="151">
        <v>400</v>
      </c>
      <c r="AH190" s="151">
        <v>320</v>
      </c>
      <c r="AI190">
        <f t="shared" si="30"/>
        <v>25</v>
      </c>
      <c r="AJ190">
        <f t="shared" si="31"/>
        <v>5</v>
      </c>
    </row>
    <row r="191" spans="2:36" x14ac:dyDescent="0.2">
      <c r="B191" s="80">
        <f t="shared" si="34"/>
        <v>50496</v>
      </c>
      <c r="C191" s="73">
        <v>6.859085076548717</v>
      </c>
      <c r="D191" s="73">
        <v>6.9772209575019621</v>
      </c>
      <c r="E191" s="81">
        <f t="shared" si="32"/>
        <v>2038</v>
      </c>
      <c r="K191">
        <f t="shared" si="35"/>
        <v>4</v>
      </c>
      <c r="L191" s="101">
        <f t="shared" si="36"/>
        <v>2038</v>
      </c>
      <c r="M191" s="76">
        <f t="shared" si="33"/>
        <v>50496</v>
      </c>
      <c r="N191" s="77">
        <v>25.366900000000001</v>
      </c>
      <c r="O191" s="77">
        <v>29.543500000000002</v>
      </c>
      <c r="P191" s="77">
        <v>35.674599999999998</v>
      </c>
      <c r="Q191" s="78">
        <v>40.982599999999998</v>
      </c>
      <c r="S191" s="98">
        <v>34.373342222222227</v>
      </c>
      <c r="T191" s="100">
        <f t="shared" si="37"/>
        <v>0.85948872265613574</v>
      </c>
      <c r="U191" s="100">
        <f t="shared" si="38"/>
        <v>1.1922785900494981</v>
      </c>
      <c r="AD191" s="154" t="str">
        <f t="shared" si="28"/>
        <v>Winter</v>
      </c>
      <c r="AE191">
        <f t="shared" si="29"/>
        <v>10</v>
      </c>
      <c r="AF191" s="152">
        <v>48488</v>
      </c>
      <c r="AG191" s="151">
        <v>416</v>
      </c>
      <c r="AH191" s="151">
        <v>328</v>
      </c>
      <c r="AI191">
        <f t="shared" si="30"/>
        <v>26</v>
      </c>
      <c r="AJ191">
        <f t="shared" si="31"/>
        <v>5</v>
      </c>
    </row>
    <row r="192" spans="2:36" x14ac:dyDescent="0.2">
      <c r="B192" s="80">
        <f t="shared" si="34"/>
        <v>50526</v>
      </c>
      <c r="C192" s="73">
        <v>6.863140637736997</v>
      </c>
      <c r="D192" s="73">
        <v>6.7758439773441204</v>
      </c>
      <c r="E192" s="81">
        <f t="shared" si="32"/>
        <v>2038</v>
      </c>
      <c r="K192">
        <f t="shared" si="35"/>
        <v>5</v>
      </c>
      <c r="L192" s="101">
        <f t="shared" si="36"/>
        <v>2038</v>
      </c>
      <c r="M192" s="76">
        <f t="shared" si="33"/>
        <v>50526</v>
      </c>
      <c r="N192" s="77">
        <v>12.9854</v>
      </c>
      <c r="O192" s="77">
        <v>24.816299999999998</v>
      </c>
      <c r="P192" s="77">
        <v>19.580500000000001</v>
      </c>
      <c r="Q192" s="78">
        <v>37.360700000000001</v>
      </c>
      <c r="S192" s="98">
        <v>30.616398924731183</v>
      </c>
      <c r="T192" s="100">
        <f t="shared" si="37"/>
        <v>0.81055580902932367</v>
      </c>
      <c r="U192" s="100">
        <f t="shared" si="38"/>
        <v>1.2202839429891585</v>
      </c>
      <c r="AD192" s="154" t="str">
        <f t="shared" si="28"/>
        <v>Winter</v>
      </c>
      <c r="AE192">
        <f t="shared" si="29"/>
        <v>11</v>
      </c>
      <c r="AF192" s="152">
        <v>48519</v>
      </c>
      <c r="AG192" s="151">
        <v>400</v>
      </c>
      <c r="AH192" s="151">
        <v>320</v>
      </c>
      <c r="AI192">
        <f t="shared" si="30"/>
        <v>25</v>
      </c>
      <c r="AJ192">
        <f t="shared" si="31"/>
        <v>5</v>
      </c>
    </row>
    <row r="193" spans="2:36" x14ac:dyDescent="0.2">
      <c r="B193" s="80">
        <f t="shared" si="34"/>
        <v>50557</v>
      </c>
      <c r="C193" s="73">
        <v>6.9070420876001224</v>
      </c>
      <c r="D193" s="73">
        <v>6.9128051788142901</v>
      </c>
      <c r="E193" s="81">
        <f t="shared" si="32"/>
        <v>2038</v>
      </c>
      <c r="K193">
        <f t="shared" si="35"/>
        <v>6</v>
      </c>
      <c r="L193" s="101">
        <f t="shared" si="36"/>
        <v>2038</v>
      </c>
      <c r="M193" s="76">
        <f t="shared" si="33"/>
        <v>50557</v>
      </c>
      <c r="N193" s="77">
        <v>30.836600000000001</v>
      </c>
      <c r="O193" s="77">
        <v>40.917900000000003</v>
      </c>
      <c r="P193" s="77">
        <v>43.884799999999998</v>
      </c>
      <c r="Q193" s="78">
        <v>57.780299999999997</v>
      </c>
      <c r="S193" s="98">
        <v>48.037579999999998</v>
      </c>
      <c r="T193" s="100">
        <f t="shared" si="37"/>
        <v>0.85178936990581133</v>
      </c>
      <c r="U193" s="100">
        <f t="shared" si="38"/>
        <v>1.2028145464446793</v>
      </c>
      <c r="AD193" s="154" t="str">
        <f t="shared" si="28"/>
        <v>Winter</v>
      </c>
      <c r="AE193">
        <f t="shared" si="29"/>
        <v>12</v>
      </c>
      <c r="AF193" s="152">
        <v>48549</v>
      </c>
      <c r="AG193" s="151">
        <v>416</v>
      </c>
      <c r="AH193" s="151">
        <v>328</v>
      </c>
      <c r="AI193">
        <f t="shared" si="30"/>
        <v>26</v>
      </c>
      <c r="AJ193">
        <f t="shared" si="31"/>
        <v>5</v>
      </c>
    </row>
    <row r="194" spans="2:36" x14ac:dyDescent="0.2">
      <c r="B194" s="80">
        <f t="shared" si="34"/>
        <v>50587</v>
      </c>
      <c r="C194" s="73">
        <v>6.973857458177025</v>
      </c>
      <c r="D194" s="73">
        <v>7.0255327915177155</v>
      </c>
      <c r="E194" s="81">
        <f t="shared" si="32"/>
        <v>2038</v>
      </c>
      <c r="K194">
        <f t="shared" si="35"/>
        <v>7</v>
      </c>
      <c r="L194" s="101">
        <f t="shared" si="36"/>
        <v>2038</v>
      </c>
      <c r="M194" s="76">
        <f t="shared" si="33"/>
        <v>50587</v>
      </c>
      <c r="N194" s="77">
        <v>64.3386</v>
      </c>
      <c r="O194" s="77">
        <v>81.542599999999993</v>
      </c>
      <c r="P194" s="77">
        <v>67.247799999999998</v>
      </c>
      <c r="Q194" s="78">
        <v>94.7453</v>
      </c>
      <c r="S194" s="98">
        <v>87.363145161290319</v>
      </c>
      <c r="T194" s="100">
        <f t="shared" si="37"/>
        <v>0.93337527912320006</v>
      </c>
      <c r="U194" s="100">
        <f t="shared" si="38"/>
        <v>1.0844996459900877</v>
      </c>
      <c r="AD194" s="154" t="str">
        <f t="shared" ref="AD194:AD257" si="39">IF(AND(AE194&gt;=6,AE194&lt;=9),"Summer","Winter")</f>
        <v>Winter</v>
      </c>
      <c r="AE194">
        <f t="shared" ref="AE194:AE257" si="40">MONTH(AF194)</f>
        <v>1</v>
      </c>
      <c r="AF194" s="152">
        <v>48580</v>
      </c>
      <c r="AG194" s="151">
        <v>400</v>
      </c>
      <c r="AH194" s="151">
        <v>344</v>
      </c>
      <c r="AI194">
        <f t="shared" ref="AI194:AI257" si="41">AG194/16</f>
        <v>25</v>
      </c>
      <c r="AJ194">
        <f t="shared" ref="AJ194:AJ257" si="42">EDATE(AF194,1)-AF194-AI194</f>
        <v>6</v>
      </c>
    </row>
    <row r="195" spans="2:36" x14ac:dyDescent="0.2">
      <c r="B195" s="80">
        <f t="shared" si="34"/>
        <v>50618</v>
      </c>
      <c r="C195" s="73">
        <v>7.5711402321808778</v>
      </c>
      <c r="D195" s="73">
        <v>7.2671955239416413</v>
      </c>
      <c r="E195" s="81">
        <f t="shared" si="32"/>
        <v>2038</v>
      </c>
      <c r="K195">
        <f t="shared" si="35"/>
        <v>8</v>
      </c>
      <c r="L195" s="101">
        <f t="shared" si="36"/>
        <v>2038</v>
      </c>
      <c r="M195" s="76">
        <f t="shared" si="33"/>
        <v>50618</v>
      </c>
      <c r="N195" s="77">
        <v>89.838700000000003</v>
      </c>
      <c r="O195" s="77">
        <v>102.34990000000001</v>
      </c>
      <c r="P195" s="77">
        <v>70.230199999999996</v>
      </c>
      <c r="Q195" s="78">
        <v>96.001000000000005</v>
      </c>
      <c r="S195" s="98">
        <v>99.55092258064515</v>
      </c>
      <c r="T195" s="100">
        <f t="shared" si="37"/>
        <v>1.0281160369667839</v>
      </c>
      <c r="U195" s="100">
        <f t="shared" si="38"/>
        <v>0.96434063604212816</v>
      </c>
      <c r="AD195" s="154" t="str">
        <f t="shared" si="39"/>
        <v>Winter</v>
      </c>
      <c r="AE195">
        <f t="shared" si="40"/>
        <v>2</v>
      </c>
      <c r="AF195" s="152">
        <v>48611</v>
      </c>
      <c r="AG195" s="151">
        <v>384</v>
      </c>
      <c r="AH195" s="151">
        <v>288</v>
      </c>
      <c r="AI195">
        <f t="shared" si="41"/>
        <v>24</v>
      </c>
      <c r="AJ195">
        <f t="shared" si="42"/>
        <v>4</v>
      </c>
    </row>
    <row r="196" spans="2:36" x14ac:dyDescent="0.2">
      <c r="B196" s="80">
        <f t="shared" si="34"/>
        <v>50649</v>
      </c>
      <c r="C196" s="73">
        <v>7.6099722305586539</v>
      </c>
      <c r="D196" s="73">
        <v>7.5168843381152364</v>
      </c>
      <c r="E196" s="81">
        <f t="shared" si="32"/>
        <v>2038</v>
      </c>
      <c r="K196">
        <f t="shared" si="35"/>
        <v>9</v>
      </c>
      <c r="L196" s="101">
        <f t="shared" si="36"/>
        <v>2038</v>
      </c>
      <c r="M196" s="76">
        <f t="shared" si="33"/>
        <v>50649</v>
      </c>
      <c r="N196" s="77">
        <v>79.798000000000002</v>
      </c>
      <c r="O196" s="77">
        <v>91.278999999999996</v>
      </c>
      <c r="P196" s="77">
        <v>68.014499999999998</v>
      </c>
      <c r="Q196" s="78">
        <v>89.059399999999997</v>
      </c>
      <c r="S196" s="98">
        <v>90.292511111111111</v>
      </c>
      <c r="T196" s="100">
        <f t="shared" si="37"/>
        <v>1.0109254785003703</v>
      </c>
      <c r="U196" s="100">
        <f t="shared" si="38"/>
        <v>0.98634315187453714</v>
      </c>
      <c r="AD196" s="154" t="str">
        <f t="shared" si="39"/>
        <v>Winter</v>
      </c>
      <c r="AE196">
        <f t="shared" si="40"/>
        <v>3</v>
      </c>
      <c r="AF196" s="152">
        <v>48639</v>
      </c>
      <c r="AG196" s="151">
        <v>432</v>
      </c>
      <c r="AH196" s="151">
        <v>312</v>
      </c>
      <c r="AI196">
        <f t="shared" si="41"/>
        <v>27</v>
      </c>
      <c r="AJ196">
        <f t="shared" si="42"/>
        <v>4</v>
      </c>
    </row>
    <row r="197" spans="2:36" x14ac:dyDescent="0.2">
      <c r="B197" s="80">
        <f t="shared" si="34"/>
        <v>50679</v>
      </c>
      <c r="C197" s="73">
        <v>7.8575642411031135</v>
      </c>
      <c r="D197" s="73">
        <v>7.6296637319912399</v>
      </c>
      <c r="E197" s="81">
        <f t="shared" si="32"/>
        <v>2038</v>
      </c>
      <c r="K197">
        <f t="shared" si="35"/>
        <v>10</v>
      </c>
      <c r="L197" s="101">
        <f t="shared" si="36"/>
        <v>2038</v>
      </c>
      <c r="M197" s="76">
        <f t="shared" si="33"/>
        <v>50679</v>
      </c>
      <c r="N197" s="77">
        <v>50.608600000000003</v>
      </c>
      <c r="O197" s="77">
        <v>57.474600000000002</v>
      </c>
      <c r="P197" s="77">
        <v>62.567999999999998</v>
      </c>
      <c r="Q197" s="78">
        <v>76.022499999999994</v>
      </c>
      <c r="S197" s="98">
        <v>65.651631182795697</v>
      </c>
      <c r="T197" s="100">
        <f t="shared" si="37"/>
        <v>0.87544816426528449</v>
      </c>
      <c r="U197" s="100">
        <f t="shared" si="38"/>
        <v>1.1579681819074441</v>
      </c>
      <c r="AD197" s="154" t="str">
        <f t="shared" si="39"/>
        <v>Winter</v>
      </c>
      <c r="AE197">
        <f t="shared" si="40"/>
        <v>4</v>
      </c>
      <c r="AF197" s="152">
        <v>48670</v>
      </c>
      <c r="AG197" s="151">
        <v>416</v>
      </c>
      <c r="AH197" s="151">
        <v>304</v>
      </c>
      <c r="AI197">
        <f t="shared" si="41"/>
        <v>26</v>
      </c>
      <c r="AJ197">
        <f t="shared" si="42"/>
        <v>4</v>
      </c>
    </row>
    <row r="198" spans="2:36" x14ac:dyDescent="0.2">
      <c r="B198" s="80">
        <f t="shared" si="34"/>
        <v>50710</v>
      </c>
      <c r="C198" s="73">
        <v>8.2482161725641294</v>
      </c>
      <c r="D198" s="73">
        <v>7.8390667938987502</v>
      </c>
      <c r="E198" s="81">
        <f t="shared" si="32"/>
        <v>2038</v>
      </c>
      <c r="K198">
        <f t="shared" si="35"/>
        <v>11</v>
      </c>
      <c r="L198" s="101">
        <f t="shared" si="36"/>
        <v>2038</v>
      </c>
      <c r="M198" s="76">
        <f t="shared" si="33"/>
        <v>50710</v>
      </c>
      <c r="N198" s="77">
        <v>75.966099999999997</v>
      </c>
      <c r="O198" s="77">
        <v>76.718800000000002</v>
      </c>
      <c r="P198" s="77">
        <v>74.142099999999999</v>
      </c>
      <c r="Q198" s="78">
        <v>81.499300000000005</v>
      </c>
      <c r="S198" s="98">
        <v>78.847150208044383</v>
      </c>
      <c r="T198" s="100">
        <f t="shared" si="37"/>
        <v>0.97300663115371244</v>
      </c>
      <c r="U198" s="100">
        <f t="shared" si="38"/>
        <v>1.0336365966931933</v>
      </c>
      <c r="AD198" s="154" t="str">
        <f t="shared" si="39"/>
        <v>Winter</v>
      </c>
      <c r="AE198">
        <f t="shared" si="40"/>
        <v>5</v>
      </c>
      <c r="AF198" s="152">
        <v>48700</v>
      </c>
      <c r="AG198" s="151">
        <v>400</v>
      </c>
      <c r="AH198" s="151">
        <v>344</v>
      </c>
      <c r="AI198">
        <f t="shared" si="41"/>
        <v>25</v>
      </c>
      <c r="AJ198">
        <f t="shared" si="42"/>
        <v>6</v>
      </c>
    </row>
    <row r="199" spans="2:36" x14ac:dyDescent="0.2">
      <c r="B199" s="82">
        <f t="shared" si="34"/>
        <v>50740</v>
      </c>
      <c r="C199" s="83">
        <v>8.3141190418736706</v>
      </c>
      <c r="D199" s="83">
        <v>8.2740286435582675</v>
      </c>
      <c r="E199" s="84">
        <f t="shared" si="32"/>
        <v>2038</v>
      </c>
      <c r="K199">
        <f t="shared" si="35"/>
        <v>12</v>
      </c>
      <c r="L199" s="101">
        <f t="shared" si="36"/>
        <v>2038</v>
      </c>
      <c r="M199" s="85">
        <f t="shared" si="33"/>
        <v>50740</v>
      </c>
      <c r="N199" s="86">
        <v>83.877099999999999</v>
      </c>
      <c r="O199" s="86">
        <v>85.494299999999996</v>
      </c>
      <c r="P199" s="86">
        <v>74.998999999999995</v>
      </c>
      <c r="Q199" s="87">
        <v>78.203500000000005</v>
      </c>
      <c r="S199" s="98">
        <v>82.280076344086027</v>
      </c>
      <c r="T199" s="100">
        <f t="shared" si="37"/>
        <v>1.0390644223818224</v>
      </c>
      <c r="U199" s="100">
        <f t="shared" si="38"/>
        <v>0.95045487893037151</v>
      </c>
      <c r="AD199" s="154" t="str">
        <f t="shared" si="39"/>
        <v>Summer</v>
      </c>
      <c r="AE199">
        <f t="shared" si="40"/>
        <v>6</v>
      </c>
      <c r="AF199" s="152">
        <v>48731</v>
      </c>
      <c r="AG199" s="151">
        <v>416</v>
      </c>
      <c r="AH199" s="151">
        <v>304</v>
      </c>
      <c r="AI199">
        <f t="shared" si="41"/>
        <v>26</v>
      </c>
      <c r="AJ199">
        <f t="shared" si="42"/>
        <v>4</v>
      </c>
    </row>
    <row r="200" spans="2:36" x14ac:dyDescent="0.2">
      <c r="B200" s="206">
        <f t="shared" si="34"/>
        <v>50771</v>
      </c>
      <c r="C200" s="73">
        <v>8.7335654577714692</v>
      </c>
      <c r="D200" s="73">
        <v>8.7683317169927655</v>
      </c>
      <c r="E200" s="205">
        <f t="shared" ref="E200:E247" si="43">YEAR(B200)</f>
        <v>2039</v>
      </c>
      <c r="K200">
        <f t="shared" si="35"/>
        <v>1</v>
      </c>
      <c r="L200" s="101">
        <f t="shared" si="36"/>
        <v>2039</v>
      </c>
      <c r="M200" s="76">
        <f t="shared" ref="M200:M247" si="44">B200</f>
        <v>50771</v>
      </c>
      <c r="N200" s="204">
        <v>73.536000000000001</v>
      </c>
      <c r="O200" s="204">
        <v>74.132800000000003</v>
      </c>
      <c r="P200" s="204">
        <v>55.250300000000003</v>
      </c>
      <c r="Q200" s="203">
        <v>65.602500000000006</v>
      </c>
      <c r="S200" s="98">
        <v>70.188682795698938</v>
      </c>
      <c r="T200" s="100">
        <f t="shared" si="37"/>
        <v>1.0561930648532238</v>
      </c>
      <c r="U200" s="100">
        <f t="shared" si="38"/>
        <v>0.93465922691485581</v>
      </c>
      <c r="AD200" s="154" t="str">
        <f t="shared" si="39"/>
        <v>Summer</v>
      </c>
      <c r="AE200">
        <f t="shared" si="40"/>
        <v>7</v>
      </c>
      <c r="AF200" s="152">
        <v>48761</v>
      </c>
      <c r="AG200" s="151">
        <v>400</v>
      </c>
      <c r="AH200" s="151">
        <v>344</v>
      </c>
      <c r="AI200">
        <f t="shared" si="41"/>
        <v>25</v>
      </c>
      <c r="AJ200">
        <f t="shared" si="42"/>
        <v>6</v>
      </c>
    </row>
    <row r="201" spans="2:36" x14ac:dyDescent="0.2">
      <c r="B201" s="80">
        <f t="shared" ref="B201:B247" si="45">EDATE(B200,1)</f>
        <v>50802</v>
      </c>
      <c r="C201" s="73">
        <v>8.8859531694210716</v>
      </c>
      <c r="D201" s="73">
        <v>8.7189324783528619</v>
      </c>
      <c r="E201" s="81">
        <f t="shared" si="43"/>
        <v>2039</v>
      </c>
      <c r="K201">
        <f t="shared" ref="K201:K247" si="46">MONTH(M201)</f>
        <v>2</v>
      </c>
      <c r="L201" s="101">
        <f t="shared" ref="L201:L247" si="47">YEAR(M201)</f>
        <v>2039</v>
      </c>
      <c r="M201" s="76">
        <f t="shared" si="44"/>
        <v>50802</v>
      </c>
      <c r="N201" s="77">
        <v>77.563500000000005</v>
      </c>
      <c r="O201" s="77">
        <v>73.546300000000002</v>
      </c>
      <c r="P201" s="77">
        <v>61.856499999999997</v>
      </c>
      <c r="Q201" s="78">
        <v>71.047899999999998</v>
      </c>
      <c r="S201" s="98">
        <v>72.475557142857141</v>
      </c>
      <c r="T201" s="100">
        <f t="shared" ref="T201:T247" si="48">O201/S201</f>
        <v>1.0147738478923634</v>
      </c>
      <c r="U201" s="100">
        <f t="shared" ref="U201:U247" si="49">Q201/S201</f>
        <v>0.98030153614351556</v>
      </c>
      <c r="AD201" s="154" t="str">
        <f t="shared" si="39"/>
        <v>Summer</v>
      </c>
      <c r="AE201">
        <f t="shared" si="40"/>
        <v>8</v>
      </c>
      <c r="AF201" s="152">
        <v>48792</v>
      </c>
      <c r="AG201" s="151">
        <v>432</v>
      </c>
      <c r="AH201" s="151">
        <v>312</v>
      </c>
      <c r="AI201">
        <f t="shared" si="41"/>
        <v>27</v>
      </c>
      <c r="AJ201">
        <f t="shared" si="42"/>
        <v>4</v>
      </c>
    </row>
    <row r="202" spans="2:36" x14ac:dyDescent="0.2">
      <c r="B202" s="80">
        <f t="shared" si="45"/>
        <v>50830</v>
      </c>
      <c r="C202" s="73">
        <v>7.6571181293724022</v>
      </c>
      <c r="D202" s="73">
        <v>7.5593966808021955</v>
      </c>
      <c r="E202" s="81">
        <f t="shared" si="43"/>
        <v>2039</v>
      </c>
      <c r="K202">
        <f t="shared" si="46"/>
        <v>3</v>
      </c>
      <c r="L202" s="101">
        <f t="shared" si="47"/>
        <v>2039</v>
      </c>
      <c r="M202" s="76">
        <f t="shared" si="44"/>
        <v>50830</v>
      </c>
      <c r="N202" s="77">
        <v>44.663800000000002</v>
      </c>
      <c r="O202" s="77">
        <v>43.547199999999997</v>
      </c>
      <c r="P202" s="77">
        <v>57.272399999999998</v>
      </c>
      <c r="Q202" s="78">
        <v>62.059699999999999</v>
      </c>
      <c r="S202" s="98">
        <v>51.296039165545082</v>
      </c>
      <c r="T202" s="100">
        <f t="shared" si="48"/>
        <v>0.84893884027697242</v>
      </c>
      <c r="U202" s="100">
        <f t="shared" si="49"/>
        <v>1.2098341511265207</v>
      </c>
      <c r="AD202" s="154" t="str">
        <f t="shared" si="39"/>
        <v>Summer</v>
      </c>
      <c r="AE202">
        <f t="shared" si="40"/>
        <v>9</v>
      </c>
      <c r="AF202" s="152">
        <v>48823</v>
      </c>
      <c r="AG202" s="151">
        <v>400</v>
      </c>
      <c r="AH202" s="151">
        <v>320</v>
      </c>
      <c r="AI202">
        <f t="shared" si="41"/>
        <v>25</v>
      </c>
      <c r="AJ202">
        <f t="shared" si="42"/>
        <v>5</v>
      </c>
    </row>
    <row r="203" spans="2:36" x14ac:dyDescent="0.2">
      <c r="B203" s="80">
        <f t="shared" si="45"/>
        <v>50861</v>
      </c>
      <c r="C203" s="73">
        <v>7.3442315836966445</v>
      </c>
      <c r="D203" s="73">
        <v>7.1317359764762491</v>
      </c>
      <c r="E203" s="81">
        <f t="shared" si="43"/>
        <v>2039</v>
      </c>
      <c r="K203">
        <f t="shared" si="46"/>
        <v>4</v>
      </c>
      <c r="L203" s="101">
        <f t="shared" si="47"/>
        <v>2039</v>
      </c>
      <c r="M203" s="76">
        <f t="shared" si="44"/>
        <v>50861</v>
      </c>
      <c r="N203" s="77">
        <v>27.042100000000001</v>
      </c>
      <c r="O203" s="77">
        <v>31.122699999999998</v>
      </c>
      <c r="P203" s="77">
        <v>39.831400000000002</v>
      </c>
      <c r="Q203" s="78">
        <v>43.805</v>
      </c>
      <c r="S203" s="98">
        <v>36.477448888888894</v>
      </c>
      <c r="T203" s="100">
        <f t="shared" si="48"/>
        <v>0.85320385465552762</v>
      </c>
      <c r="U203" s="100">
        <f t="shared" si="49"/>
        <v>1.2008789357345406</v>
      </c>
      <c r="AD203" s="154" t="str">
        <f t="shared" si="39"/>
        <v>Winter</v>
      </c>
      <c r="AE203">
        <f t="shared" si="40"/>
        <v>10</v>
      </c>
      <c r="AF203" s="152">
        <v>48853</v>
      </c>
      <c r="AG203" s="151">
        <v>416</v>
      </c>
      <c r="AH203" s="151">
        <v>328</v>
      </c>
      <c r="AI203">
        <f t="shared" si="41"/>
        <v>26</v>
      </c>
      <c r="AJ203">
        <f t="shared" si="42"/>
        <v>5</v>
      </c>
    </row>
    <row r="204" spans="2:36" x14ac:dyDescent="0.2">
      <c r="B204" s="80">
        <f t="shared" si="45"/>
        <v>50891</v>
      </c>
      <c r="C204" s="73">
        <v>7.2809648291594851</v>
      </c>
      <c r="D204" s="73">
        <v>7.1235027700362634</v>
      </c>
      <c r="E204" s="81">
        <f t="shared" si="43"/>
        <v>2039</v>
      </c>
      <c r="K204">
        <f t="shared" si="46"/>
        <v>5</v>
      </c>
      <c r="L204" s="101">
        <f t="shared" si="47"/>
        <v>2039</v>
      </c>
      <c r="M204" s="76">
        <f t="shared" si="44"/>
        <v>50891</v>
      </c>
      <c r="N204" s="77">
        <v>15.7151</v>
      </c>
      <c r="O204" s="77">
        <v>26.625299999999999</v>
      </c>
      <c r="P204" s="77">
        <v>22.253299999999999</v>
      </c>
      <c r="Q204" s="78">
        <v>35.3932</v>
      </c>
      <c r="S204" s="98">
        <v>30.679275268817204</v>
      </c>
      <c r="T204" s="100">
        <f t="shared" si="48"/>
        <v>0.86785948386017731</v>
      </c>
      <c r="U204" s="100">
        <f t="shared" si="49"/>
        <v>1.1536517629532823</v>
      </c>
      <c r="AD204" s="154" t="str">
        <f t="shared" si="39"/>
        <v>Winter</v>
      </c>
      <c r="AE204">
        <f t="shared" si="40"/>
        <v>11</v>
      </c>
      <c r="AF204" s="152">
        <v>48884</v>
      </c>
      <c r="AG204" s="151">
        <v>400</v>
      </c>
      <c r="AH204" s="151">
        <v>320</v>
      </c>
      <c r="AI204">
        <f t="shared" si="41"/>
        <v>25</v>
      </c>
      <c r="AJ204">
        <f t="shared" si="42"/>
        <v>5</v>
      </c>
    </row>
    <row r="205" spans="2:36" x14ac:dyDescent="0.2">
      <c r="B205" s="80">
        <f t="shared" si="45"/>
        <v>50922</v>
      </c>
      <c r="C205" s="73">
        <v>7.311381538071581</v>
      </c>
      <c r="D205" s="73">
        <v>7.2550787295582682</v>
      </c>
      <c r="E205" s="81">
        <f t="shared" si="43"/>
        <v>2039</v>
      </c>
      <c r="K205">
        <f t="shared" si="46"/>
        <v>6</v>
      </c>
      <c r="L205" s="101">
        <f t="shared" si="47"/>
        <v>2039</v>
      </c>
      <c r="M205" s="76">
        <f t="shared" si="44"/>
        <v>50922</v>
      </c>
      <c r="N205" s="77">
        <v>34.127200000000002</v>
      </c>
      <c r="O205" s="77">
        <v>46.500300000000003</v>
      </c>
      <c r="P205" s="77">
        <v>47.1008</v>
      </c>
      <c r="Q205" s="78">
        <v>60.938800000000001</v>
      </c>
      <c r="S205" s="98">
        <v>52.596555555555554</v>
      </c>
      <c r="T205" s="100">
        <f t="shared" si="48"/>
        <v>0.88409401545094846</v>
      </c>
      <c r="U205" s="100">
        <f t="shared" si="49"/>
        <v>1.1586081893829128</v>
      </c>
      <c r="AD205" s="154" t="str">
        <f t="shared" si="39"/>
        <v>Winter</v>
      </c>
      <c r="AE205">
        <f t="shared" si="40"/>
        <v>12</v>
      </c>
      <c r="AF205" s="152">
        <v>48914</v>
      </c>
      <c r="AG205" s="151">
        <v>416</v>
      </c>
      <c r="AH205" s="151">
        <v>328</v>
      </c>
      <c r="AI205">
        <f t="shared" si="41"/>
        <v>26</v>
      </c>
      <c r="AJ205">
        <f t="shared" si="42"/>
        <v>5</v>
      </c>
    </row>
    <row r="206" spans="2:36" x14ac:dyDescent="0.2">
      <c r="B206" s="80">
        <f t="shared" si="45"/>
        <v>50952</v>
      </c>
      <c r="C206" s="73">
        <v>7.3105704258339248</v>
      </c>
      <c r="D206" s="73">
        <v>7.3620586321054784</v>
      </c>
      <c r="E206" s="81">
        <f t="shared" si="43"/>
        <v>2039</v>
      </c>
      <c r="K206">
        <f t="shared" si="46"/>
        <v>7</v>
      </c>
      <c r="L206" s="101">
        <f t="shared" si="47"/>
        <v>2039</v>
      </c>
      <c r="M206" s="76">
        <f t="shared" si="44"/>
        <v>50952</v>
      </c>
      <c r="N206" s="77">
        <v>56.754899999999999</v>
      </c>
      <c r="O206" s="77">
        <v>74.732100000000003</v>
      </c>
      <c r="P206" s="77">
        <v>67.265799999999999</v>
      </c>
      <c r="Q206" s="78">
        <v>94.326599999999999</v>
      </c>
      <c r="S206" s="98">
        <v>83.791922580645164</v>
      </c>
      <c r="T206" s="100">
        <f t="shared" si="48"/>
        <v>0.89187713682156444</v>
      </c>
      <c r="U206" s="100">
        <f t="shared" si="49"/>
        <v>1.1257242595098087</v>
      </c>
      <c r="AD206" s="154" t="str">
        <f t="shared" si="39"/>
        <v>Winter</v>
      </c>
      <c r="AE206">
        <f t="shared" si="40"/>
        <v>1</v>
      </c>
      <c r="AF206" s="152">
        <v>48945</v>
      </c>
      <c r="AG206" s="151">
        <v>400</v>
      </c>
      <c r="AH206" s="151">
        <v>344</v>
      </c>
      <c r="AI206">
        <f t="shared" si="41"/>
        <v>25</v>
      </c>
      <c r="AJ206">
        <f t="shared" si="42"/>
        <v>6</v>
      </c>
    </row>
    <row r="207" spans="2:36" x14ac:dyDescent="0.2">
      <c r="B207" s="80">
        <f t="shared" si="45"/>
        <v>50983</v>
      </c>
      <c r="C207" s="73">
        <v>7.8424572756767716</v>
      </c>
      <c r="D207" s="73">
        <v>7.8636628508735438</v>
      </c>
      <c r="E207" s="81">
        <f t="shared" si="43"/>
        <v>2039</v>
      </c>
      <c r="K207">
        <f t="shared" si="46"/>
        <v>8</v>
      </c>
      <c r="L207" s="101">
        <f t="shared" si="47"/>
        <v>2039</v>
      </c>
      <c r="M207" s="76">
        <f t="shared" si="44"/>
        <v>50983</v>
      </c>
      <c r="N207" s="77">
        <v>82.151399999999995</v>
      </c>
      <c r="O207" s="77">
        <v>97.319599999999994</v>
      </c>
      <c r="P207" s="77">
        <v>67.649100000000004</v>
      </c>
      <c r="Q207" s="78">
        <v>95.402100000000004</v>
      </c>
      <c r="S207" s="98">
        <v>96.515487096774194</v>
      </c>
      <c r="T207" s="100">
        <f t="shared" si="48"/>
        <v>1.0083314391028202</v>
      </c>
      <c r="U207" s="100">
        <f t="shared" si="49"/>
        <v>0.9884641612422489</v>
      </c>
      <c r="AD207" s="154" t="str">
        <f t="shared" si="39"/>
        <v>Winter</v>
      </c>
      <c r="AE207">
        <f t="shared" si="40"/>
        <v>2</v>
      </c>
      <c r="AF207" s="152">
        <v>48976</v>
      </c>
      <c r="AG207" s="151">
        <v>384</v>
      </c>
      <c r="AH207" s="151">
        <v>288</v>
      </c>
      <c r="AI207">
        <f t="shared" si="41"/>
        <v>24</v>
      </c>
      <c r="AJ207">
        <f t="shared" si="42"/>
        <v>4</v>
      </c>
    </row>
    <row r="208" spans="2:36" x14ac:dyDescent="0.2">
      <c r="B208" s="80">
        <f t="shared" si="45"/>
        <v>51014</v>
      </c>
      <c r="C208" s="73">
        <v>7.9986977704552373</v>
      </c>
      <c r="D208" s="73">
        <v>7.9047771019008852</v>
      </c>
      <c r="E208" s="81">
        <f t="shared" si="43"/>
        <v>2039</v>
      </c>
      <c r="K208">
        <f t="shared" si="46"/>
        <v>9</v>
      </c>
      <c r="L208" s="101">
        <f t="shared" si="47"/>
        <v>2039</v>
      </c>
      <c r="M208" s="76">
        <f t="shared" si="44"/>
        <v>51014</v>
      </c>
      <c r="N208" s="77">
        <v>74.237700000000004</v>
      </c>
      <c r="O208" s="77">
        <v>92.955600000000004</v>
      </c>
      <c r="P208" s="77">
        <v>68.984800000000007</v>
      </c>
      <c r="Q208" s="78">
        <v>92.288600000000002</v>
      </c>
      <c r="S208" s="98">
        <v>92.659155555555571</v>
      </c>
      <c r="T208" s="100">
        <f t="shared" si="48"/>
        <v>1.0031993000871533</v>
      </c>
      <c r="U208" s="100">
        <f t="shared" si="49"/>
        <v>0.99600087489105815</v>
      </c>
      <c r="AD208" s="154" t="str">
        <f t="shared" si="39"/>
        <v>Winter</v>
      </c>
      <c r="AE208">
        <f t="shared" si="40"/>
        <v>3</v>
      </c>
      <c r="AF208" s="152">
        <v>49004</v>
      </c>
      <c r="AG208" s="151">
        <v>432</v>
      </c>
      <c r="AH208" s="151">
        <v>312</v>
      </c>
      <c r="AI208">
        <f t="shared" si="41"/>
        <v>27</v>
      </c>
      <c r="AJ208">
        <f t="shared" si="42"/>
        <v>4</v>
      </c>
    </row>
    <row r="209" spans="2:36" x14ac:dyDescent="0.2">
      <c r="B209" s="80">
        <f t="shared" si="45"/>
        <v>51044</v>
      </c>
      <c r="C209" s="73">
        <v>8.2720425945452707</v>
      </c>
      <c r="D209" s="73">
        <v>8.0281716361554842</v>
      </c>
      <c r="E209" s="81">
        <f t="shared" si="43"/>
        <v>2039</v>
      </c>
      <c r="K209">
        <f t="shared" si="46"/>
        <v>10</v>
      </c>
      <c r="L209" s="101">
        <f t="shared" si="47"/>
        <v>2039</v>
      </c>
      <c r="M209" s="76">
        <f t="shared" si="44"/>
        <v>51044</v>
      </c>
      <c r="N209" s="77">
        <v>53.448900000000002</v>
      </c>
      <c r="O209" s="77">
        <v>65.724400000000003</v>
      </c>
      <c r="P209" s="77">
        <v>63.782400000000003</v>
      </c>
      <c r="Q209" s="78">
        <v>75.257099999999994</v>
      </c>
      <c r="S209" s="98">
        <v>69.926988172043011</v>
      </c>
      <c r="T209" s="100">
        <f t="shared" si="48"/>
        <v>0.93990034059949379</v>
      </c>
      <c r="U209" s="100">
        <f t="shared" si="49"/>
        <v>1.0762239582640565</v>
      </c>
      <c r="AD209" s="154" t="str">
        <f t="shared" si="39"/>
        <v>Winter</v>
      </c>
      <c r="AE209">
        <f t="shared" si="40"/>
        <v>4</v>
      </c>
      <c r="AF209" s="152">
        <v>49035</v>
      </c>
      <c r="AG209" s="151">
        <v>400</v>
      </c>
      <c r="AH209" s="151">
        <v>320</v>
      </c>
      <c r="AI209">
        <f t="shared" si="41"/>
        <v>25</v>
      </c>
      <c r="AJ209">
        <f t="shared" si="42"/>
        <v>5</v>
      </c>
    </row>
    <row r="210" spans="2:36" x14ac:dyDescent="0.2">
      <c r="B210" s="80">
        <f t="shared" si="45"/>
        <v>51075</v>
      </c>
      <c r="C210" s="73">
        <v>8.6941251252154519</v>
      </c>
      <c r="D210" s="73">
        <v>8.5544754742434996</v>
      </c>
      <c r="E210" s="81">
        <f t="shared" si="43"/>
        <v>2039</v>
      </c>
      <c r="K210">
        <f t="shared" si="46"/>
        <v>11</v>
      </c>
      <c r="L210" s="101">
        <f t="shared" si="47"/>
        <v>2039</v>
      </c>
      <c r="M210" s="76">
        <f t="shared" si="44"/>
        <v>51075</v>
      </c>
      <c r="N210" s="77">
        <v>83.3459</v>
      </c>
      <c r="O210" s="77">
        <v>85.711100000000002</v>
      </c>
      <c r="P210" s="77">
        <v>68.095600000000005</v>
      </c>
      <c r="Q210" s="78">
        <v>77.812600000000003</v>
      </c>
      <c r="S210" s="98">
        <v>82.194569486823852</v>
      </c>
      <c r="T210" s="100">
        <f t="shared" si="48"/>
        <v>1.0427830030028913</v>
      </c>
      <c r="U210" s="100">
        <f t="shared" si="49"/>
        <v>0.94668784672536921</v>
      </c>
      <c r="AD210" s="154" t="str">
        <f t="shared" si="39"/>
        <v>Winter</v>
      </c>
      <c r="AE210">
        <f t="shared" si="40"/>
        <v>5</v>
      </c>
      <c r="AF210" s="152">
        <v>49065</v>
      </c>
      <c r="AG210" s="151">
        <v>416</v>
      </c>
      <c r="AH210" s="151">
        <v>328</v>
      </c>
      <c r="AI210">
        <f t="shared" si="41"/>
        <v>26</v>
      </c>
      <c r="AJ210">
        <f t="shared" si="42"/>
        <v>5</v>
      </c>
    </row>
    <row r="211" spans="2:36" x14ac:dyDescent="0.2">
      <c r="B211" s="82">
        <f t="shared" si="45"/>
        <v>51105</v>
      </c>
      <c r="C211" s="83">
        <v>8.852292011558351</v>
      </c>
      <c r="D211" s="83">
        <v>8.8094459680201034</v>
      </c>
      <c r="E211" s="84">
        <f t="shared" si="43"/>
        <v>2039</v>
      </c>
      <c r="K211">
        <f t="shared" si="46"/>
        <v>12</v>
      </c>
      <c r="L211" s="101">
        <f t="shared" si="47"/>
        <v>2039</v>
      </c>
      <c r="M211" s="85">
        <f t="shared" si="44"/>
        <v>51105</v>
      </c>
      <c r="N211" s="86">
        <v>85.720799999999997</v>
      </c>
      <c r="O211" s="86">
        <v>85.261600000000001</v>
      </c>
      <c r="P211" s="86">
        <v>82.686499999999995</v>
      </c>
      <c r="Q211" s="87">
        <v>88.170900000000003</v>
      </c>
      <c r="S211" s="98">
        <v>86.544194623655912</v>
      </c>
      <c r="T211" s="100">
        <f t="shared" si="48"/>
        <v>0.98517988838843118</v>
      </c>
      <c r="U211" s="100">
        <f t="shared" si="49"/>
        <v>1.0187962391171117</v>
      </c>
      <c r="AD211" s="154" t="str">
        <f t="shared" si="39"/>
        <v>Summer</v>
      </c>
      <c r="AE211">
        <f t="shared" si="40"/>
        <v>6</v>
      </c>
      <c r="AF211" s="152">
        <v>49096</v>
      </c>
      <c r="AG211" s="151">
        <v>416</v>
      </c>
      <c r="AH211" s="151">
        <v>304</v>
      </c>
      <c r="AI211">
        <f t="shared" si="41"/>
        <v>26</v>
      </c>
      <c r="AJ211">
        <f t="shared" si="42"/>
        <v>4</v>
      </c>
    </row>
    <row r="212" spans="2:36" x14ac:dyDescent="0.2">
      <c r="B212" s="206">
        <f t="shared" si="45"/>
        <v>51136</v>
      </c>
      <c r="C212" s="73">
        <v>9.1316187884010951</v>
      </c>
      <c r="D212" s="73">
        <v>9.4560374700080096</v>
      </c>
      <c r="E212" s="205">
        <f t="shared" si="43"/>
        <v>2040</v>
      </c>
      <c r="K212">
        <f t="shared" si="46"/>
        <v>1</v>
      </c>
      <c r="L212" s="101">
        <f t="shared" si="47"/>
        <v>2040</v>
      </c>
      <c r="M212" s="76">
        <f t="shared" si="44"/>
        <v>51136</v>
      </c>
      <c r="N212" s="204">
        <v>64.717600000000004</v>
      </c>
      <c r="O212" s="204">
        <v>65.655199999999994</v>
      </c>
      <c r="P212" s="204">
        <v>50.3932</v>
      </c>
      <c r="Q212" s="203">
        <v>59.0608</v>
      </c>
      <c r="S212" s="98">
        <v>62.606176344086016</v>
      </c>
      <c r="T212" s="100">
        <f t="shared" si="48"/>
        <v>1.048701643095985</v>
      </c>
      <c r="U212" s="100">
        <f t="shared" si="49"/>
        <v>0.94337018244652915</v>
      </c>
      <c r="AD212" s="154" t="str">
        <f t="shared" si="39"/>
        <v>Summer</v>
      </c>
      <c r="AE212">
        <f t="shared" si="40"/>
        <v>7</v>
      </c>
      <c r="AF212" s="152">
        <v>49126</v>
      </c>
      <c r="AG212" s="151">
        <v>400</v>
      </c>
      <c r="AH212" s="151">
        <v>344</v>
      </c>
      <c r="AI212">
        <f t="shared" si="41"/>
        <v>25</v>
      </c>
      <c r="AJ212">
        <f t="shared" si="42"/>
        <v>6</v>
      </c>
    </row>
    <row r="213" spans="2:36" x14ac:dyDescent="0.2">
      <c r="B213" s="80">
        <f t="shared" si="45"/>
        <v>51167</v>
      </c>
      <c r="C213" s="73">
        <v>9.0537520135861325</v>
      </c>
      <c r="D213" s="73">
        <v>8.8598808301115763</v>
      </c>
      <c r="E213" s="81">
        <f t="shared" si="43"/>
        <v>2040</v>
      </c>
      <c r="K213">
        <f t="shared" si="46"/>
        <v>2</v>
      </c>
      <c r="L213" s="101">
        <f t="shared" si="47"/>
        <v>2040</v>
      </c>
      <c r="M213" s="76">
        <f t="shared" si="44"/>
        <v>51167</v>
      </c>
      <c r="N213" s="77">
        <v>82.175600000000003</v>
      </c>
      <c r="O213" s="77">
        <v>79.744699999999995</v>
      </c>
      <c r="P213" s="77">
        <v>76.265100000000004</v>
      </c>
      <c r="Q213" s="78">
        <v>81.159700000000001</v>
      </c>
      <c r="S213" s="98">
        <v>80.346481609195394</v>
      </c>
      <c r="T213" s="100">
        <f t="shared" si="48"/>
        <v>0.99251016849595908</v>
      </c>
      <c r="U213" s="100">
        <f t="shared" si="49"/>
        <v>1.0101213939243798</v>
      </c>
      <c r="AD213" s="154" t="str">
        <f t="shared" si="39"/>
        <v>Summer</v>
      </c>
      <c r="AE213">
        <f t="shared" si="40"/>
        <v>8</v>
      </c>
      <c r="AF213" s="152">
        <v>49157</v>
      </c>
      <c r="AG213" s="151">
        <v>432</v>
      </c>
      <c r="AH213" s="151">
        <v>312</v>
      </c>
      <c r="AI213">
        <f t="shared" si="41"/>
        <v>27</v>
      </c>
      <c r="AJ213">
        <f t="shared" si="42"/>
        <v>4</v>
      </c>
    </row>
    <row r="214" spans="2:36" x14ac:dyDescent="0.2">
      <c r="B214" s="80">
        <f t="shared" si="45"/>
        <v>51196</v>
      </c>
      <c r="C214" s="73">
        <v>7.9983936033661163</v>
      </c>
      <c r="D214" s="73">
        <v>8.339272921007197</v>
      </c>
      <c r="E214" s="81">
        <f t="shared" si="43"/>
        <v>2040</v>
      </c>
      <c r="K214">
        <f t="shared" si="46"/>
        <v>3</v>
      </c>
      <c r="L214" s="101">
        <f t="shared" si="47"/>
        <v>2040</v>
      </c>
      <c r="M214" s="76">
        <f t="shared" si="44"/>
        <v>51196</v>
      </c>
      <c r="N214" s="77">
        <v>48.782600000000002</v>
      </c>
      <c r="O214" s="77">
        <v>49.5032</v>
      </c>
      <c r="P214" s="77">
        <v>54.389099999999999</v>
      </c>
      <c r="Q214" s="78">
        <v>60.673400000000001</v>
      </c>
      <c r="S214" s="98">
        <v>54.178748048452221</v>
      </c>
      <c r="T214" s="100">
        <f t="shared" si="48"/>
        <v>0.9137014379831947</v>
      </c>
      <c r="U214" s="100">
        <f t="shared" si="49"/>
        <v>1.1198745298754338</v>
      </c>
      <c r="AD214" s="154" t="str">
        <f t="shared" si="39"/>
        <v>Summer</v>
      </c>
      <c r="AE214">
        <f t="shared" si="40"/>
        <v>9</v>
      </c>
      <c r="AF214" s="152">
        <v>49188</v>
      </c>
      <c r="AG214" s="151">
        <v>400</v>
      </c>
      <c r="AH214" s="151">
        <v>320</v>
      </c>
      <c r="AI214">
        <f t="shared" si="41"/>
        <v>25</v>
      </c>
      <c r="AJ214">
        <f t="shared" si="42"/>
        <v>5</v>
      </c>
    </row>
    <row r="215" spans="2:36" x14ac:dyDescent="0.2">
      <c r="B215" s="80">
        <f t="shared" si="45"/>
        <v>51227</v>
      </c>
      <c r="C215" s="73">
        <v>7.6534681243029503</v>
      </c>
      <c r="D215" s="73">
        <v>7.659127219188413</v>
      </c>
      <c r="E215" s="81">
        <f t="shared" si="43"/>
        <v>2040</v>
      </c>
      <c r="K215">
        <f t="shared" si="46"/>
        <v>4</v>
      </c>
      <c r="L215" s="101">
        <f t="shared" si="47"/>
        <v>2040</v>
      </c>
      <c r="M215" s="76">
        <f t="shared" si="44"/>
        <v>51227</v>
      </c>
      <c r="N215" s="77">
        <v>31.523</v>
      </c>
      <c r="O215" s="77">
        <v>36.210299999999997</v>
      </c>
      <c r="P215" s="77">
        <v>29.376300000000001</v>
      </c>
      <c r="Q215" s="78">
        <v>35.104900000000001</v>
      </c>
      <c r="S215" s="98">
        <v>35.719011111111108</v>
      </c>
      <c r="T215" s="100">
        <f t="shared" si="48"/>
        <v>1.0137542690462689</v>
      </c>
      <c r="U215" s="100">
        <f t="shared" si="49"/>
        <v>0.98280716369216403</v>
      </c>
      <c r="AD215" s="154" t="str">
        <f t="shared" si="39"/>
        <v>Winter</v>
      </c>
      <c r="AE215">
        <f t="shared" si="40"/>
        <v>10</v>
      </c>
      <c r="AF215" s="152">
        <v>49218</v>
      </c>
      <c r="AG215" s="151">
        <v>416</v>
      </c>
      <c r="AH215" s="151">
        <v>328</v>
      </c>
      <c r="AI215">
        <f t="shared" si="41"/>
        <v>26</v>
      </c>
      <c r="AJ215">
        <f t="shared" si="42"/>
        <v>5</v>
      </c>
    </row>
    <row r="216" spans="2:36" x14ac:dyDescent="0.2">
      <c r="B216" s="80">
        <f t="shared" si="45"/>
        <v>51257</v>
      </c>
      <c r="C216" s="73">
        <v>7.6197055774105245</v>
      </c>
      <c r="D216" s="73">
        <v>7.4828123265585731</v>
      </c>
      <c r="E216" s="81">
        <f t="shared" si="43"/>
        <v>2040</v>
      </c>
      <c r="K216">
        <f t="shared" si="46"/>
        <v>5</v>
      </c>
      <c r="L216" s="101">
        <f t="shared" si="47"/>
        <v>2040</v>
      </c>
      <c r="M216" s="76">
        <f t="shared" si="44"/>
        <v>51257</v>
      </c>
      <c r="N216" s="77">
        <v>16.4069</v>
      </c>
      <c r="O216" s="77">
        <v>27.499199999999998</v>
      </c>
      <c r="P216" s="77">
        <v>19.996600000000001</v>
      </c>
      <c r="Q216" s="78">
        <v>39.247900000000001</v>
      </c>
      <c r="S216" s="98">
        <v>32.678734408602153</v>
      </c>
      <c r="T216" s="100">
        <f t="shared" si="48"/>
        <v>0.84150137689424331</v>
      </c>
      <c r="U216" s="100">
        <f t="shared" si="49"/>
        <v>1.2010226439390081</v>
      </c>
      <c r="AD216" s="154" t="str">
        <f t="shared" si="39"/>
        <v>Winter</v>
      </c>
      <c r="AE216">
        <f t="shared" si="40"/>
        <v>11</v>
      </c>
      <c r="AF216" s="152">
        <v>49249</v>
      </c>
      <c r="AG216" s="151">
        <v>400</v>
      </c>
      <c r="AH216" s="151">
        <v>320</v>
      </c>
      <c r="AI216">
        <f t="shared" si="41"/>
        <v>25</v>
      </c>
      <c r="AJ216">
        <f t="shared" si="42"/>
        <v>5</v>
      </c>
    </row>
    <row r="217" spans="2:36" x14ac:dyDescent="0.2">
      <c r="B217" s="80">
        <f t="shared" si="45"/>
        <v>51288</v>
      </c>
      <c r="C217" s="73">
        <v>7.8103169532596572</v>
      </c>
      <c r="D217" s="73">
        <v>7.6675675503187115</v>
      </c>
      <c r="E217" s="81">
        <f t="shared" si="43"/>
        <v>2040</v>
      </c>
      <c r="K217">
        <f t="shared" si="46"/>
        <v>6</v>
      </c>
      <c r="L217" s="101">
        <f t="shared" si="47"/>
        <v>2040</v>
      </c>
      <c r="M217" s="76">
        <f t="shared" si="44"/>
        <v>51288</v>
      </c>
      <c r="N217" s="77">
        <v>37.028599999999997</v>
      </c>
      <c r="O217" s="77">
        <v>47.345300000000002</v>
      </c>
      <c r="P217" s="77">
        <v>47.651400000000002</v>
      </c>
      <c r="Q217" s="78">
        <v>60.094499999999996</v>
      </c>
      <c r="S217" s="98">
        <v>52.728295555555555</v>
      </c>
      <c r="T217" s="100">
        <f t="shared" si="48"/>
        <v>0.89791068535708829</v>
      </c>
      <c r="U217" s="100">
        <f t="shared" si="49"/>
        <v>1.1397011674060897</v>
      </c>
      <c r="AD217" s="154" t="str">
        <f t="shared" si="39"/>
        <v>Winter</v>
      </c>
      <c r="AE217">
        <f t="shared" si="40"/>
        <v>12</v>
      </c>
      <c r="AF217" s="152">
        <v>49279</v>
      </c>
      <c r="AG217" s="151">
        <v>400</v>
      </c>
      <c r="AH217" s="151">
        <v>344</v>
      </c>
      <c r="AI217">
        <f t="shared" si="41"/>
        <v>25</v>
      </c>
      <c r="AJ217">
        <f t="shared" si="42"/>
        <v>6</v>
      </c>
    </row>
    <row r="218" spans="2:36" x14ac:dyDescent="0.2">
      <c r="B218" s="80">
        <f t="shared" si="45"/>
        <v>51318</v>
      </c>
      <c r="C218" s="73">
        <v>7.8203544672006489</v>
      </c>
      <c r="D218" s="73">
        <v>7.7515566122410604</v>
      </c>
      <c r="E218" s="81">
        <f t="shared" si="43"/>
        <v>2040</v>
      </c>
      <c r="K218">
        <f t="shared" si="46"/>
        <v>7</v>
      </c>
      <c r="L218" s="101">
        <f t="shared" si="47"/>
        <v>2040</v>
      </c>
      <c r="M218" s="76">
        <f t="shared" si="44"/>
        <v>51318</v>
      </c>
      <c r="N218" s="77">
        <v>62.5199</v>
      </c>
      <c r="O218" s="77">
        <v>79.6785</v>
      </c>
      <c r="P218" s="77">
        <v>62.424300000000002</v>
      </c>
      <c r="Q218" s="78">
        <v>92.2881</v>
      </c>
      <c r="S218" s="98">
        <v>85.508745161290321</v>
      </c>
      <c r="T218" s="100">
        <f t="shared" si="48"/>
        <v>0.93181697205013292</v>
      </c>
      <c r="U218" s="100">
        <f t="shared" si="49"/>
        <v>1.0792825906393804</v>
      </c>
      <c r="AD218" s="154" t="str">
        <f t="shared" si="39"/>
        <v>Winter</v>
      </c>
      <c r="AE218">
        <f t="shared" si="40"/>
        <v>1</v>
      </c>
      <c r="AF218" s="152">
        <v>49310</v>
      </c>
      <c r="AG218" s="151">
        <v>416</v>
      </c>
      <c r="AH218" s="151">
        <v>328</v>
      </c>
      <c r="AI218">
        <f t="shared" si="41"/>
        <v>26</v>
      </c>
      <c r="AJ218">
        <f t="shared" si="42"/>
        <v>5</v>
      </c>
    </row>
    <row r="219" spans="2:36" x14ac:dyDescent="0.2">
      <c r="B219" s="80">
        <f t="shared" si="45"/>
        <v>51349</v>
      </c>
      <c r="C219" s="73">
        <v>8.4936790134847424</v>
      </c>
      <c r="D219" s="73">
        <v>8.0201973355783913</v>
      </c>
      <c r="E219" s="81">
        <f t="shared" si="43"/>
        <v>2040</v>
      </c>
      <c r="K219">
        <f t="shared" si="46"/>
        <v>8</v>
      </c>
      <c r="L219" s="101">
        <f t="shared" si="47"/>
        <v>2040</v>
      </c>
      <c r="M219" s="76">
        <f t="shared" si="44"/>
        <v>51349</v>
      </c>
      <c r="N219" s="77">
        <v>87.211500000000001</v>
      </c>
      <c r="O219" s="77">
        <v>109.5154</v>
      </c>
      <c r="P219" s="77">
        <v>73.808199999999999</v>
      </c>
      <c r="Q219" s="78">
        <v>103.67149999999999</v>
      </c>
      <c r="S219" s="98">
        <v>107.06473225806451</v>
      </c>
      <c r="T219" s="100">
        <f t="shared" si="48"/>
        <v>1.0228895892255958</v>
      </c>
      <c r="U219" s="100">
        <f t="shared" si="49"/>
        <v>0.9683067226107136</v>
      </c>
      <c r="AD219" s="154" t="str">
        <f t="shared" si="39"/>
        <v>Winter</v>
      </c>
      <c r="AE219">
        <f t="shared" si="40"/>
        <v>2</v>
      </c>
      <c r="AF219" s="152">
        <v>49341</v>
      </c>
      <c r="AG219" s="151">
        <v>384</v>
      </c>
      <c r="AH219" s="151">
        <v>288</v>
      </c>
      <c r="AI219">
        <f t="shared" si="41"/>
        <v>24</v>
      </c>
      <c r="AJ219">
        <f t="shared" si="42"/>
        <v>4</v>
      </c>
    </row>
    <row r="220" spans="2:36" x14ac:dyDescent="0.2">
      <c r="B220" s="80">
        <f t="shared" si="45"/>
        <v>51380</v>
      </c>
      <c r="C220" s="73">
        <v>8.5610013292101801</v>
      </c>
      <c r="D220" s="73">
        <v>8.3476614709649155</v>
      </c>
      <c r="E220" s="81">
        <f t="shared" si="43"/>
        <v>2040</v>
      </c>
      <c r="K220">
        <f t="shared" si="46"/>
        <v>9</v>
      </c>
      <c r="L220" s="101">
        <f t="shared" si="47"/>
        <v>2040</v>
      </c>
      <c r="M220" s="76">
        <f t="shared" si="44"/>
        <v>51380</v>
      </c>
      <c r="N220" s="77">
        <v>83.426299999999998</v>
      </c>
      <c r="O220" s="77">
        <v>98.295900000000003</v>
      </c>
      <c r="P220" s="77">
        <v>76.091099999999997</v>
      </c>
      <c r="Q220" s="78">
        <v>102.2119</v>
      </c>
      <c r="S220" s="98">
        <v>100.12336666666667</v>
      </c>
      <c r="T220" s="100">
        <f t="shared" si="48"/>
        <v>0.9817478504018875</v>
      </c>
      <c r="U220" s="100">
        <f t="shared" si="49"/>
        <v>1.0208595995406999</v>
      </c>
      <c r="AD220" s="154" t="str">
        <f t="shared" si="39"/>
        <v>Winter</v>
      </c>
      <c r="AE220">
        <f t="shared" si="40"/>
        <v>3</v>
      </c>
      <c r="AF220" s="152">
        <v>49369</v>
      </c>
      <c r="AG220" s="151">
        <v>432</v>
      </c>
      <c r="AH220" s="151">
        <v>312</v>
      </c>
      <c r="AI220">
        <f t="shared" si="41"/>
        <v>27</v>
      </c>
      <c r="AJ220">
        <f t="shared" si="42"/>
        <v>4</v>
      </c>
    </row>
    <row r="221" spans="2:36" x14ac:dyDescent="0.2">
      <c r="B221" s="80">
        <f t="shared" si="45"/>
        <v>51410</v>
      </c>
      <c r="C221" s="73">
        <v>8.8565503508060441</v>
      </c>
      <c r="D221" s="73">
        <v>8.4400908640175629</v>
      </c>
      <c r="E221" s="81">
        <f t="shared" si="43"/>
        <v>2040</v>
      </c>
      <c r="K221">
        <f t="shared" si="46"/>
        <v>10</v>
      </c>
      <c r="L221" s="101">
        <f t="shared" si="47"/>
        <v>2040</v>
      </c>
      <c r="M221" s="76">
        <f t="shared" si="44"/>
        <v>51410</v>
      </c>
      <c r="N221" s="77">
        <v>61.784799999999997</v>
      </c>
      <c r="O221" s="77">
        <v>70.602500000000006</v>
      </c>
      <c r="P221" s="77">
        <v>61.556600000000003</v>
      </c>
      <c r="Q221" s="78">
        <v>75.549599999999998</v>
      </c>
      <c r="S221" s="98">
        <v>72.677090322580639</v>
      </c>
      <c r="T221" s="100">
        <f t="shared" si="48"/>
        <v>0.97145468656804412</v>
      </c>
      <c r="U221" s="100">
        <f t="shared" si="49"/>
        <v>1.0395242801365545</v>
      </c>
      <c r="AD221" s="154" t="str">
        <f t="shared" si="39"/>
        <v>Winter</v>
      </c>
      <c r="AE221">
        <f t="shared" si="40"/>
        <v>4</v>
      </c>
      <c r="AF221" s="152">
        <v>49400</v>
      </c>
      <c r="AG221" s="151">
        <v>400</v>
      </c>
      <c r="AH221" s="151">
        <v>320</v>
      </c>
      <c r="AI221">
        <f t="shared" si="41"/>
        <v>25</v>
      </c>
      <c r="AJ221">
        <f t="shared" si="42"/>
        <v>5</v>
      </c>
    </row>
    <row r="222" spans="2:36" x14ac:dyDescent="0.2">
      <c r="B222" s="80">
        <f t="shared" si="45"/>
        <v>51441</v>
      </c>
      <c r="C222" s="73">
        <v>9.3149301541113267</v>
      </c>
      <c r="D222" s="73">
        <v>8.7171719184851924</v>
      </c>
      <c r="E222" s="81">
        <f t="shared" si="43"/>
        <v>2040</v>
      </c>
      <c r="K222">
        <f t="shared" si="46"/>
        <v>11</v>
      </c>
      <c r="L222" s="101">
        <f t="shared" si="47"/>
        <v>2040</v>
      </c>
      <c r="M222" s="76">
        <f t="shared" si="44"/>
        <v>51441</v>
      </c>
      <c r="N222" s="77">
        <v>94.269800000000004</v>
      </c>
      <c r="O222" s="77">
        <v>95.614900000000006</v>
      </c>
      <c r="P222" s="77">
        <v>79.936499999999995</v>
      </c>
      <c r="Q222" s="78">
        <v>92.405299999999997</v>
      </c>
      <c r="S222" s="98">
        <v>94.185938002773923</v>
      </c>
      <c r="T222" s="100">
        <f t="shared" si="48"/>
        <v>1.0151717127580553</v>
      </c>
      <c r="U222" s="100">
        <f t="shared" si="49"/>
        <v>0.98109443893077242</v>
      </c>
      <c r="AD222" s="154" t="str">
        <f t="shared" si="39"/>
        <v>Winter</v>
      </c>
      <c r="AE222">
        <f t="shared" si="40"/>
        <v>5</v>
      </c>
      <c r="AF222" s="152">
        <v>49430</v>
      </c>
      <c r="AG222" s="151">
        <v>416</v>
      </c>
      <c r="AH222" s="151">
        <v>328</v>
      </c>
      <c r="AI222">
        <f t="shared" si="41"/>
        <v>26</v>
      </c>
      <c r="AJ222">
        <f t="shared" si="42"/>
        <v>5</v>
      </c>
    </row>
    <row r="223" spans="2:36" x14ac:dyDescent="0.2">
      <c r="B223" s="82">
        <f t="shared" si="45"/>
        <v>51471</v>
      </c>
      <c r="C223" s="83">
        <v>9.4521095113048776</v>
      </c>
      <c r="D223" s="83">
        <v>9.1705678655826617</v>
      </c>
      <c r="E223" s="84">
        <f t="shared" si="43"/>
        <v>2040</v>
      </c>
      <c r="K223">
        <f t="shared" si="46"/>
        <v>12</v>
      </c>
      <c r="L223" s="101">
        <f t="shared" si="47"/>
        <v>2040</v>
      </c>
      <c r="M223" s="85">
        <f t="shared" si="44"/>
        <v>51471</v>
      </c>
      <c r="N223" s="86">
        <v>96.417299999999997</v>
      </c>
      <c r="O223" s="86">
        <v>97.996399999999994</v>
      </c>
      <c r="P223" s="86">
        <v>87.058499999999995</v>
      </c>
      <c r="Q223" s="87">
        <v>92.958600000000004</v>
      </c>
      <c r="S223" s="98">
        <v>95.667094623655913</v>
      </c>
      <c r="T223" s="100">
        <f t="shared" si="48"/>
        <v>1.0243480309034922</v>
      </c>
      <c r="U223" s="100">
        <f t="shared" si="49"/>
        <v>0.97168833615873007</v>
      </c>
      <c r="AD223" s="154" t="str">
        <f t="shared" si="39"/>
        <v>Summer</v>
      </c>
      <c r="AE223">
        <f t="shared" si="40"/>
        <v>6</v>
      </c>
      <c r="AF223" s="152">
        <v>49461</v>
      </c>
      <c r="AG223" s="151">
        <v>416</v>
      </c>
      <c r="AH223" s="151">
        <v>304</v>
      </c>
      <c r="AI223">
        <f t="shared" si="41"/>
        <v>26</v>
      </c>
      <c r="AJ223">
        <f t="shared" si="42"/>
        <v>4</v>
      </c>
    </row>
    <row r="224" spans="2:36" x14ac:dyDescent="0.2">
      <c r="B224" s="206">
        <f t="shared" si="45"/>
        <v>51502</v>
      </c>
      <c r="C224" s="73">
        <v>9.5978055469938166</v>
      </c>
      <c r="D224" s="73">
        <v>9.6715507102797851</v>
      </c>
      <c r="E224" s="205">
        <f t="shared" si="43"/>
        <v>2041</v>
      </c>
      <c r="K224">
        <f t="shared" si="46"/>
        <v>1</v>
      </c>
      <c r="L224" s="101">
        <f t="shared" si="47"/>
        <v>2041</v>
      </c>
      <c r="M224" s="76">
        <f t="shared" si="44"/>
        <v>51502</v>
      </c>
      <c r="N224" s="204">
        <v>76.423500000000004</v>
      </c>
      <c r="O224" s="204">
        <v>74.492500000000007</v>
      </c>
      <c r="P224" s="204">
        <v>60.891199999999998</v>
      </c>
      <c r="Q224" s="203">
        <v>69.974900000000005</v>
      </c>
      <c r="S224" s="98">
        <v>72.500869892473119</v>
      </c>
      <c r="T224" s="100">
        <f t="shared" si="48"/>
        <v>1.0274704304993953</v>
      </c>
      <c r="U224" s="100">
        <f t="shared" si="49"/>
        <v>0.96515945400076708</v>
      </c>
      <c r="AD224" s="154" t="str">
        <f t="shared" si="39"/>
        <v>Summer</v>
      </c>
      <c r="AE224">
        <f t="shared" si="40"/>
        <v>7</v>
      </c>
      <c r="AF224" s="152">
        <v>49491</v>
      </c>
      <c r="AG224" s="151">
        <v>400</v>
      </c>
      <c r="AH224" s="151">
        <v>344</v>
      </c>
      <c r="AI224">
        <f t="shared" si="41"/>
        <v>25</v>
      </c>
      <c r="AJ224">
        <f t="shared" si="42"/>
        <v>6</v>
      </c>
    </row>
    <row r="225" spans="2:36" x14ac:dyDescent="0.2">
      <c r="B225" s="80">
        <f t="shared" si="45"/>
        <v>51533</v>
      </c>
      <c r="C225" s="73">
        <v>9.6880417834330324</v>
      </c>
      <c r="D225" s="73">
        <v>9.7144255211747943</v>
      </c>
      <c r="E225" s="81">
        <f t="shared" si="43"/>
        <v>2041</v>
      </c>
      <c r="K225">
        <f t="shared" si="46"/>
        <v>2</v>
      </c>
      <c r="L225" s="101">
        <f t="shared" si="47"/>
        <v>2041</v>
      </c>
      <c r="M225" s="76">
        <f t="shared" si="44"/>
        <v>51533</v>
      </c>
      <c r="N225" s="77">
        <v>90.030600000000007</v>
      </c>
      <c r="O225" s="77">
        <v>84.553100000000001</v>
      </c>
      <c r="P225" s="77">
        <v>66.794700000000006</v>
      </c>
      <c r="Q225" s="78">
        <v>72.869299999999996</v>
      </c>
      <c r="S225" s="98">
        <v>79.545757142857141</v>
      </c>
      <c r="T225" s="100">
        <f t="shared" si="48"/>
        <v>1.0629492135972773</v>
      </c>
      <c r="U225" s="100">
        <f t="shared" si="49"/>
        <v>0.91606771520363028</v>
      </c>
      <c r="AD225" s="154" t="str">
        <f t="shared" si="39"/>
        <v>Summer</v>
      </c>
      <c r="AE225">
        <f t="shared" si="40"/>
        <v>8</v>
      </c>
      <c r="AF225" s="152">
        <v>49522</v>
      </c>
      <c r="AG225" s="151">
        <v>432</v>
      </c>
      <c r="AH225" s="151">
        <v>312</v>
      </c>
      <c r="AI225">
        <f t="shared" si="41"/>
        <v>27</v>
      </c>
      <c r="AJ225">
        <f t="shared" si="42"/>
        <v>4</v>
      </c>
    </row>
    <row r="226" spans="2:36" x14ac:dyDescent="0.2">
      <c r="B226" s="80">
        <f t="shared" si="45"/>
        <v>51561</v>
      </c>
      <c r="C226" s="73">
        <v>8.4183469644124518</v>
      </c>
      <c r="D226" s="73">
        <v>9.0971939440389065</v>
      </c>
      <c r="E226" s="81">
        <f t="shared" si="43"/>
        <v>2041</v>
      </c>
      <c r="K226">
        <f t="shared" si="46"/>
        <v>3</v>
      </c>
      <c r="L226" s="101">
        <f t="shared" si="47"/>
        <v>2041</v>
      </c>
      <c r="M226" s="76">
        <f t="shared" si="44"/>
        <v>51561</v>
      </c>
      <c r="N226" s="77">
        <v>60.354399999999998</v>
      </c>
      <c r="O226" s="77">
        <v>59.9392</v>
      </c>
      <c r="P226" s="77">
        <v>57.305100000000003</v>
      </c>
      <c r="Q226" s="78">
        <v>60.7166</v>
      </c>
      <c r="S226" s="98">
        <v>60.281339703903093</v>
      </c>
      <c r="T226" s="100">
        <f t="shared" si="48"/>
        <v>0.99432428500123493</v>
      </c>
      <c r="U226" s="100">
        <f t="shared" si="49"/>
        <v>1.0072204814663188</v>
      </c>
      <c r="AD226" s="154" t="str">
        <f t="shared" si="39"/>
        <v>Summer</v>
      </c>
      <c r="AE226">
        <f t="shared" si="40"/>
        <v>9</v>
      </c>
      <c r="AF226" s="152">
        <v>49553</v>
      </c>
      <c r="AG226" s="151">
        <v>384</v>
      </c>
      <c r="AH226" s="151">
        <v>336</v>
      </c>
      <c r="AI226">
        <f t="shared" si="41"/>
        <v>24</v>
      </c>
      <c r="AJ226">
        <f t="shared" si="42"/>
        <v>6</v>
      </c>
    </row>
    <row r="227" spans="2:36" x14ac:dyDescent="0.2">
      <c r="B227" s="80">
        <f t="shared" si="45"/>
        <v>51592</v>
      </c>
      <c r="C227" s="73">
        <v>8.0800117722802405</v>
      </c>
      <c r="D227" s="73">
        <v>8.6856889655574552</v>
      </c>
      <c r="E227" s="81">
        <f t="shared" si="43"/>
        <v>2041</v>
      </c>
      <c r="K227">
        <f t="shared" si="46"/>
        <v>4</v>
      </c>
      <c r="L227" s="101">
        <f t="shared" si="47"/>
        <v>2041</v>
      </c>
      <c r="M227" s="76">
        <f t="shared" si="44"/>
        <v>51592</v>
      </c>
      <c r="N227" s="77">
        <v>25.5487</v>
      </c>
      <c r="O227" s="77">
        <v>30.888200000000001</v>
      </c>
      <c r="P227" s="77">
        <v>37.061999999999998</v>
      </c>
      <c r="Q227" s="78">
        <v>42.393300000000004</v>
      </c>
      <c r="S227" s="98">
        <v>35.745908888888891</v>
      </c>
      <c r="T227" s="100">
        <f t="shared" si="48"/>
        <v>0.86410447964861115</v>
      </c>
      <c r="U227" s="100">
        <f t="shared" si="49"/>
        <v>1.1859622910071637</v>
      </c>
      <c r="AD227" s="154" t="str">
        <f t="shared" si="39"/>
        <v>Winter</v>
      </c>
      <c r="AE227">
        <f t="shared" si="40"/>
        <v>10</v>
      </c>
      <c r="AF227" s="152">
        <v>49583</v>
      </c>
      <c r="AG227" s="151">
        <v>432</v>
      </c>
      <c r="AH227" s="151">
        <v>312</v>
      </c>
      <c r="AI227">
        <f t="shared" si="41"/>
        <v>27</v>
      </c>
      <c r="AJ227">
        <f t="shared" si="42"/>
        <v>4</v>
      </c>
    </row>
    <row r="228" spans="2:36" x14ac:dyDescent="0.2">
      <c r="B228" s="80">
        <f t="shared" si="45"/>
        <v>51622</v>
      </c>
      <c r="C228" s="73">
        <v>8.0331700405556123</v>
      </c>
      <c r="D228" s="73">
        <v>8.1541552290390094</v>
      </c>
      <c r="E228" s="81">
        <f t="shared" si="43"/>
        <v>2041</v>
      </c>
      <c r="K228">
        <f t="shared" si="46"/>
        <v>5</v>
      </c>
      <c r="L228" s="101">
        <f t="shared" si="47"/>
        <v>2041</v>
      </c>
      <c r="M228" s="76">
        <f t="shared" si="44"/>
        <v>51622</v>
      </c>
      <c r="N228" s="77">
        <v>18.444900000000001</v>
      </c>
      <c r="O228" s="77">
        <v>30.7226</v>
      </c>
      <c r="P228" s="77">
        <v>14.9293</v>
      </c>
      <c r="Q228" s="78">
        <v>31.983799999999999</v>
      </c>
      <c r="S228" s="98">
        <v>31.278612903225806</v>
      </c>
      <c r="T228" s="100">
        <f t="shared" si="48"/>
        <v>0.98222386315703714</v>
      </c>
      <c r="U228" s="100">
        <f t="shared" si="49"/>
        <v>1.0225453442886359</v>
      </c>
      <c r="AD228" s="154" t="str">
        <f t="shared" si="39"/>
        <v>Winter</v>
      </c>
      <c r="AE228">
        <f t="shared" si="40"/>
        <v>11</v>
      </c>
      <c r="AF228" s="152">
        <v>49614</v>
      </c>
      <c r="AG228" s="151">
        <v>400</v>
      </c>
      <c r="AH228" s="151">
        <v>320</v>
      </c>
      <c r="AI228">
        <f t="shared" si="41"/>
        <v>25</v>
      </c>
      <c r="AJ228">
        <f t="shared" si="42"/>
        <v>5</v>
      </c>
    </row>
    <row r="229" spans="2:36" x14ac:dyDescent="0.2">
      <c r="B229" s="80">
        <f t="shared" si="45"/>
        <v>51653</v>
      </c>
      <c r="C229" s="73">
        <v>8.1387160204805866</v>
      </c>
      <c r="D229" s="73">
        <v>8.0941408500205121</v>
      </c>
      <c r="E229" s="81">
        <f t="shared" si="43"/>
        <v>2041</v>
      </c>
      <c r="K229">
        <f t="shared" si="46"/>
        <v>6</v>
      </c>
      <c r="L229" s="101">
        <f t="shared" si="47"/>
        <v>2041</v>
      </c>
      <c r="M229" s="76">
        <f t="shared" si="44"/>
        <v>51653</v>
      </c>
      <c r="N229" s="77">
        <v>33.314900000000002</v>
      </c>
      <c r="O229" s="77">
        <v>46.851399999999998</v>
      </c>
      <c r="P229" s="77">
        <v>45.542999999999999</v>
      </c>
      <c r="Q229" s="78">
        <v>61.863100000000003</v>
      </c>
      <c r="S229" s="98">
        <v>53.523266666666665</v>
      </c>
      <c r="T229" s="100">
        <f t="shared" si="48"/>
        <v>0.87534642255268424</v>
      </c>
      <c r="U229" s="100">
        <f t="shared" si="49"/>
        <v>1.1558169718091449</v>
      </c>
      <c r="AD229" s="154" t="str">
        <f t="shared" si="39"/>
        <v>Winter</v>
      </c>
      <c r="AE229">
        <f t="shared" si="40"/>
        <v>12</v>
      </c>
      <c r="AF229" s="152">
        <v>49644</v>
      </c>
      <c r="AG229" s="151">
        <v>400</v>
      </c>
      <c r="AH229" s="151">
        <v>344</v>
      </c>
      <c r="AI229">
        <f t="shared" si="41"/>
        <v>25</v>
      </c>
      <c r="AJ229">
        <f t="shared" si="42"/>
        <v>6</v>
      </c>
    </row>
    <row r="230" spans="2:36" x14ac:dyDescent="0.2">
      <c r="B230" s="80">
        <f t="shared" si="45"/>
        <v>51683</v>
      </c>
      <c r="C230" s="73">
        <v>8.254502292405963</v>
      </c>
      <c r="D230" s="73">
        <v>8.1627509036870407</v>
      </c>
      <c r="E230" s="81">
        <f t="shared" si="43"/>
        <v>2041</v>
      </c>
      <c r="K230">
        <f t="shared" si="46"/>
        <v>7</v>
      </c>
      <c r="L230" s="101">
        <f t="shared" si="47"/>
        <v>2041</v>
      </c>
      <c r="M230" s="76">
        <f t="shared" si="44"/>
        <v>51683</v>
      </c>
      <c r="N230" s="77">
        <v>62.112099999999998</v>
      </c>
      <c r="O230" s="77">
        <v>95.865700000000004</v>
      </c>
      <c r="P230" s="77">
        <v>73.713399999999993</v>
      </c>
      <c r="Q230" s="78">
        <v>110.345</v>
      </c>
      <c r="S230" s="98">
        <v>102.24904731182795</v>
      </c>
      <c r="T230" s="100">
        <f t="shared" si="48"/>
        <v>0.93757059376445129</v>
      </c>
      <c r="U230" s="100">
        <f t="shared" si="49"/>
        <v>1.0791787591280131</v>
      </c>
      <c r="AD230" s="154" t="str">
        <f t="shared" si="39"/>
        <v>Winter</v>
      </c>
      <c r="AE230">
        <f t="shared" si="40"/>
        <v>1</v>
      </c>
      <c r="AF230" s="152">
        <v>49675</v>
      </c>
      <c r="AG230" s="151">
        <v>416</v>
      </c>
      <c r="AH230" s="151">
        <v>328</v>
      </c>
      <c r="AI230">
        <f t="shared" si="41"/>
        <v>26</v>
      </c>
      <c r="AJ230">
        <f t="shared" si="42"/>
        <v>5</v>
      </c>
    </row>
    <row r="231" spans="2:36" x14ac:dyDescent="0.2">
      <c r="B231" s="80">
        <f t="shared" si="45"/>
        <v>51714</v>
      </c>
      <c r="C231" s="73">
        <v>8.8153864047450075</v>
      </c>
      <c r="D231" s="73">
        <v>8.3341465849219247</v>
      </c>
      <c r="E231" s="81">
        <f t="shared" si="43"/>
        <v>2041</v>
      </c>
      <c r="K231">
        <f t="shared" si="46"/>
        <v>8</v>
      </c>
      <c r="L231" s="101">
        <f t="shared" si="47"/>
        <v>2041</v>
      </c>
      <c r="M231" s="76">
        <f t="shared" si="44"/>
        <v>51714</v>
      </c>
      <c r="N231" s="77">
        <v>92.010300000000001</v>
      </c>
      <c r="O231" s="77">
        <v>111.40430000000001</v>
      </c>
      <c r="P231" s="77">
        <v>77.695099999999996</v>
      </c>
      <c r="Q231" s="78">
        <v>110.9913</v>
      </c>
      <c r="S231" s="98">
        <v>111.2311064516129</v>
      </c>
      <c r="T231" s="100">
        <f t="shared" si="48"/>
        <v>1.0015570603755743</v>
      </c>
      <c r="U231" s="100">
        <f t="shared" si="49"/>
        <v>0.99784407024920474</v>
      </c>
      <c r="AD231" s="154" t="str">
        <f t="shared" si="39"/>
        <v>Winter</v>
      </c>
      <c r="AE231">
        <f t="shared" si="40"/>
        <v>2</v>
      </c>
      <c r="AF231" s="152">
        <v>49706</v>
      </c>
      <c r="AG231" s="151">
        <v>400</v>
      </c>
      <c r="AH231" s="151">
        <v>296</v>
      </c>
      <c r="AI231">
        <f t="shared" si="41"/>
        <v>25</v>
      </c>
      <c r="AJ231">
        <f t="shared" si="42"/>
        <v>4</v>
      </c>
    </row>
    <row r="232" spans="2:36" x14ac:dyDescent="0.2">
      <c r="B232" s="80">
        <f t="shared" si="45"/>
        <v>51745</v>
      </c>
      <c r="C232" s="73">
        <v>8.8950781820946982</v>
      </c>
      <c r="D232" s="73">
        <v>8.394160963940422</v>
      </c>
      <c r="E232" s="81">
        <f t="shared" si="43"/>
        <v>2041</v>
      </c>
      <c r="K232">
        <f t="shared" si="46"/>
        <v>9</v>
      </c>
      <c r="L232" s="101">
        <f t="shared" si="47"/>
        <v>2041</v>
      </c>
      <c r="M232" s="76">
        <f t="shared" si="44"/>
        <v>51745</v>
      </c>
      <c r="N232" s="77">
        <v>85.289100000000005</v>
      </c>
      <c r="O232" s="77">
        <v>105.30500000000001</v>
      </c>
      <c r="P232" s="77">
        <v>80.305999999999997</v>
      </c>
      <c r="Q232" s="78">
        <v>104.5693</v>
      </c>
      <c r="S232" s="98">
        <v>104.96167333333334</v>
      </c>
      <c r="T232" s="100">
        <f t="shared" si="48"/>
        <v>1.0032709717343811</v>
      </c>
      <c r="U232" s="100">
        <f t="shared" si="49"/>
        <v>0.9962617465892788</v>
      </c>
      <c r="AD232" s="154" t="str">
        <f t="shared" si="39"/>
        <v>Winter</v>
      </c>
      <c r="AE232">
        <f t="shared" si="40"/>
        <v>3</v>
      </c>
      <c r="AF232" s="152">
        <v>49735</v>
      </c>
      <c r="AG232" s="151">
        <v>416</v>
      </c>
      <c r="AH232" s="151">
        <v>328</v>
      </c>
      <c r="AI232">
        <f t="shared" si="41"/>
        <v>26</v>
      </c>
      <c r="AJ232">
        <f t="shared" si="42"/>
        <v>5</v>
      </c>
    </row>
    <row r="233" spans="2:36" x14ac:dyDescent="0.2">
      <c r="B233" s="80">
        <f t="shared" si="45"/>
        <v>51775</v>
      </c>
      <c r="C233" s="73">
        <v>9.1925535952549939</v>
      </c>
      <c r="D233" s="73">
        <v>8.7285637764524644</v>
      </c>
      <c r="E233" s="81">
        <f t="shared" si="43"/>
        <v>2041</v>
      </c>
      <c r="K233">
        <f t="shared" si="46"/>
        <v>10</v>
      </c>
      <c r="L233" s="101">
        <f t="shared" si="47"/>
        <v>2041</v>
      </c>
      <c r="M233" s="76">
        <f t="shared" si="44"/>
        <v>51775</v>
      </c>
      <c r="N233" s="77">
        <v>53.298000000000002</v>
      </c>
      <c r="O233" s="77">
        <v>60.872399999999999</v>
      </c>
      <c r="P233" s="77">
        <v>59.360100000000003</v>
      </c>
      <c r="Q233" s="78">
        <v>71.343199999999996</v>
      </c>
      <c r="S233" s="98">
        <v>65.263380645161291</v>
      </c>
      <c r="T233" s="100">
        <f t="shared" si="48"/>
        <v>0.93271907459046344</v>
      </c>
      <c r="U233" s="100">
        <f t="shared" si="49"/>
        <v>1.0931582044132044</v>
      </c>
      <c r="AD233" s="154" t="str">
        <f t="shared" si="39"/>
        <v>Winter</v>
      </c>
      <c r="AE233">
        <f t="shared" si="40"/>
        <v>4</v>
      </c>
      <c r="AF233" s="152">
        <v>49766</v>
      </c>
      <c r="AG233" s="151">
        <v>416</v>
      </c>
      <c r="AH233" s="151">
        <v>304</v>
      </c>
      <c r="AI233">
        <f t="shared" si="41"/>
        <v>26</v>
      </c>
      <c r="AJ233">
        <f t="shared" si="42"/>
        <v>4</v>
      </c>
    </row>
    <row r="234" spans="2:36" x14ac:dyDescent="0.2">
      <c r="B234" s="80">
        <f t="shared" si="45"/>
        <v>51806</v>
      </c>
      <c r="C234" s="73">
        <v>9.6485000618473098</v>
      </c>
      <c r="D234" s="73">
        <v>8.9428860497549358</v>
      </c>
      <c r="E234" s="81">
        <f t="shared" si="43"/>
        <v>2041</v>
      </c>
      <c r="K234">
        <f t="shared" si="46"/>
        <v>11</v>
      </c>
      <c r="L234" s="101">
        <f t="shared" si="47"/>
        <v>2041</v>
      </c>
      <c r="M234" s="76">
        <f t="shared" si="44"/>
        <v>51806</v>
      </c>
      <c r="N234" s="77">
        <v>73.6477</v>
      </c>
      <c r="O234" s="77">
        <v>82.383300000000006</v>
      </c>
      <c r="P234" s="77">
        <v>69.928600000000003</v>
      </c>
      <c r="Q234" s="78">
        <v>85.123800000000003</v>
      </c>
      <c r="S234" s="98">
        <v>83.603411650485441</v>
      </c>
      <c r="T234" s="100">
        <f t="shared" si="48"/>
        <v>0.98540595860386337</v>
      </c>
      <c r="U234" s="100">
        <f t="shared" si="49"/>
        <v>1.0181857213659022</v>
      </c>
      <c r="AD234" s="154" t="str">
        <f t="shared" si="39"/>
        <v>Winter</v>
      </c>
      <c r="AE234">
        <f t="shared" si="40"/>
        <v>5</v>
      </c>
      <c r="AF234" s="152">
        <v>49796</v>
      </c>
      <c r="AG234" s="151">
        <v>416</v>
      </c>
      <c r="AH234" s="151">
        <v>328</v>
      </c>
      <c r="AI234">
        <f t="shared" si="41"/>
        <v>26</v>
      </c>
      <c r="AJ234">
        <f t="shared" si="42"/>
        <v>5</v>
      </c>
    </row>
    <row r="235" spans="2:36" x14ac:dyDescent="0.2">
      <c r="B235" s="82">
        <f t="shared" si="45"/>
        <v>51836</v>
      </c>
      <c r="C235" s="83">
        <v>9.8069711152793282</v>
      </c>
      <c r="D235" s="83">
        <v>9.1228774056378494</v>
      </c>
      <c r="E235" s="84">
        <f t="shared" si="43"/>
        <v>2041</v>
      </c>
      <c r="K235">
        <f t="shared" si="46"/>
        <v>12</v>
      </c>
      <c r="L235" s="101">
        <f t="shared" si="47"/>
        <v>2041</v>
      </c>
      <c r="M235" s="85">
        <f t="shared" si="44"/>
        <v>51836</v>
      </c>
      <c r="N235" s="86">
        <v>97.606899999999996</v>
      </c>
      <c r="O235" s="86">
        <v>99.349500000000006</v>
      </c>
      <c r="P235" s="86">
        <v>98.990099999999998</v>
      </c>
      <c r="Q235" s="87">
        <v>101.2937</v>
      </c>
      <c r="S235" s="98">
        <v>100.2484311827957</v>
      </c>
      <c r="T235" s="100">
        <f t="shared" si="48"/>
        <v>0.99103296508294925</v>
      </c>
      <c r="U235" s="100">
        <f t="shared" si="49"/>
        <v>1.0104267847872686</v>
      </c>
      <c r="AD235" s="154" t="str">
        <f t="shared" si="39"/>
        <v>Summer</v>
      </c>
      <c r="AE235">
        <f t="shared" si="40"/>
        <v>6</v>
      </c>
      <c r="AF235" s="152">
        <v>49827</v>
      </c>
      <c r="AG235" s="151">
        <v>400</v>
      </c>
      <c r="AH235" s="151">
        <v>320</v>
      </c>
      <c r="AI235">
        <f t="shared" si="41"/>
        <v>25</v>
      </c>
      <c r="AJ235">
        <f t="shared" si="42"/>
        <v>5</v>
      </c>
    </row>
    <row r="236" spans="2:36" x14ac:dyDescent="0.2">
      <c r="B236" s="206">
        <f t="shared" si="45"/>
        <v>51867</v>
      </c>
      <c r="C236" s="73">
        <v>10.035400599209167</v>
      </c>
      <c r="D236" s="73">
        <v>9.7694171264531775</v>
      </c>
      <c r="E236" s="205">
        <f t="shared" si="43"/>
        <v>2042</v>
      </c>
      <c r="K236">
        <f t="shared" si="46"/>
        <v>1</v>
      </c>
      <c r="L236" s="101">
        <f t="shared" si="47"/>
        <v>2042</v>
      </c>
      <c r="M236" s="76">
        <f t="shared" si="44"/>
        <v>51867</v>
      </c>
      <c r="N236" s="204">
        <v>66.481800000000007</v>
      </c>
      <c r="O236" s="204">
        <v>69.439499999999995</v>
      </c>
      <c r="P236" s="204">
        <v>53.856400000000001</v>
      </c>
      <c r="Q236" s="203">
        <v>68.477099999999993</v>
      </c>
      <c r="S236" s="98">
        <v>69.015216129032254</v>
      </c>
      <c r="T236" s="100">
        <f t="shared" si="48"/>
        <v>1.0061476858983458</v>
      </c>
      <c r="U236" s="100">
        <f t="shared" si="49"/>
        <v>0.99220293495819545</v>
      </c>
      <c r="AD236" s="154" t="str">
        <f t="shared" si="39"/>
        <v>Summer</v>
      </c>
      <c r="AE236">
        <f t="shared" si="40"/>
        <v>7</v>
      </c>
      <c r="AF236" s="152">
        <v>49857</v>
      </c>
      <c r="AG236" s="151">
        <v>416</v>
      </c>
      <c r="AH236" s="151">
        <v>328</v>
      </c>
      <c r="AI236">
        <f t="shared" si="41"/>
        <v>26</v>
      </c>
      <c r="AJ236">
        <f t="shared" si="42"/>
        <v>5</v>
      </c>
    </row>
    <row r="237" spans="2:36" x14ac:dyDescent="0.2">
      <c r="B237" s="80">
        <f t="shared" si="45"/>
        <v>51898</v>
      </c>
      <c r="C237" s="73">
        <v>10.222361969988849</v>
      </c>
      <c r="D237" s="73">
        <v>9.9619913072726689</v>
      </c>
      <c r="E237" s="81">
        <f t="shared" si="43"/>
        <v>2042</v>
      </c>
      <c r="K237">
        <f t="shared" si="46"/>
        <v>2</v>
      </c>
      <c r="L237" s="101">
        <f t="shared" si="47"/>
        <v>2042</v>
      </c>
      <c r="M237" s="76">
        <f t="shared" si="44"/>
        <v>51898</v>
      </c>
      <c r="N237" s="77">
        <v>97.016400000000004</v>
      </c>
      <c r="O237" s="77">
        <v>97.168099999999995</v>
      </c>
      <c r="P237" s="77">
        <v>61.153399999999998</v>
      </c>
      <c r="Q237" s="78">
        <v>65.865700000000004</v>
      </c>
      <c r="S237" s="98">
        <v>83.752785714285707</v>
      </c>
      <c r="T237" s="100">
        <f t="shared" si="48"/>
        <v>1.1601775292762118</v>
      </c>
      <c r="U237" s="100">
        <f t="shared" si="49"/>
        <v>0.78642996096505113</v>
      </c>
      <c r="AD237" s="154" t="str">
        <f t="shared" si="39"/>
        <v>Summer</v>
      </c>
      <c r="AE237">
        <f t="shared" si="40"/>
        <v>8</v>
      </c>
      <c r="AF237" s="152">
        <v>49888</v>
      </c>
      <c r="AG237" s="151">
        <v>416</v>
      </c>
      <c r="AH237" s="151">
        <v>328</v>
      </c>
      <c r="AI237">
        <f t="shared" si="41"/>
        <v>26</v>
      </c>
      <c r="AJ237">
        <f t="shared" si="42"/>
        <v>5</v>
      </c>
    </row>
    <row r="238" spans="2:36" x14ac:dyDescent="0.2">
      <c r="B238" s="80">
        <f t="shared" si="45"/>
        <v>51926</v>
      </c>
      <c r="C238" s="73">
        <v>8.8093030629625879</v>
      </c>
      <c r="D238" s="73">
        <v>9.3492646921511113</v>
      </c>
      <c r="E238" s="81">
        <f t="shared" si="43"/>
        <v>2042</v>
      </c>
      <c r="K238">
        <f t="shared" si="46"/>
        <v>3</v>
      </c>
      <c r="L238" s="101">
        <f t="shared" si="47"/>
        <v>2042</v>
      </c>
      <c r="M238" s="76">
        <f t="shared" si="44"/>
        <v>51926</v>
      </c>
      <c r="N238" s="77">
        <v>58.101700000000001</v>
      </c>
      <c r="O238" s="77">
        <v>57.423900000000003</v>
      </c>
      <c r="P238" s="77">
        <v>46.570599999999999</v>
      </c>
      <c r="Q238" s="78">
        <v>53.090600000000002</v>
      </c>
      <c r="S238" s="98">
        <v>55.516781426648727</v>
      </c>
      <c r="T238" s="100">
        <f t="shared" si="48"/>
        <v>1.0343521098367536</v>
      </c>
      <c r="U238" s="100">
        <f t="shared" si="49"/>
        <v>0.9562982333575244</v>
      </c>
      <c r="AD238" s="154" t="str">
        <f t="shared" si="39"/>
        <v>Summer</v>
      </c>
      <c r="AE238">
        <f t="shared" si="40"/>
        <v>9</v>
      </c>
      <c r="AF238" s="152">
        <v>49919</v>
      </c>
      <c r="AG238" s="151">
        <v>400</v>
      </c>
      <c r="AH238" s="151">
        <v>320</v>
      </c>
      <c r="AI238">
        <f t="shared" si="41"/>
        <v>25</v>
      </c>
      <c r="AJ238">
        <f t="shared" si="42"/>
        <v>5</v>
      </c>
    </row>
    <row r="239" spans="2:36" x14ac:dyDescent="0.2">
      <c r="B239" s="80">
        <f t="shared" si="45"/>
        <v>51957</v>
      </c>
      <c r="C239" s="73">
        <v>8.4394358825915052</v>
      </c>
      <c r="D239" s="73">
        <v>9.1391884750000809</v>
      </c>
      <c r="E239" s="81">
        <f t="shared" si="43"/>
        <v>2042</v>
      </c>
      <c r="K239">
        <f t="shared" si="46"/>
        <v>4</v>
      </c>
      <c r="L239" s="101">
        <f t="shared" si="47"/>
        <v>2042</v>
      </c>
      <c r="M239" s="76">
        <f t="shared" si="44"/>
        <v>51957</v>
      </c>
      <c r="N239" s="77">
        <v>29.2302</v>
      </c>
      <c r="O239" s="77">
        <v>31.9284</v>
      </c>
      <c r="P239" s="77">
        <v>31.543700000000001</v>
      </c>
      <c r="Q239" s="78">
        <v>37.4651</v>
      </c>
      <c r="S239" s="98">
        <v>34.266117777777779</v>
      </c>
      <c r="T239" s="100">
        <f t="shared" si="48"/>
        <v>0.93177757127497429</v>
      </c>
      <c r="U239" s="100">
        <f t="shared" si="49"/>
        <v>1.0933570077289823</v>
      </c>
      <c r="AD239" s="154" t="str">
        <f t="shared" si="39"/>
        <v>Winter</v>
      </c>
      <c r="AE239">
        <f t="shared" si="40"/>
        <v>10</v>
      </c>
      <c r="AF239" s="152">
        <v>49949</v>
      </c>
      <c r="AG239" s="151">
        <v>432</v>
      </c>
      <c r="AH239" s="151">
        <v>312</v>
      </c>
      <c r="AI239">
        <f t="shared" si="41"/>
        <v>27</v>
      </c>
      <c r="AJ239">
        <f t="shared" si="42"/>
        <v>4</v>
      </c>
    </row>
    <row r="240" spans="2:36" x14ac:dyDescent="0.2">
      <c r="B240" s="80">
        <f t="shared" si="45"/>
        <v>51987</v>
      </c>
      <c r="C240" s="73">
        <v>8.4300067028287557</v>
      </c>
      <c r="D240" s="73">
        <v>8.5440156773826423</v>
      </c>
      <c r="E240" s="81">
        <f t="shared" si="43"/>
        <v>2042</v>
      </c>
      <c r="K240">
        <f t="shared" si="46"/>
        <v>5</v>
      </c>
      <c r="L240" s="101">
        <f t="shared" si="47"/>
        <v>2042</v>
      </c>
      <c r="M240" s="76">
        <f t="shared" si="44"/>
        <v>51987</v>
      </c>
      <c r="N240" s="77">
        <v>13.042899999999999</v>
      </c>
      <c r="O240" s="77">
        <v>26.1143</v>
      </c>
      <c r="P240" s="77">
        <v>12.0649</v>
      </c>
      <c r="Q240" s="78">
        <v>36.723700000000001</v>
      </c>
      <c r="S240" s="98">
        <v>30.791562365591396</v>
      </c>
      <c r="T240" s="100">
        <f t="shared" si="48"/>
        <v>0.84809921919330444</v>
      </c>
      <c r="U240" s="100">
        <f t="shared" si="49"/>
        <v>1.1926546488280043</v>
      </c>
      <c r="AD240" s="154" t="str">
        <f t="shared" si="39"/>
        <v>Winter</v>
      </c>
      <c r="AE240">
        <f t="shared" si="40"/>
        <v>11</v>
      </c>
      <c r="AF240" s="152">
        <v>49980</v>
      </c>
      <c r="AG240" s="151">
        <v>384</v>
      </c>
      <c r="AH240" s="151">
        <v>336</v>
      </c>
      <c r="AI240">
        <f t="shared" si="41"/>
        <v>24</v>
      </c>
      <c r="AJ240">
        <f t="shared" si="42"/>
        <v>6</v>
      </c>
    </row>
    <row r="241" spans="2:36" x14ac:dyDescent="0.2">
      <c r="B241" s="80">
        <f t="shared" si="45"/>
        <v>52018</v>
      </c>
      <c r="C241" s="73">
        <v>8.6784098256108706</v>
      </c>
      <c r="D241" s="73">
        <v>8.5352646592168728</v>
      </c>
      <c r="E241" s="81">
        <f t="shared" si="43"/>
        <v>2042</v>
      </c>
      <c r="K241">
        <f t="shared" si="46"/>
        <v>6</v>
      </c>
      <c r="L241" s="101">
        <f t="shared" si="47"/>
        <v>2042</v>
      </c>
      <c r="M241" s="76">
        <f t="shared" si="44"/>
        <v>52018</v>
      </c>
      <c r="N241" s="77">
        <v>39.7273</v>
      </c>
      <c r="O241" s="77">
        <v>51.450600000000001</v>
      </c>
      <c r="P241" s="77">
        <v>58.299599999999998</v>
      </c>
      <c r="Q241" s="78">
        <v>68.726600000000005</v>
      </c>
      <c r="S241" s="98">
        <v>59.128822222222226</v>
      </c>
      <c r="T241" s="100">
        <f t="shared" si="48"/>
        <v>0.87014417108858733</v>
      </c>
      <c r="U241" s="100">
        <f t="shared" si="49"/>
        <v>1.1623197861392658</v>
      </c>
      <c r="AD241" s="154" t="str">
        <f t="shared" si="39"/>
        <v>Winter</v>
      </c>
      <c r="AE241">
        <f t="shared" si="40"/>
        <v>12</v>
      </c>
      <c r="AF241" s="152">
        <v>50010</v>
      </c>
      <c r="AG241" s="151">
        <v>416</v>
      </c>
      <c r="AH241" s="151">
        <v>328</v>
      </c>
      <c r="AI241">
        <f t="shared" si="41"/>
        <v>26</v>
      </c>
      <c r="AJ241">
        <f t="shared" si="42"/>
        <v>5</v>
      </c>
    </row>
    <row r="242" spans="2:36" x14ac:dyDescent="0.2">
      <c r="B242" s="80">
        <f t="shared" si="45"/>
        <v>52048</v>
      </c>
      <c r="C242" s="73">
        <v>8.859490632667546</v>
      </c>
      <c r="D242" s="73">
        <v>8.7015340043664811</v>
      </c>
      <c r="E242" s="81">
        <f t="shared" si="43"/>
        <v>2042</v>
      </c>
      <c r="K242">
        <f t="shared" si="46"/>
        <v>7</v>
      </c>
      <c r="L242" s="101">
        <f t="shared" si="47"/>
        <v>2042</v>
      </c>
      <c r="M242" s="76">
        <f t="shared" si="44"/>
        <v>52048</v>
      </c>
      <c r="N242" s="77">
        <v>83.868099999999998</v>
      </c>
      <c r="O242" s="77">
        <v>110.3895</v>
      </c>
      <c r="P242" s="77">
        <v>63.413899999999998</v>
      </c>
      <c r="Q242" s="78">
        <v>106.4992</v>
      </c>
      <c r="S242" s="98">
        <v>108.67442150537633</v>
      </c>
      <c r="T242" s="100">
        <f t="shared" si="48"/>
        <v>1.0157818046865685</v>
      </c>
      <c r="U242" s="100">
        <f t="shared" si="49"/>
        <v>0.97998405259264509</v>
      </c>
      <c r="AD242" s="154" t="str">
        <f t="shared" si="39"/>
        <v>Winter</v>
      </c>
      <c r="AE242">
        <f t="shared" si="40"/>
        <v>1</v>
      </c>
      <c r="AF242" s="152">
        <v>50041</v>
      </c>
      <c r="AG242" s="151">
        <v>416</v>
      </c>
      <c r="AH242" s="151">
        <v>328</v>
      </c>
      <c r="AI242">
        <f t="shared" si="41"/>
        <v>26</v>
      </c>
      <c r="AJ242">
        <f t="shared" si="42"/>
        <v>5</v>
      </c>
    </row>
    <row r="243" spans="2:36" x14ac:dyDescent="0.2">
      <c r="B243" s="80">
        <f t="shared" si="45"/>
        <v>52079</v>
      </c>
      <c r="C243" s="73">
        <v>9.3176676579134146</v>
      </c>
      <c r="D243" s="73">
        <v>8.832851058025593</v>
      </c>
      <c r="E243" s="81">
        <f t="shared" si="43"/>
        <v>2042</v>
      </c>
      <c r="K243">
        <f t="shared" si="46"/>
        <v>8</v>
      </c>
      <c r="L243" s="101">
        <f t="shared" si="47"/>
        <v>2042</v>
      </c>
      <c r="M243" s="76">
        <f t="shared" si="44"/>
        <v>52079</v>
      </c>
      <c r="N243" s="77">
        <v>94.132800000000003</v>
      </c>
      <c r="O243" s="77">
        <v>121.82080000000001</v>
      </c>
      <c r="P243" s="77">
        <v>76.087199999999996</v>
      </c>
      <c r="Q243" s="78">
        <v>114.8094</v>
      </c>
      <c r="S243" s="98">
        <v>118.72975268817204</v>
      </c>
      <c r="T243" s="100">
        <f t="shared" si="48"/>
        <v>1.0260343110454058</v>
      </c>
      <c r="U243" s="100">
        <f t="shared" si="49"/>
        <v>0.96698087379607089</v>
      </c>
      <c r="AD243" s="154" t="str">
        <f t="shared" si="39"/>
        <v>Winter</v>
      </c>
      <c r="AE243">
        <f t="shared" si="40"/>
        <v>2</v>
      </c>
      <c r="AF243" s="152">
        <v>50072</v>
      </c>
      <c r="AG243" s="151">
        <v>384</v>
      </c>
      <c r="AH243" s="151">
        <v>288</v>
      </c>
      <c r="AI243">
        <f t="shared" si="41"/>
        <v>24</v>
      </c>
      <c r="AJ243">
        <f t="shared" si="42"/>
        <v>4</v>
      </c>
    </row>
    <row r="244" spans="2:36" x14ac:dyDescent="0.2">
      <c r="B244" s="80">
        <f t="shared" si="45"/>
        <v>52110</v>
      </c>
      <c r="C244" s="73">
        <v>9.3445357507857665</v>
      </c>
      <c r="D244" s="73">
        <v>8.8941081851859742</v>
      </c>
      <c r="E244" s="81">
        <f t="shared" si="43"/>
        <v>2042</v>
      </c>
      <c r="K244">
        <f t="shared" si="46"/>
        <v>9</v>
      </c>
      <c r="L244" s="101">
        <f t="shared" si="47"/>
        <v>2042</v>
      </c>
      <c r="M244" s="76">
        <f t="shared" si="44"/>
        <v>52110</v>
      </c>
      <c r="N244" s="77">
        <v>95.2059</v>
      </c>
      <c r="O244" s="77">
        <v>112.06310000000001</v>
      </c>
      <c r="P244" s="77">
        <v>77.424999999999997</v>
      </c>
      <c r="Q244" s="78">
        <v>109.1985</v>
      </c>
      <c r="S244" s="98">
        <v>110.78994444444444</v>
      </c>
      <c r="T244" s="100">
        <f t="shared" si="48"/>
        <v>1.011491616517544</v>
      </c>
      <c r="U244" s="100">
        <f t="shared" si="49"/>
        <v>0.98563547935307005</v>
      </c>
      <c r="AD244" s="154" t="str">
        <f t="shared" si="39"/>
        <v>Winter</v>
      </c>
      <c r="AE244">
        <f t="shared" si="40"/>
        <v>3</v>
      </c>
      <c r="AF244" s="152">
        <v>50100</v>
      </c>
      <c r="AG244" s="151">
        <v>416</v>
      </c>
      <c r="AH244" s="151">
        <v>328</v>
      </c>
      <c r="AI244">
        <f t="shared" si="41"/>
        <v>26</v>
      </c>
      <c r="AJ244">
        <f t="shared" si="42"/>
        <v>5</v>
      </c>
    </row>
    <row r="245" spans="2:36" x14ac:dyDescent="0.2">
      <c r="B245" s="80">
        <f t="shared" si="45"/>
        <v>52140</v>
      </c>
      <c r="C245" s="73">
        <v>9.6561042390753329</v>
      </c>
      <c r="D245" s="73">
        <v>9.2004973833330439</v>
      </c>
      <c r="E245" s="81">
        <f t="shared" si="43"/>
        <v>2042</v>
      </c>
      <c r="K245">
        <f t="shared" si="46"/>
        <v>10</v>
      </c>
      <c r="L245" s="101">
        <f t="shared" si="47"/>
        <v>2042</v>
      </c>
      <c r="M245" s="76">
        <f t="shared" si="44"/>
        <v>52140</v>
      </c>
      <c r="N245" s="77">
        <v>60.565800000000003</v>
      </c>
      <c r="O245" s="77">
        <v>63.087699999999998</v>
      </c>
      <c r="P245" s="77">
        <v>62.760100000000001</v>
      </c>
      <c r="Q245" s="78">
        <v>76.956999999999994</v>
      </c>
      <c r="S245" s="98">
        <v>68.903858064516129</v>
      </c>
      <c r="T245" s="100">
        <f t="shared" si="48"/>
        <v>0.91559024083861396</v>
      </c>
      <c r="U245" s="100">
        <f t="shared" si="49"/>
        <v>1.1168750511465344</v>
      </c>
      <c r="AD245" s="154" t="str">
        <f t="shared" si="39"/>
        <v>Winter</v>
      </c>
      <c r="AE245">
        <f t="shared" si="40"/>
        <v>4</v>
      </c>
      <c r="AF245" s="152">
        <v>50131</v>
      </c>
      <c r="AG245" s="151">
        <v>416</v>
      </c>
      <c r="AH245" s="151">
        <v>304</v>
      </c>
      <c r="AI245">
        <f t="shared" si="41"/>
        <v>26</v>
      </c>
      <c r="AJ245">
        <f t="shared" si="42"/>
        <v>4</v>
      </c>
    </row>
    <row r="246" spans="2:36" x14ac:dyDescent="0.2">
      <c r="B246" s="80">
        <f t="shared" si="45"/>
        <v>52171</v>
      </c>
      <c r="C246" s="73">
        <v>10.185354974145799</v>
      </c>
      <c r="D246" s="73">
        <v>9.4893327639759946</v>
      </c>
      <c r="E246" s="81">
        <f t="shared" si="43"/>
        <v>2042</v>
      </c>
      <c r="K246">
        <f t="shared" si="46"/>
        <v>11</v>
      </c>
      <c r="L246" s="101">
        <f t="shared" si="47"/>
        <v>2042</v>
      </c>
      <c r="M246" s="76">
        <f t="shared" si="44"/>
        <v>52171</v>
      </c>
      <c r="N246" s="77">
        <v>99.279200000000003</v>
      </c>
      <c r="O246" s="77">
        <v>101.3018</v>
      </c>
      <c r="P246" s="77">
        <v>73.532399999999996</v>
      </c>
      <c r="Q246" s="78">
        <v>86.896900000000002</v>
      </c>
      <c r="S246" s="98">
        <v>94.568857836338424</v>
      </c>
      <c r="T246" s="100">
        <f t="shared" si="48"/>
        <v>1.0711961878117811</v>
      </c>
      <c r="U246" s="100">
        <f t="shared" si="49"/>
        <v>0.91887437353197632</v>
      </c>
      <c r="AD246" s="154" t="str">
        <f t="shared" si="39"/>
        <v>Winter</v>
      </c>
      <c r="AE246">
        <f t="shared" si="40"/>
        <v>5</v>
      </c>
      <c r="AF246" s="152">
        <v>50161</v>
      </c>
      <c r="AG246" s="151">
        <v>400</v>
      </c>
      <c r="AH246" s="151">
        <v>344</v>
      </c>
      <c r="AI246">
        <f t="shared" si="41"/>
        <v>25</v>
      </c>
      <c r="AJ246">
        <f t="shared" si="42"/>
        <v>6</v>
      </c>
    </row>
    <row r="247" spans="2:36" x14ac:dyDescent="0.2">
      <c r="B247" s="82">
        <f t="shared" si="45"/>
        <v>52201</v>
      </c>
      <c r="C247" s="83">
        <v>10.273968986109706</v>
      </c>
      <c r="D247" s="83">
        <v>9.6030960001309893</v>
      </c>
      <c r="E247" s="84">
        <f t="shared" si="43"/>
        <v>2042</v>
      </c>
      <c r="K247">
        <f t="shared" si="46"/>
        <v>12</v>
      </c>
      <c r="L247" s="101">
        <f t="shared" si="47"/>
        <v>2042</v>
      </c>
      <c r="M247" s="85">
        <f t="shared" si="44"/>
        <v>52201</v>
      </c>
      <c r="N247" s="86">
        <v>101.8647</v>
      </c>
      <c r="O247" s="86">
        <v>99.970299999999995</v>
      </c>
      <c r="P247" s="86">
        <v>83.232399999999998</v>
      </c>
      <c r="Q247" s="87">
        <v>87.477599999999995</v>
      </c>
      <c r="S247" s="98">
        <v>94.46276559139784</v>
      </c>
      <c r="T247" s="100">
        <f t="shared" si="48"/>
        <v>1.0583037599430996</v>
      </c>
      <c r="U247" s="100">
        <f t="shared" si="49"/>
        <v>0.92605376787704441</v>
      </c>
      <c r="AD247" s="154" t="str">
        <f t="shared" si="39"/>
        <v>Summer</v>
      </c>
      <c r="AE247">
        <f t="shared" si="40"/>
        <v>6</v>
      </c>
      <c r="AF247" s="152">
        <v>50192</v>
      </c>
      <c r="AG247" s="151">
        <v>416</v>
      </c>
      <c r="AH247" s="151">
        <v>304</v>
      </c>
      <c r="AI247">
        <f t="shared" si="41"/>
        <v>26</v>
      </c>
      <c r="AJ247">
        <f t="shared" si="42"/>
        <v>4</v>
      </c>
    </row>
    <row r="248" spans="2:36" x14ac:dyDescent="0.2">
      <c r="B248" s="206"/>
      <c r="C248" s="73"/>
      <c r="D248" s="73"/>
      <c r="E248" s="205"/>
      <c r="K248"/>
      <c r="L248" s="101"/>
      <c r="M248" s="76"/>
      <c r="N248" s="204"/>
      <c r="O248" s="204"/>
      <c r="P248" s="204"/>
      <c r="Q248" s="203"/>
      <c r="S248" s="98"/>
      <c r="T248" s="100"/>
      <c r="U248" s="100"/>
      <c r="AD248" s="154" t="str">
        <f t="shared" si="39"/>
        <v>Summer</v>
      </c>
      <c r="AE248">
        <f t="shared" si="40"/>
        <v>7</v>
      </c>
      <c r="AF248" s="152">
        <v>50222</v>
      </c>
      <c r="AG248" s="151">
        <v>416</v>
      </c>
      <c r="AH248" s="151">
        <v>328</v>
      </c>
      <c r="AI248">
        <f t="shared" si="41"/>
        <v>26</v>
      </c>
      <c r="AJ248">
        <f t="shared" si="42"/>
        <v>5</v>
      </c>
    </row>
    <row r="249" spans="2:36" x14ac:dyDescent="0.2">
      <c r="B249" s="80"/>
      <c r="C249" s="73"/>
      <c r="D249" s="73"/>
      <c r="E249" s="81"/>
      <c r="K249"/>
      <c r="L249" s="101"/>
      <c r="M249" s="76"/>
      <c r="N249" s="77"/>
      <c r="O249" s="77"/>
      <c r="P249" s="77"/>
      <c r="Q249" s="78"/>
      <c r="S249" s="98"/>
      <c r="T249" s="100"/>
      <c r="U249" s="100"/>
      <c r="AD249" s="154" t="str">
        <f t="shared" si="39"/>
        <v>Summer</v>
      </c>
      <c r="AE249">
        <f t="shared" si="40"/>
        <v>8</v>
      </c>
      <c r="AF249" s="152">
        <v>50253</v>
      </c>
      <c r="AG249" s="151">
        <v>416</v>
      </c>
      <c r="AH249" s="151">
        <v>328</v>
      </c>
      <c r="AI249">
        <f t="shared" si="41"/>
        <v>26</v>
      </c>
      <c r="AJ249">
        <f t="shared" si="42"/>
        <v>5</v>
      </c>
    </row>
    <row r="250" spans="2:36" x14ac:dyDescent="0.2">
      <c r="B250" s="80"/>
      <c r="C250" s="73"/>
      <c r="D250" s="73"/>
      <c r="E250" s="81"/>
      <c r="K250"/>
      <c r="L250" s="101"/>
      <c r="M250" s="76"/>
      <c r="N250" s="77"/>
      <c r="O250" s="77"/>
      <c r="P250" s="77"/>
      <c r="Q250" s="78"/>
      <c r="S250" s="98"/>
      <c r="T250" s="100"/>
      <c r="U250" s="100"/>
      <c r="AD250" s="154" t="str">
        <f t="shared" si="39"/>
        <v>Summer</v>
      </c>
      <c r="AE250">
        <f t="shared" si="40"/>
        <v>9</v>
      </c>
      <c r="AF250" s="152">
        <v>50284</v>
      </c>
      <c r="AG250" s="151">
        <v>400</v>
      </c>
      <c r="AH250" s="151">
        <v>320</v>
      </c>
      <c r="AI250">
        <f t="shared" si="41"/>
        <v>25</v>
      </c>
      <c r="AJ250">
        <f t="shared" si="42"/>
        <v>5</v>
      </c>
    </row>
    <row r="251" spans="2:36" x14ac:dyDescent="0.2">
      <c r="B251" s="80"/>
      <c r="C251" s="73"/>
      <c r="D251" s="73"/>
      <c r="E251" s="81"/>
      <c r="K251"/>
      <c r="L251" s="101"/>
      <c r="M251" s="76"/>
      <c r="N251" s="77"/>
      <c r="O251" s="77"/>
      <c r="P251" s="77"/>
      <c r="Q251" s="78"/>
      <c r="S251" s="98"/>
      <c r="T251" s="100"/>
      <c r="U251" s="100"/>
      <c r="AD251" s="154" t="str">
        <f t="shared" si="39"/>
        <v>Winter</v>
      </c>
      <c r="AE251">
        <f t="shared" si="40"/>
        <v>10</v>
      </c>
      <c r="AF251" s="152">
        <v>50314</v>
      </c>
      <c r="AG251" s="151">
        <v>432</v>
      </c>
      <c r="AH251" s="151">
        <v>312</v>
      </c>
      <c r="AI251">
        <f t="shared" si="41"/>
        <v>27</v>
      </c>
      <c r="AJ251">
        <f t="shared" si="42"/>
        <v>4</v>
      </c>
    </row>
    <row r="252" spans="2:36" x14ac:dyDescent="0.2">
      <c r="B252" s="80"/>
      <c r="C252" s="73"/>
      <c r="D252" s="73"/>
      <c r="E252" s="81"/>
      <c r="K252"/>
      <c r="L252" s="101"/>
      <c r="M252" s="76"/>
      <c r="N252" s="77"/>
      <c r="O252" s="77"/>
      <c r="P252" s="77"/>
      <c r="Q252" s="78"/>
      <c r="S252" s="98"/>
      <c r="T252" s="100"/>
      <c r="U252" s="100"/>
      <c r="AD252" s="154" t="str">
        <f t="shared" si="39"/>
        <v>Winter</v>
      </c>
      <c r="AE252">
        <f t="shared" si="40"/>
        <v>11</v>
      </c>
      <c r="AF252" s="152">
        <v>50345</v>
      </c>
      <c r="AG252" s="151">
        <v>384</v>
      </c>
      <c r="AH252" s="151">
        <v>336</v>
      </c>
      <c r="AI252">
        <f t="shared" si="41"/>
        <v>24</v>
      </c>
      <c r="AJ252">
        <f t="shared" si="42"/>
        <v>6</v>
      </c>
    </row>
    <row r="253" spans="2:36" x14ac:dyDescent="0.2">
      <c r="B253" s="80"/>
      <c r="C253" s="73"/>
      <c r="D253" s="73"/>
      <c r="E253" s="81"/>
      <c r="K253"/>
      <c r="L253" s="101"/>
      <c r="M253" s="76"/>
      <c r="N253" s="77"/>
      <c r="O253" s="77"/>
      <c r="P253" s="77"/>
      <c r="Q253" s="78"/>
      <c r="S253" s="98"/>
      <c r="T253" s="100"/>
      <c r="U253" s="100"/>
      <c r="AD253" s="154" t="str">
        <f t="shared" si="39"/>
        <v>Winter</v>
      </c>
      <c r="AE253">
        <f t="shared" si="40"/>
        <v>12</v>
      </c>
      <c r="AF253" s="152">
        <v>50375</v>
      </c>
      <c r="AG253" s="151">
        <v>416</v>
      </c>
      <c r="AH253" s="151">
        <v>328</v>
      </c>
      <c r="AI253">
        <f t="shared" si="41"/>
        <v>26</v>
      </c>
      <c r="AJ253">
        <f t="shared" si="42"/>
        <v>5</v>
      </c>
    </row>
    <row r="254" spans="2:36" x14ac:dyDescent="0.2">
      <c r="B254" s="80"/>
      <c r="C254" s="73"/>
      <c r="D254" s="73"/>
      <c r="E254" s="81"/>
      <c r="K254"/>
      <c r="L254" s="101"/>
      <c r="M254" s="76"/>
      <c r="N254" s="77"/>
      <c r="O254" s="77"/>
      <c r="P254" s="77"/>
      <c r="Q254" s="78"/>
      <c r="S254" s="98"/>
      <c r="T254" s="100"/>
      <c r="U254" s="100"/>
      <c r="AD254" s="154" t="str">
        <f t="shared" si="39"/>
        <v>Winter</v>
      </c>
      <c r="AE254">
        <f t="shared" si="40"/>
        <v>1</v>
      </c>
      <c r="AF254" s="152">
        <v>50406</v>
      </c>
      <c r="AG254" s="151">
        <v>400</v>
      </c>
      <c r="AH254" s="151">
        <v>344</v>
      </c>
      <c r="AI254">
        <f t="shared" si="41"/>
        <v>25</v>
      </c>
      <c r="AJ254">
        <f t="shared" si="42"/>
        <v>6</v>
      </c>
    </row>
    <row r="255" spans="2:36" x14ac:dyDescent="0.2">
      <c r="B255" s="80"/>
      <c r="C255" s="73"/>
      <c r="D255" s="73"/>
      <c r="E255" s="81"/>
      <c r="K255"/>
      <c r="L255" s="101"/>
      <c r="M255" s="76"/>
      <c r="N255" s="77"/>
      <c r="O255" s="77"/>
      <c r="P255" s="77"/>
      <c r="Q255" s="78"/>
      <c r="S255" s="98"/>
      <c r="T255" s="100"/>
      <c r="U255" s="100"/>
      <c r="AD255" s="154" t="str">
        <f t="shared" si="39"/>
        <v>Winter</v>
      </c>
      <c r="AE255">
        <f t="shared" si="40"/>
        <v>2</v>
      </c>
      <c r="AF255" s="152">
        <v>50437</v>
      </c>
      <c r="AG255" s="151">
        <v>384</v>
      </c>
      <c r="AH255" s="151">
        <v>288</v>
      </c>
      <c r="AI255">
        <f t="shared" si="41"/>
        <v>24</v>
      </c>
      <c r="AJ255">
        <f t="shared" si="42"/>
        <v>4</v>
      </c>
    </row>
    <row r="256" spans="2:36" x14ac:dyDescent="0.2">
      <c r="B256" s="80"/>
      <c r="C256" s="73"/>
      <c r="D256" s="73"/>
      <c r="E256" s="81"/>
      <c r="K256"/>
      <c r="L256" s="101"/>
      <c r="M256" s="76"/>
      <c r="N256" s="77"/>
      <c r="O256" s="77"/>
      <c r="P256" s="77"/>
      <c r="Q256" s="78"/>
      <c r="S256" s="98"/>
      <c r="T256" s="100"/>
      <c r="U256" s="100"/>
      <c r="AD256" s="154" t="str">
        <f t="shared" si="39"/>
        <v>Winter</v>
      </c>
      <c r="AE256">
        <f t="shared" si="40"/>
        <v>3</v>
      </c>
      <c r="AF256" s="152">
        <v>50465</v>
      </c>
      <c r="AG256" s="151">
        <v>432</v>
      </c>
      <c r="AH256" s="151">
        <v>312</v>
      </c>
      <c r="AI256">
        <f t="shared" si="41"/>
        <v>27</v>
      </c>
      <c r="AJ256">
        <f t="shared" si="42"/>
        <v>4</v>
      </c>
    </row>
    <row r="257" spans="2:36" x14ac:dyDescent="0.2">
      <c r="B257" s="80"/>
      <c r="C257" s="73"/>
      <c r="D257" s="73"/>
      <c r="E257" s="81"/>
      <c r="K257"/>
      <c r="L257" s="101"/>
      <c r="M257" s="76"/>
      <c r="N257" s="77"/>
      <c r="O257" s="77"/>
      <c r="P257" s="77"/>
      <c r="Q257" s="78"/>
      <c r="S257" s="98"/>
      <c r="T257" s="100"/>
      <c r="U257" s="100"/>
      <c r="AD257" s="154" t="str">
        <f t="shared" si="39"/>
        <v>Winter</v>
      </c>
      <c r="AE257">
        <f t="shared" si="40"/>
        <v>4</v>
      </c>
      <c r="AF257" s="152">
        <v>50496</v>
      </c>
      <c r="AG257" s="151">
        <v>416</v>
      </c>
      <c r="AH257" s="151">
        <v>304</v>
      </c>
      <c r="AI257">
        <f t="shared" si="41"/>
        <v>26</v>
      </c>
      <c r="AJ257">
        <f t="shared" si="42"/>
        <v>4</v>
      </c>
    </row>
    <row r="258" spans="2:36" x14ac:dyDescent="0.2">
      <c r="B258" s="80"/>
      <c r="C258" s="73"/>
      <c r="D258" s="73"/>
      <c r="E258" s="81"/>
      <c r="K258"/>
      <c r="L258" s="101"/>
      <c r="M258" s="76"/>
      <c r="N258" s="77"/>
      <c r="O258" s="77"/>
      <c r="P258" s="77"/>
      <c r="Q258" s="78"/>
      <c r="S258" s="98"/>
      <c r="T258" s="100"/>
      <c r="U258" s="100"/>
      <c r="AD258" s="154" t="str">
        <f t="shared" ref="AD258:AD313" si="50">IF(AND(AE258&gt;=6,AE258&lt;=9),"Summer","Winter")</f>
        <v>Winter</v>
      </c>
      <c r="AE258">
        <f t="shared" ref="AE258:AE313" si="51">MONTH(AF258)</f>
        <v>5</v>
      </c>
      <c r="AF258" s="152">
        <v>50526</v>
      </c>
      <c r="AG258" s="151">
        <v>400</v>
      </c>
      <c r="AH258" s="151">
        <v>344</v>
      </c>
      <c r="AI258">
        <f t="shared" ref="AI258:AI313" si="52">AG258/16</f>
        <v>25</v>
      </c>
      <c r="AJ258">
        <f t="shared" ref="AJ258:AJ313" si="53">EDATE(AF258,1)-AF258-AI258</f>
        <v>6</v>
      </c>
    </row>
    <row r="259" spans="2:36" x14ac:dyDescent="0.2">
      <c r="B259" s="82"/>
      <c r="C259" s="83"/>
      <c r="D259" s="83"/>
      <c r="E259" s="84"/>
      <c r="K259"/>
      <c r="L259" s="101"/>
      <c r="M259" s="85"/>
      <c r="N259" s="86"/>
      <c r="O259" s="86"/>
      <c r="P259" s="86"/>
      <c r="Q259" s="87"/>
      <c r="S259" s="98"/>
      <c r="T259" s="100"/>
      <c r="U259" s="100"/>
      <c r="AD259" s="154" t="str">
        <f t="shared" si="50"/>
        <v>Summer</v>
      </c>
      <c r="AE259">
        <f t="shared" si="51"/>
        <v>6</v>
      </c>
      <c r="AF259" s="152">
        <v>50557</v>
      </c>
      <c r="AG259" s="151">
        <v>416</v>
      </c>
      <c r="AH259" s="151">
        <v>304</v>
      </c>
      <c r="AI259">
        <f t="shared" si="52"/>
        <v>26</v>
      </c>
      <c r="AJ259">
        <f t="shared" si="53"/>
        <v>4</v>
      </c>
    </row>
    <row r="260" spans="2:36" x14ac:dyDescent="0.2">
      <c r="AD260" s="154" t="str">
        <f t="shared" si="50"/>
        <v>Summer</v>
      </c>
      <c r="AE260">
        <f t="shared" si="51"/>
        <v>7</v>
      </c>
      <c r="AF260" s="152">
        <v>50587</v>
      </c>
      <c r="AG260" s="151">
        <v>416</v>
      </c>
      <c r="AH260" s="151">
        <v>328</v>
      </c>
      <c r="AI260">
        <f t="shared" si="52"/>
        <v>26</v>
      </c>
      <c r="AJ260">
        <f t="shared" si="53"/>
        <v>5</v>
      </c>
    </row>
    <row r="261" spans="2:36" x14ac:dyDescent="0.2">
      <c r="AD261" s="154" t="str">
        <f t="shared" si="50"/>
        <v>Summer</v>
      </c>
      <c r="AE261">
        <f t="shared" si="51"/>
        <v>8</v>
      </c>
      <c r="AF261" s="152">
        <v>50618</v>
      </c>
      <c r="AG261" s="151">
        <v>416</v>
      </c>
      <c r="AH261" s="151">
        <v>328</v>
      </c>
      <c r="AI261">
        <f t="shared" si="52"/>
        <v>26</v>
      </c>
      <c r="AJ261">
        <f t="shared" si="53"/>
        <v>5</v>
      </c>
    </row>
    <row r="262" spans="2:36" x14ac:dyDescent="0.2">
      <c r="AD262" s="154" t="str">
        <f t="shared" si="50"/>
        <v>Summer</v>
      </c>
      <c r="AE262">
        <f t="shared" si="51"/>
        <v>9</v>
      </c>
      <c r="AF262" s="152">
        <v>50649</v>
      </c>
      <c r="AG262" s="151">
        <v>400</v>
      </c>
      <c r="AH262" s="151">
        <v>320</v>
      </c>
      <c r="AI262">
        <f t="shared" si="52"/>
        <v>25</v>
      </c>
      <c r="AJ262">
        <f t="shared" si="53"/>
        <v>5</v>
      </c>
    </row>
    <row r="263" spans="2:36" x14ac:dyDescent="0.2">
      <c r="C263" s="312" t="s">
        <v>285</v>
      </c>
      <c r="D263" s="92" t="s">
        <v>113</v>
      </c>
      <c r="N263" s="92" t="s">
        <v>53</v>
      </c>
      <c r="O263" s="92" t="s">
        <v>54</v>
      </c>
      <c r="P263" s="92" t="s">
        <v>53</v>
      </c>
      <c r="Q263" s="92" t="s">
        <v>54</v>
      </c>
      <c r="AD263" s="154" t="str">
        <f t="shared" si="50"/>
        <v>Winter</v>
      </c>
      <c r="AE263">
        <f t="shared" si="51"/>
        <v>10</v>
      </c>
      <c r="AF263" s="152">
        <v>50679</v>
      </c>
      <c r="AG263" s="151">
        <v>416</v>
      </c>
      <c r="AH263" s="151">
        <v>328</v>
      </c>
      <c r="AI263">
        <f t="shared" si="52"/>
        <v>26</v>
      </c>
      <c r="AJ263">
        <f t="shared" si="53"/>
        <v>5</v>
      </c>
    </row>
    <row r="264" spans="2:36" x14ac:dyDescent="0.2">
      <c r="C264" s="94">
        <v>44</v>
      </c>
      <c r="D264" s="94">
        <v>43</v>
      </c>
      <c r="N264" s="94">
        <v>7</v>
      </c>
      <c r="O264" s="94">
        <v>6</v>
      </c>
      <c r="P264" s="94">
        <f>N264+8</f>
        <v>15</v>
      </c>
      <c r="Q264" s="94">
        <f>O264+8</f>
        <v>14</v>
      </c>
      <c r="AD264" s="154" t="str">
        <f t="shared" si="50"/>
        <v>Winter</v>
      </c>
      <c r="AE264">
        <f t="shared" si="51"/>
        <v>11</v>
      </c>
      <c r="AF264" s="152">
        <v>50710</v>
      </c>
      <c r="AG264" s="151">
        <v>400</v>
      </c>
      <c r="AH264" s="151">
        <v>320</v>
      </c>
      <c r="AI264">
        <f t="shared" si="52"/>
        <v>25</v>
      </c>
      <c r="AJ264">
        <f t="shared" si="53"/>
        <v>5</v>
      </c>
    </row>
    <row r="265" spans="2:36" x14ac:dyDescent="0.2">
      <c r="M265" s="95"/>
      <c r="AD265" s="154" t="str">
        <f t="shared" si="50"/>
        <v>Winter</v>
      </c>
      <c r="AE265">
        <f t="shared" si="51"/>
        <v>12</v>
      </c>
      <c r="AF265" s="152">
        <v>50740</v>
      </c>
      <c r="AG265" s="151">
        <v>416</v>
      </c>
      <c r="AH265" s="151">
        <v>328</v>
      </c>
      <c r="AI265">
        <f t="shared" si="52"/>
        <v>26</v>
      </c>
      <c r="AJ265">
        <f t="shared" si="53"/>
        <v>5</v>
      </c>
    </row>
    <row r="266" spans="2:36" x14ac:dyDescent="0.2">
      <c r="B266" s="96" t="s">
        <v>56</v>
      </c>
      <c r="C266" s="40">
        <v>0</v>
      </c>
      <c r="D266" s="40">
        <v>0</v>
      </c>
      <c r="M266" s="93" t="s">
        <v>56</v>
      </c>
      <c r="N266" s="97">
        <v>0</v>
      </c>
      <c r="O266" s="97">
        <v>0</v>
      </c>
      <c r="P266" s="97">
        <v>0</v>
      </c>
      <c r="Q266" s="97">
        <v>0</v>
      </c>
      <c r="AD266" s="154" t="str">
        <f t="shared" si="50"/>
        <v>Winter</v>
      </c>
      <c r="AE266">
        <f t="shared" si="51"/>
        <v>1</v>
      </c>
      <c r="AF266" s="152">
        <v>50771</v>
      </c>
      <c r="AG266" s="151">
        <v>400</v>
      </c>
      <c r="AH266" s="151">
        <v>344</v>
      </c>
      <c r="AI266">
        <f t="shared" si="52"/>
        <v>25</v>
      </c>
      <c r="AJ266">
        <f t="shared" si="53"/>
        <v>6</v>
      </c>
    </row>
    <row r="267" spans="2:36" x14ac:dyDescent="0.2">
      <c r="AD267" s="154" t="str">
        <f t="shared" si="50"/>
        <v>Winter</v>
      </c>
      <c r="AE267">
        <f t="shared" si="51"/>
        <v>2</v>
      </c>
      <c r="AF267" s="152">
        <v>50802</v>
      </c>
      <c r="AG267" s="151">
        <v>384</v>
      </c>
      <c r="AH267" s="151">
        <v>288</v>
      </c>
      <c r="AI267">
        <f t="shared" si="52"/>
        <v>24</v>
      </c>
      <c r="AJ267">
        <f t="shared" si="53"/>
        <v>4</v>
      </c>
    </row>
    <row r="268" spans="2:36" x14ac:dyDescent="0.2">
      <c r="AD268" s="154" t="str">
        <f t="shared" si="50"/>
        <v>Winter</v>
      </c>
      <c r="AE268">
        <f t="shared" si="51"/>
        <v>3</v>
      </c>
      <c r="AF268" s="152">
        <v>50830</v>
      </c>
      <c r="AG268" s="151">
        <v>432</v>
      </c>
      <c r="AH268" s="151">
        <v>312</v>
      </c>
      <c r="AI268">
        <f t="shared" si="52"/>
        <v>27</v>
      </c>
      <c r="AJ268">
        <f t="shared" si="53"/>
        <v>4</v>
      </c>
    </row>
    <row r="269" spans="2:36" x14ac:dyDescent="0.2">
      <c r="AD269" s="154" t="str">
        <f t="shared" si="50"/>
        <v>Winter</v>
      </c>
      <c r="AE269">
        <f t="shared" si="51"/>
        <v>4</v>
      </c>
      <c r="AF269" s="152">
        <v>50861</v>
      </c>
      <c r="AG269" s="151">
        <v>416</v>
      </c>
      <c r="AH269" s="151">
        <v>304</v>
      </c>
      <c r="AI269">
        <f t="shared" si="52"/>
        <v>26</v>
      </c>
      <c r="AJ269">
        <f t="shared" si="53"/>
        <v>4</v>
      </c>
    </row>
    <row r="270" spans="2:36" x14ac:dyDescent="0.2">
      <c r="AD270" s="154" t="str">
        <f t="shared" si="50"/>
        <v>Winter</v>
      </c>
      <c r="AE270">
        <f t="shared" si="51"/>
        <v>5</v>
      </c>
      <c r="AF270" s="152">
        <v>50891</v>
      </c>
      <c r="AG270" s="151">
        <v>400</v>
      </c>
      <c r="AH270" s="151">
        <v>344</v>
      </c>
      <c r="AI270">
        <f t="shared" si="52"/>
        <v>25</v>
      </c>
      <c r="AJ270">
        <f t="shared" si="53"/>
        <v>6</v>
      </c>
    </row>
    <row r="271" spans="2:36" x14ac:dyDescent="0.2">
      <c r="AD271" s="154" t="str">
        <f t="shared" si="50"/>
        <v>Summer</v>
      </c>
      <c r="AE271">
        <f t="shared" si="51"/>
        <v>6</v>
      </c>
      <c r="AF271" s="152">
        <v>50922</v>
      </c>
      <c r="AG271" s="151">
        <v>416</v>
      </c>
      <c r="AH271" s="151">
        <v>304</v>
      </c>
      <c r="AI271">
        <f t="shared" si="52"/>
        <v>26</v>
      </c>
      <c r="AJ271">
        <f t="shared" si="53"/>
        <v>4</v>
      </c>
    </row>
    <row r="272" spans="2:36" x14ac:dyDescent="0.2">
      <c r="AD272" s="154" t="str">
        <f t="shared" si="50"/>
        <v>Summer</v>
      </c>
      <c r="AE272">
        <f t="shared" si="51"/>
        <v>7</v>
      </c>
      <c r="AF272" s="152">
        <v>50952</v>
      </c>
      <c r="AG272" s="151">
        <v>400</v>
      </c>
      <c r="AH272" s="151">
        <v>344</v>
      </c>
      <c r="AI272">
        <f t="shared" si="52"/>
        <v>25</v>
      </c>
      <c r="AJ272">
        <f t="shared" si="53"/>
        <v>6</v>
      </c>
    </row>
    <row r="273" spans="30:36" x14ac:dyDescent="0.2">
      <c r="AD273" s="154" t="str">
        <f t="shared" si="50"/>
        <v>Summer</v>
      </c>
      <c r="AE273">
        <f t="shared" si="51"/>
        <v>8</v>
      </c>
      <c r="AF273" s="152">
        <v>50983</v>
      </c>
      <c r="AG273" s="151">
        <v>432</v>
      </c>
      <c r="AH273" s="151">
        <v>312</v>
      </c>
      <c r="AI273">
        <f t="shared" si="52"/>
        <v>27</v>
      </c>
      <c r="AJ273">
        <f t="shared" si="53"/>
        <v>4</v>
      </c>
    </row>
    <row r="274" spans="30:36" x14ac:dyDescent="0.2">
      <c r="AD274" s="154" t="str">
        <f t="shared" si="50"/>
        <v>Summer</v>
      </c>
      <c r="AE274">
        <f t="shared" si="51"/>
        <v>9</v>
      </c>
      <c r="AF274" s="152">
        <v>51014</v>
      </c>
      <c r="AG274" s="151">
        <v>400</v>
      </c>
      <c r="AH274" s="151">
        <v>320</v>
      </c>
      <c r="AI274">
        <f t="shared" si="52"/>
        <v>25</v>
      </c>
      <c r="AJ274">
        <f t="shared" si="53"/>
        <v>5</v>
      </c>
    </row>
    <row r="275" spans="30:36" x14ac:dyDescent="0.2">
      <c r="AD275" s="154" t="str">
        <f t="shared" si="50"/>
        <v>Winter</v>
      </c>
      <c r="AE275">
        <f t="shared" si="51"/>
        <v>10</v>
      </c>
      <c r="AF275" s="152">
        <v>51044</v>
      </c>
      <c r="AG275" s="151">
        <v>416</v>
      </c>
      <c r="AH275" s="151">
        <v>328</v>
      </c>
      <c r="AI275">
        <f t="shared" si="52"/>
        <v>26</v>
      </c>
      <c r="AJ275">
        <f t="shared" si="53"/>
        <v>5</v>
      </c>
    </row>
    <row r="276" spans="30:36" x14ac:dyDescent="0.2">
      <c r="AD276" s="154" t="str">
        <f t="shared" si="50"/>
        <v>Winter</v>
      </c>
      <c r="AE276">
        <f t="shared" si="51"/>
        <v>11</v>
      </c>
      <c r="AF276" s="152">
        <v>51075</v>
      </c>
      <c r="AG276" s="151">
        <v>400</v>
      </c>
      <c r="AH276" s="151">
        <v>320</v>
      </c>
      <c r="AI276">
        <f t="shared" si="52"/>
        <v>25</v>
      </c>
      <c r="AJ276">
        <f t="shared" si="53"/>
        <v>5</v>
      </c>
    </row>
    <row r="277" spans="30:36" x14ac:dyDescent="0.2">
      <c r="AD277" s="154" t="str">
        <f t="shared" si="50"/>
        <v>Winter</v>
      </c>
      <c r="AE277">
        <f t="shared" si="51"/>
        <v>12</v>
      </c>
      <c r="AF277" s="152">
        <v>51105</v>
      </c>
      <c r="AG277" s="151">
        <v>416</v>
      </c>
      <c r="AH277" s="151">
        <v>328</v>
      </c>
      <c r="AI277">
        <f t="shared" si="52"/>
        <v>26</v>
      </c>
      <c r="AJ277">
        <f t="shared" si="53"/>
        <v>5</v>
      </c>
    </row>
    <row r="278" spans="30:36" x14ac:dyDescent="0.2">
      <c r="AD278" s="154" t="str">
        <f t="shared" si="50"/>
        <v>Winter</v>
      </c>
      <c r="AE278">
        <f t="shared" si="51"/>
        <v>1</v>
      </c>
      <c r="AF278" s="152">
        <v>51136</v>
      </c>
      <c r="AG278" s="151">
        <v>400</v>
      </c>
      <c r="AH278" s="151">
        <v>344</v>
      </c>
      <c r="AI278">
        <f t="shared" si="52"/>
        <v>25</v>
      </c>
      <c r="AJ278">
        <f t="shared" si="53"/>
        <v>6</v>
      </c>
    </row>
    <row r="279" spans="30:36" x14ac:dyDescent="0.2">
      <c r="AD279" s="154" t="str">
        <f t="shared" si="50"/>
        <v>Winter</v>
      </c>
      <c r="AE279">
        <f t="shared" si="51"/>
        <v>2</v>
      </c>
      <c r="AF279" s="152">
        <v>51167</v>
      </c>
      <c r="AG279" s="151">
        <v>400</v>
      </c>
      <c r="AH279" s="151">
        <v>296</v>
      </c>
      <c r="AI279">
        <f t="shared" si="52"/>
        <v>25</v>
      </c>
      <c r="AJ279">
        <f t="shared" si="53"/>
        <v>4</v>
      </c>
    </row>
    <row r="280" spans="30:36" x14ac:dyDescent="0.2">
      <c r="AD280" s="154" t="str">
        <f t="shared" si="50"/>
        <v>Winter</v>
      </c>
      <c r="AE280">
        <f t="shared" si="51"/>
        <v>3</v>
      </c>
      <c r="AF280" s="152">
        <v>51196</v>
      </c>
      <c r="AG280" s="151">
        <v>432</v>
      </c>
      <c r="AH280" s="151">
        <v>312</v>
      </c>
      <c r="AI280">
        <f t="shared" si="52"/>
        <v>27</v>
      </c>
      <c r="AJ280">
        <f t="shared" si="53"/>
        <v>4</v>
      </c>
    </row>
    <row r="281" spans="30:36" x14ac:dyDescent="0.2">
      <c r="AD281" s="154" t="str">
        <f t="shared" si="50"/>
        <v>Winter</v>
      </c>
      <c r="AE281">
        <f t="shared" si="51"/>
        <v>4</v>
      </c>
      <c r="AF281" s="152">
        <v>51227</v>
      </c>
      <c r="AG281" s="151">
        <v>400</v>
      </c>
      <c r="AH281" s="151">
        <v>320</v>
      </c>
      <c r="AI281">
        <f t="shared" si="52"/>
        <v>25</v>
      </c>
      <c r="AJ281">
        <f t="shared" si="53"/>
        <v>5</v>
      </c>
    </row>
    <row r="282" spans="30:36" x14ac:dyDescent="0.2">
      <c r="AD282" s="154" t="str">
        <f t="shared" si="50"/>
        <v>Winter</v>
      </c>
      <c r="AE282">
        <f t="shared" si="51"/>
        <v>5</v>
      </c>
      <c r="AF282" s="152">
        <v>51257</v>
      </c>
      <c r="AG282" s="151">
        <v>416</v>
      </c>
      <c r="AH282" s="151">
        <v>328</v>
      </c>
      <c r="AI282">
        <f t="shared" si="52"/>
        <v>26</v>
      </c>
      <c r="AJ282">
        <f t="shared" si="53"/>
        <v>5</v>
      </c>
    </row>
    <row r="283" spans="30:36" x14ac:dyDescent="0.2">
      <c r="AD283" s="154" t="str">
        <f t="shared" si="50"/>
        <v>Summer</v>
      </c>
      <c r="AE283">
        <f t="shared" si="51"/>
        <v>6</v>
      </c>
      <c r="AF283" s="152">
        <v>51288</v>
      </c>
      <c r="AG283" s="151">
        <v>416</v>
      </c>
      <c r="AH283" s="151">
        <v>304</v>
      </c>
      <c r="AI283">
        <f t="shared" si="52"/>
        <v>26</v>
      </c>
      <c r="AJ283">
        <f t="shared" si="53"/>
        <v>4</v>
      </c>
    </row>
    <row r="284" spans="30:36" x14ac:dyDescent="0.2">
      <c r="AD284" s="154" t="str">
        <f t="shared" si="50"/>
        <v>Summer</v>
      </c>
      <c r="AE284">
        <f t="shared" si="51"/>
        <v>7</v>
      </c>
      <c r="AF284" s="152">
        <v>51318</v>
      </c>
      <c r="AG284" s="151">
        <v>400</v>
      </c>
      <c r="AH284" s="151">
        <v>344</v>
      </c>
      <c r="AI284">
        <f t="shared" si="52"/>
        <v>25</v>
      </c>
      <c r="AJ284">
        <f t="shared" si="53"/>
        <v>6</v>
      </c>
    </row>
    <row r="285" spans="30:36" x14ac:dyDescent="0.2">
      <c r="AD285" s="154" t="str">
        <f t="shared" si="50"/>
        <v>Summer</v>
      </c>
      <c r="AE285">
        <f t="shared" si="51"/>
        <v>8</v>
      </c>
      <c r="AF285" s="152">
        <v>51349</v>
      </c>
      <c r="AG285" s="151">
        <v>432</v>
      </c>
      <c r="AH285" s="151">
        <v>312</v>
      </c>
      <c r="AI285">
        <f t="shared" si="52"/>
        <v>27</v>
      </c>
      <c r="AJ285">
        <f t="shared" si="53"/>
        <v>4</v>
      </c>
    </row>
    <row r="286" spans="30:36" x14ac:dyDescent="0.2">
      <c r="AD286" s="154" t="str">
        <f t="shared" si="50"/>
        <v>Summer</v>
      </c>
      <c r="AE286">
        <f t="shared" si="51"/>
        <v>9</v>
      </c>
      <c r="AF286" s="152">
        <v>51380</v>
      </c>
      <c r="AG286" s="151">
        <v>384</v>
      </c>
      <c r="AH286" s="151">
        <v>336</v>
      </c>
      <c r="AI286">
        <f t="shared" si="52"/>
        <v>24</v>
      </c>
      <c r="AJ286">
        <f t="shared" si="53"/>
        <v>6</v>
      </c>
    </row>
    <row r="287" spans="30:36" x14ac:dyDescent="0.2">
      <c r="AD287" s="154" t="str">
        <f t="shared" si="50"/>
        <v>Winter</v>
      </c>
      <c r="AE287">
        <f t="shared" si="51"/>
        <v>10</v>
      </c>
      <c r="AF287" s="152">
        <v>51410</v>
      </c>
      <c r="AG287" s="151">
        <v>432</v>
      </c>
      <c r="AH287" s="151">
        <v>312</v>
      </c>
      <c r="AI287">
        <f t="shared" si="52"/>
        <v>27</v>
      </c>
      <c r="AJ287">
        <f t="shared" si="53"/>
        <v>4</v>
      </c>
    </row>
    <row r="288" spans="30:36" x14ac:dyDescent="0.2">
      <c r="AD288" s="154" t="str">
        <f t="shared" si="50"/>
        <v>Winter</v>
      </c>
      <c r="AE288">
        <f t="shared" si="51"/>
        <v>11</v>
      </c>
      <c r="AF288" s="152">
        <v>51441</v>
      </c>
      <c r="AG288" s="151">
        <v>400</v>
      </c>
      <c r="AH288" s="151">
        <v>320</v>
      </c>
      <c r="AI288">
        <f t="shared" si="52"/>
        <v>25</v>
      </c>
      <c r="AJ288">
        <f t="shared" si="53"/>
        <v>5</v>
      </c>
    </row>
    <row r="289" spans="30:36" x14ac:dyDescent="0.2">
      <c r="AD289" s="154" t="str">
        <f t="shared" si="50"/>
        <v>Winter</v>
      </c>
      <c r="AE289">
        <f t="shared" si="51"/>
        <v>12</v>
      </c>
      <c r="AF289" s="152">
        <v>51471</v>
      </c>
      <c r="AG289" s="151">
        <v>400</v>
      </c>
      <c r="AH289" s="151">
        <v>344</v>
      </c>
      <c r="AI289">
        <f t="shared" si="52"/>
        <v>25</v>
      </c>
      <c r="AJ289">
        <f t="shared" si="53"/>
        <v>6</v>
      </c>
    </row>
    <row r="290" spans="30:36" x14ac:dyDescent="0.2">
      <c r="AD290" s="154" t="str">
        <f t="shared" si="50"/>
        <v>Winter</v>
      </c>
      <c r="AE290">
        <f t="shared" si="51"/>
        <v>1</v>
      </c>
      <c r="AF290" s="152">
        <v>51502</v>
      </c>
      <c r="AG290" s="151">
        <v>416</v>
      </c>
      <c r="AH290" s="151">
        <v>328</v>
      </c>
      <c r="AI290">
        <f t="shared" si="52"/>
        <v>26</v>
      </c>
      <c r="AJ290">
        <f t="shared" si="53"/>
        <v>5</v>
      </c>
    </row>
    <row r="291" spans="30:36" x14ac:dyDescent="0.2">
      <c r="AD291" s="154" t="str">
        <f t="shared" si="50"/>
        <v>Winter</v>
      </c>
      <c r="AE291">
        <f t="shared" si="51"/>
        <v>2</v>
      </c>
      <c r="AF291" s="152">
        <v>51533</v>
      </c>
      <c r="AG291" s="151">
        <v>384</v>
      </c>
      <c r="AH291" s="151">
        <v>288</v>
      </c>
      <c r="AI291">
        <f t="shared" si="52"/>
        <v>24</v>
      </c>
      <c r="AJ291">
        <f t="shared" si="53"/>
        <v>4</v>
      </c>
    </row>
    <row r="292" spans="30:36" x14ac:dyDescent="0.2">
      <c r="AD292" s="154" t="str">
        <f t="shared" si="50"/>
        <v>Winter</v>
      </c>
      <c r="AE292">
        <f t="shared" si="51"/>
        <v>3</v>
      </c>
      <c r="AF292" s="152">
        <v>51561</v>
      </c>
      <c r="AG292" s="151">
        <v>416</v>
      </c>
      <c r="AH292" s="151">
        <v>328</v>
      </c>
      <c r="AI292">
        <f t="shared" si="52"/>
        <v>26</v>
      </c>
      <c r="AJ292">
        <f t="shared" si="53"/>
        <v>5</v>
      </c>
    </row>
    <row r="293" spans="30:36" x14ac:dyDescent="0.2">
      <c r="AD293" s="154" t="str">
        <f t="shared" si="50"/>
        <v>Winter</v>
      </c>
      <c r="AE293">
        <f t="shared" si="51"/>
        <v>4</v>
      </c>
      <c r="AF293" s="152">
        <v>51592</v>
      </c>
      <c r="AG293" s="151">
        <v>416</v>
      </c>
      <c r="AH293" s="151">
        <v>304</v>
      </c>
      <c r="AI293">
        <f t="shared" si="52"/>
        <v>26</v>
      </c>
      <c r="AJ293">
        <f t="shared" si="53"/>
        <v>4</v>
      </c>
    </row>
    <row r="294" spans="30:36" x14ac:dyDescent="0.2">
      <c r="AD294" s="154" t="str">
        <f t="shared" si="50"/>
        <v>Winter</v>
      </c>
      <c r="AE294">
        <f t="shared" si="51"/>
        <v>5</v>
      </c>
      <c r="AF294" s="152">
        <v>51622</v>
      </c>
      <c r="AG294" s="151">
        <v>416</v>
      </c>
      <c r="AH294" s="151">
        <v>328</v>
      </c>
      <c r="AI294">
        <f t="shared" si="52"/>
        <v>26</v>
      </c>
      <c r="AJ294">
        <f t="shared" si="53"/>
        <v>5</v>
      </c>
    </row>
    <row r="295" spans="30:36" x14ac:dyDescent="0.2">
      <c r="AD295" s="154" t="str">
        <f t="shared" si="50"/>
        <v>Summer</v>
      </c>
      <c r="AE295">
        <f t="shared" si="51"/>
        <v>6</v>
      </c>
      <c r="AF295" s="152">
        <v>51653</v>
      </c>
      <c r="AG295" s="151">
        <v>400</v>
      </c>
      <c r="AH295" s="151">
        <v>320</v>
      </c>
      <c r="AI295">
        <f t="shared" si="52"/>
        <v>25</v>
      </c>
      <c r="AJ295">
        <f t="shared" si="53"/>
        <v>5</v>
      </c>
    </row>
    <row r="296" spans="30:36" x14ac:dyDescent="0.2">
      <c r="AD296" s="154" t="str">
        <f t="shared" si="50"/>
        <v>Summer</v>
      </c>
      <c r="AE296">
        <f t="shared" si="51"/>
        <v>7</v>
      </c>
      <c r="AF296" s="152">
        <v>51683</v>
      </c>
      <c r="AG296" s="151">
        <v>416</v>
      </c>
      <c r="AH296" s="151">
        <v>328</v>
      </c>
      <c r="AI296">
        <f t="shared" si="52"/>
        <v>26</v>
      </c>
      <c r="AJ296">
        <f t="shared" si="53"/>
        <v>5</v>
      </c>
    </row>
    <row r="297" spans="30:36" x14ac:dyDescent="0.2">
      <c r="AD297" s="154" t="str">
        <f t="shared" si="50"/>
        <v>Summer</v>
      </c>
      <c r="AE297">
        <f t="shared" si="51"/>
        <v>8</v>
      </c>
      <c r="AF297" s="152">
        <v>51714</v>
      </c>
      <c r="AG297" s="151">
        <v>432</v>
      </c>
      <c r="AH297" s="151">
        <v>312</v>
      </c>
      <c r="AI297">
        <f t="shared" si="52"/>
        <v>27</v>
      </c>
      <c r="AJ297">
        <f t="shared" si="53"/>
        <v>4</v>
      </c>
    </row>
    <row r="298" spans="30:36" x14ac:dyDescent="0.2">
      <c r="AD298" s="154" t="str">
        <f t="shared" si="50"/>
        <v>Summer</v>
      </c>
      <c r="AE298">
        <f t="shared" si="51"/>
        <v>9</v>
      </c>
      <c r="AF298" s="152">
        <v>51745</v>
      </c>
      <c r="AG298" s="151">
        <v>384</v>
      </c>
      <c r="AH298" s="151">
        <v>336</v>
      </c>
      <c r="AI298">
        <f t="shared" si="52"/>
        <v>24</v>
      </c>
      <c r="AJ298">
        <f t="shared" si="53"/>
        <v>6</v>
      </c>
    </row>
    <row r="299" spans="30:36" x14ac:dyDescent="0.2">
      <c r="AD299" s="154" t="str">
        <f t="shared" si="50"/>
        <v>Winter</v>
      </c>
      <c r="AE299">
        <f t="shared" si="51"/>
        <v>10</v>
      </c>
      <c r="AF299" s="152">
        <v>51775</v>
      </c>
      <c r="AG299" s="151">
        <v>432</v>
      </c>
      <c r="AH299" s="151">
        <v>312</v>
      </c>
      <c r="AI299">
        <f t="shared" si="52"/>
        <v>27</v>
      </c>
      <c r="AJ299">
        <f t="shared" si="53"/>
        <v>4</v>
      </c>
    </row>
    <row r="300" spans="30:36" x14ac:dyDescent="0.2">
      <c r="AD300" s="154" t="str">
        <f t="shared" si="50"/>
        <v>Winter</v>
      </c>
      <c r="AE300">
        <f t="shared" si="51"/>
        <v>11</v>
      </c>
      <c r="AF300" s="152">
        <v>51806</v>
      </c>
      <c r="AG300" s="151">
        <v>400</v>
      </c>
      <c r="AH300" s="151">
        <v>320</v>
      </c>
      <c r="AI300">
        <f t="shared" si="52"/>
        <v>25</v>
      </c>
      <c r="AJ300">
        <f t="shared" si="53"/>
        <v>5</v>
      </c>
    </row>
    <row r="301" spans="30:36" x14ac:dyDescent="0.2">
      <c r="AD301" s="154" t="str">
        <f t="shared" si="50"/>
        <v>Winter</v>
      </c>
      <c r="AE301">
        <f t="shared" si="51"/>
        <v>12</v>
      </c>
      <c r="AF301" s="152">
        <v>51836</v>
      </c>
      <c r="AG301" s="151">
        <v>400</v>
      </c>
      <c r="AH301" s="151">
        <v>344</v>
      </c>
      <c r="AI301">
        <f t="shared" si="52"/>
        <v>25</v>
      </c>
      <c r="AJ301">
        <f t="shared" si="53"/>
        <v>6</v>
      </c>
    </row>
    <row r="302" spans="30:36" x14ac:dyDescent="0.2">
      <c r="AD302" s="154" t="str">
        <f t="shared" si="50"/>
        <v>Winter</v>
      </c>
      <c r="AE302">
        <f t="shared" si="51"/>
        <v>1</v>
      </c>
      <c r="AF302" s="152">
        <v>51867</v>
      </c>
      <c r="AG302" s="151">
        <v>416</v>
      </c>
      <c r="AH302" s="151">
        <v>328</v>
      </c>
      <c r="AI302">
        <f t="shared" si="52"/>
        <v>26</v>
      </c>
      <c r="AJ302">
        <f t="shared" si="53"/>
        <v>5</v>
      </c>
    </row>
    <row r="303" spans="30:36" x14ac:dyDescent="0.2">
      <c r="AD303" s="154" t="str">
        <f t="shared" si="50"/>
        <v>Winter</v>
      </c>
      <c r="AE303">
        <f t="shared" si="51"/>
        <v>2</v>
      </c>
      <c r="AF303" s="152">
        <v>51898</v>
      </c>
      <c r="AG303" s="151">
        <v>384</v>
      </c>
      <c r="AH303" s="151">
        <v>288</v>
      </c>
      <c r="AI303">
        <f t="shared" si="52"/>
        <v>24</v>
      </c>
      <c r="AJ303">
        <f t="shared" si="53"/>
        <v>4</v>
      </c>
    </row>
    <row r="304" spans="30:36" x14ac:dyDescent="0.2">
      <c r="AD304" s="154" t="str">
        <f t="shared" si="50"/>
        <v>Winter</v>
      </c>
      <c r="AE304">
        <f t="shared" si="51"/>
        <v>3</v>
      </c>
      <c r="AF304" s="152">
        <v>51926</v>
      </c>
      <c r="AG304" s="151">
        <v>416</v>
      </c>
      <c r="AH304" s="151">
        <v>328</v>
      </c>
      <c r="AI304">
        <f t="shared" si="52"/>
        <v>26</v>
      </c>
      <c r="AJ304">
        <f t="shared" si="53"/>
        <v>5</v>
      </c>
    </row>
    <row r="305" spans="30:36" x14ac:dyDescent="0.2">
      <c r="AD305" s="154" t="str">
        <f t="shared" si="50"/>
        <v>Winter</v>
      </c>
      <c r="AE305">
        <f t="shared" si="51"/>
        <v>4</v>
      </c>
      <c r="AF305" s="152">
        <v>51957</v>
      </c>
      <c r="AG305" s="151">
        <v>416</v>
      </c>
      <c r="AH305" s="151">
        <v>304</v>
      </c>
      <c r="AI305">
        <f t="shared" si="52"/>
        <v>26</v>
      </c>
      <c r="AJ305">
        <f t="shared" si="53"/>
        <v>4</v>
      </c>
    </row>
    <row r="306" spans="30:36" x14ac:dyDescent="0.2">
      <c r="AD306" s="154" t="str">
        <f t="shared" si="50"/>
        <v>Winter</v>
      </c>
      <c r="AE306">
        <f t="shared" si="51"/>
        <v>5</v>
      </c>
      <c r="AF306" s="152">
        <v>51987</v>
      </c>
      <c r="AG306" s="151">
        <v>416</v>
      </c>
      <c r="AH306" s="151">
        <v>328</v>
      </c>
      <c r="AI306">
        <f t="shared" si="52"/>
        <v>26</v>
      </c>
      <c r="AJ306">
        <f t="shared" si="53"/>
        <v>5</v>
      </c>
    </row>
    <row r="307" spans="30:36" x14ac:dyDescent="0.2">
      <c r="AD307" s="154" t="str">
        <f t="shared" si="50"/>
        <v>Summer</v>
      </c>
      <c r="AE307">
        <f t="shared" si="51"/>
        <v>6</v>
      </c>
      <c r="AF307" s="152">
        <v>52018</v>
      </c>
      <c r="AG307" s="151">
        <v>400</v>
      </c>
      <c r="AH307" s="151">
        <v>320</v>
      </c>
      <c r="AI307">
        <f t="shared" si="52"/>
        <v>25</v>
      </c>
      <c r="AJ307">
        <f t="shared" si="53"/>
        <v>5</v>
      </c>
    </row>
    <row r="308" spans="30:36" x14ac:dyDescent="0.2">
      <c r="AD308" s="154" t="str">
        <f t="shared" si="50"/>
        <v>Summer</v>
      </c>
      <c r="AE308">
        <f t="shared" si="51"/>
        <v>7</v>
      </c>
      <c r="AF308" s="152">
        <v>52048</v>
      </c>
      <c r="AG308" s="151">
        <v>416</v>
      </c>
      <c r="AH308" s="151">
        <v>328</v>
      </c>
      <c r="AI308">
        <f t="shared" si="52"/>
        <v>26</v>
      </c>
      <c r="AJ308">
        <f t="shared" si="53"/>
        <v>5</v>
      </c>
    </row>
    <row r="309" spans="30:36" x14ac:dyDescent="0.2">
      <c r="AD309" s="154" t="str">
        <f t="shared" si="50"/>
        <v>Summer</v>
      </c>
      <c r="AE309">
        <f t="shared" si="51"/>
        <v>8</v>
      </c>
      <c r="AF309" s="152">
        <v>52079</v>
      </c>
      <c r="AG309" s="151">
        <v>416</v>
      </c>
      <c r="AH309" s="151">
        <v>328</v>
      </c>
      <c r="AI309">
        <f t="shared" si="52"/>
        <v>26</v>
      </c>
      <c r="AJ309">
        <f t="shared" si="53"/>
        <v>5</v>
      </c>
    </row>
    <row r="310" spans="30:36" x14ac:dyDescent="0.2">
      <c r="AD310" s="154" t="str">
        <f t="shared" si="50"/>
        <v>Summer</v>
      </c>
      <c r="AE310">
        <f t="shared" si="51"/>
        <v>9</v>
      </c>
      <c r="AF310" s="152">
        <v>52110</v>
      </c>
      <c r="AG310" s="151">
        <v>400</v>
      </c>
      <c r="AH310" s="151">
        <v>320</v>
      </c>
      <c r="AI310">
        <f t="shared" si="52"/>
        <v>25</v>
      </c>
      <c r="AJ310">
        <f t="shared" si="53"/>
        <v>5</v>
      </c>
    </row>
    <row r="311" spans="30:36" x14ac:dyDescent="0.2">
      <c r="AD311" s="154" t="str">
        <f t="shared" si="50"/>
        <v>Winter</v>
      </c>
      <c r="AE311">
        <f t="shared" si="51"/>
        <v>10</v>
      </c>
      <c r="AF311" s="152">
        <v>52140</v>
      </c>
      <c r="AG311" s="151">
        <v>432</v>
      </c>
      <c r="AH311" s="151">
        <v>312</v>
      </c>
      <c r="AI311">
        <f t="shared" si="52"/>
        <v>27</v>
      </c>
      <c r="AJ311">
        <f t="shared" si="53"/>
        <v>4</v>
      </c>
    </row>
    <row r="312" spans="30:36" x14ac:dyDescent="0.2">
      <c r="AD312" s="154" t="str">
        <f t="shared" si="50"/>
        <v>Winter</v>
      </c>
      <c r="AE312">
        <f t="shared" si="51"/>
        <v>11</v>
      </c>
      <c r="AF312" s="152">
        <v>52171</v>
      </c>
      <c r="AG312" s="151">
        <v>384</v>
      </c>
      <c r="AH312" s="151">
        <v>336</v>
      </c>
      <c r="AI312">
        <f t="shared" si="52"/>
        <v>24</v>
      </c>
      <c r="AJ312">
        <f t="shared" si="53"/>
        <v>6</v>
      </c>
    </row>
    <row r="313" spans="30:36" x14ac:dyDescent="0.2">
      <c r="AD313" s="154" t="str">
        <f t="shared" si="50"/>
        <v>Winter</v>
      </c>
      <c r="AE313">
        <f t="shared" si="51"/>
        <v>12</v>
      </c>
      <c r="AF313" s="152">
        <v>52201</v>
      </c>
      <c r="AG313" s="151">
        <v>416</v>
      </c>
      <c r="AH313" s="151">
        <v>328</v>
      </c>
      <c r="AI313">
        <f t="shared" si="52"/>
        <v>26</v>
      </c>
      <c r="AJ313">
        <f t="shared" si="53"/>
        <v>5</v>
      </c>
    </row>
  </sheetData>
  <printOptions horizontalCentered="1"/>
  <pageMargins left="0.3" right="0.3" top="0.8" bottom="0.4" header="0.5" footer="0.2"/>
  <pageSetup scale="15" fitToHeight="20" orientation="landscape" r:id="rId1"/>
  <headerFooter alignWithMargins="0">
    <oddFooter>&amp;L&amp;8ljh    &amp;F   ( &amp;A ) &amp;C &amp;R &amp;8&amp;D  &amp;T</oddFooter>
  </headerFooter>
  <rowBreaks count="1" manualBreakCount="1">
    <brk id="26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F59F8-9CD1-44DE-BA85-E1115C3A6882}">
  <dimension ref="A2:G57"/>
  <sheetViews>
    <sheetView view="pageBreakPreview" topLeftCell="B1" zoomScale="60" zoomScaleNormal="60" workbookViewId="0">
      <selection activeCell="C1" sqref="C1"/>
    </sheetView>
  </sheetViews>
  <sheetFormatPr defaultRowHeight="12.75" x14ac:dyDescent="0.2"/>
  <cols>
    <col min="1" max="1" width="9.33203125" hidden="1" customWidth="1"/>
    <col min="3" max="3" width="45" customWidth="1"/>
    <col min="4" max="4" width="18.83203125" customWidth="1"/>
    <col min="5" max="5" width="13.1640625" customWidth="1"/>
    <col min="6" max="6" width="17.33203125" customWidth="1"/>
    <col min="7" max="7" width="15" customWidth="1"/>
    <col min="8" max="8" width="18.1640625" customWidth="1"/>
  </cols>
  <sheetData>
    <row r="2" spans="2:7" x14ac:dyDescent="0.2">
      <c r="B2" s="318" t="s">
        <v>126</v>
      </c>
      <c r="C2" s="319"/>
      <c r="D2" s="319"/>
      <c r="E2" s="319"/>
      <c r="F2" s="319"/>
      <c r="G2" s="319"/>
    </row>
    <row r="3" spans="2:7" ht="25.5" x14ac:dyDescent="0.2">
      <c r="B3" s="262" t="s">
        <v>80</v>
      </c>
      <c r="C3" s="263" t="s">
        <v>127</v>
      </c>
      <c r="D3" s="264" t="s">
        <v>81</v>
      </c>
      <c r="E3" s="264" t="s">
        <v>82</v>
      </c>
      <c r="F3" s="265" t="s">
        <v>30</v>
      </c>
      <c r="G3" s="264" t="s">
        <v>83</v>
      </c>
    </row>
    <row r="4" spans="2:7" x14ac:dyDescent="0.2">
      <c r="B4" s="266"/>
      <c r="C4" s="220"/>
      <c r="D4" s="266"/>
      <c r="E4" s="266"/>
      <c r="F4" s="267"/>
      <c r="G4" s="268"/>
    </row>
    <row r="5" spans="2:7" x14ac:dyDescent="0.2">
      <c r="B5" s="269"/>
      <c r="C5" s="270"/>
      <c r="D5" s="271"/>
      <c r="E5" s="271"/>
      <c r="F5" s="272"/>
      <c r="G5" s="127"/>
    </row>
    <row r="6" spans="2:7" x14ac:dyDescent="0.2">
      <c r="B6" s="269">
        <v>1</v>
      </c>
      <c r="C6" s="270" t="s">
        <v>288</v>
      </c>
      <c r="D6" s="273">
        <v>0</v>
      </c>
      <c r="E6" s="273">
        <v>31.8</v>
      </c>
      <c r="F6" s="274">
        <v>0</v>
      </c>
      <c r="G6" s="127">
        <v>44562</v>
      </c>
    </row>
    <row r="7" spans="2:7" x14ac:dyDescent="0.2">
      <c r="B7" s="269">
        <f t="shared" ref="B7:B11" si="0">B6+1</f>
        <v>2</v>
      </c>
      <c r="C7" s="270" t="s">
        <v>289</v>
      </c>
      <c r="D7" s="273">
        <v>0</v>
      </c>
      <c r="E7" s="273">
        <v>6.2</v>
      </c>
      <c r="F7" s="274">
        <v>0</v>
      </c>
      <c r="G7" s="127">
        <v>44562</v>
      </c>
    </row>
    <row r="8" spans="2:7" x14ac:dyDescent="0.2">
      <c r="B8" s="269">
        <f t="shared" si="0"/>
        <v>3</v>
      </c>
      <c r="C8" s="270" t="s">
        <v>290</v>
      </c>
      <c r="D8" s="273">
        <v>0</v>
      </c>
      <c r="E8" s="273">
        <v>25</v>
      </c>
      <c r="F8" s="274">
        <v>0</v>
      </c>
      <c r="G8" s="127">
        <v>44562</v>
      </c>
    </row>
    <row r="9" spans="2:7" x14ac:dyDescent="0.2">
      <c r="B9" s="269">
        <f t="shared" si="0"/>
        <v>4</v>
      </c>
      <c r="C9" s="270" t="s">
        <v>153</v>
      </c>
      <c r="D9" s="273">
        <v>0</v>
      </c>
      <c r="E9" s="273">
        <v>98</v>
      </c>
      <c r="F9" s="274">
        <v>0</v>
      </c>
      <c r="G9" s="127">
        <v>44562</v>
      </c>
    </row>
    <row r="10" spans="2:7" x14ac:dyDescent="0.2">
      <c r="B10" s="269">
        <f t="shared" si="0"/>
        <v>5</v>
      </c>
      <c r="C10" s="270" t="s">
        <v>278</v>
      </c>
      <c r="D10" s="273">
        <v>0</v>
      </c>
      <c r="E10" s="273">
        <v>13.3</v>
      </c>
      <c r="F10" s="274">
        <v>0</v>
      </c>
      <c r="G10" s="127">
        <v>44562</v>
      </c>
    </row>
    <row r="11" spans="2:7" x14ac:dyDescent="0.2">
      <c r="B11" s="269">
        <f t="shared" si="0"/>
        <v>6</v>
      </c>
      <c r="C11" s="270" t="s">
        <v>279</v>
      </c>
      <c r="D11" s="273">
        <v>0.4491</v>
      </c>
      <c r="E11" s="273">
        <v>4.99</v>
      </c>
      <c r="F11" s="274">
        <v>0.09</v>
      </c>
      <c r="G11" s="127">
        <v>45199</v>
      </c>
    </row>
    <row r="12" spans="2:7" x14ac:dyDescent="0.2">
      <c r="B12" s="275"/>
      <c r="C12" s="128"/>
      <c r="D12" s="276"/>
      <c r="E12" s="276"/>
      <c r="F12" s="277"/>
      <c r="G12" s="129"/>
    </row>
    <row r="13" spans="2:7" x14ac:dyDescent="0.2">
      <c r="B13" s="278"/>
      <c r="C13" s="279"/>
      <c r="D13" s="279"/>
      <c r="E13" s="279"/>
      <c r="F13" s="280"/>
      <c r="G13" s="279"/>
    </row>
    <row r="14" spans="2:7" x14ac:dyDescent="0.2">
      <c r="B14" s="320" t="s">
        <v>84</v>
      </c>
      <c r="C14" s="321"/>
      <c r="D14" s="130">
        <f>ROUND(SUM(D5:D12),2)</f>
        <v>0.45</v>
      </c>
      <c r="E14" s="130">
        <f>ROUND(SUM(E5:E11),2)</f>
        <v>179.29</v>
      </c>
      <c r="F14" s="281"/>
      <c r="G14" s="131"/>
    </row>
    <row r="16" spans="2:7" ht="14.25" x14ac:dyDescent="0.2">
      <c r="B16" s="282" t="s">
        <v>280</v>
      </c>
      <c r="C16" s="279"/>
      <c r="D16" s="279"/>
      <c r="E16" s="279"/>
      <c r="F16" s="280"/>
      <c r="G16" s="279"/>
    </row>
    <row r="17" spans="2:7" ht="15.75" thickBot="1" x14ac:dyDescent="0.3">
      <c r="B17" s="283" t="s">
        <v>281</v>
      </c>
    </row>
    <row r="18" spans="2:7" ht="39.75" thickBot="1" x14ac:dyDescent="0.3">
      <c r="C18" s="284"/>
      <c r="D18" s="285" t="s">
        <v>128</v>
      </c>
      <c r="E18" s="322" t="s">
        <v>129</v>
      </c>
      <c r="F18" s="323"/>
      <c r="G18" s="286" t="s">
        <v>129</v>
      </c>
    </row>
    <row r="19" spans="2:7" ht="15.75" x14ac:dyDescent="0.25">
      <c r="C19" s="287"/>
      <c r="D19" s="288"/>
      <c r="E19" s="289"/>
      <c r="F19" s="290"/>
    </row>
    <row r="20" spans="2:7" ht="16.5" thickBot="1" x14ac:dyDescent="0.3">
      <c r="C20" s="287" t="s">
        <v>130</v>
      </c>
      <c r="D20" s="291" t="s">
        <v>79</v>
      </c>
      <c r="E20" s="292" t="s">
        <v>131</v>
      </c>
      <c r="F20" s="293" t="s">
        <v>132</v>
      </c>
      <c r="G20" s="294" t="s">
        <v>79</v>
      </c>
    </row>
    <row r="21" spans="2:7" ht="16.5" thickBot="1" x14ac:dyDescent="0.3">
      <c r="C21" s="295" t="s">
        <v>133</v>
      </c>
      <c r="D21" s="296"/>
      <c r="E21" s="316"/>
      <c r="F21" s="317"/>
    </row>
    <row r="22" spans="2:7" ht="15.75" x14ac:dyDescent="0.25">
      <c r="C22" s="297" t="s">
        <v>134</v>
      </c>
      <c r="D22" s="298">
        <v>0.27895059357855467</v>
      </c>
      <c r="E22" s="298">
        <v>0.80858560447725325</v>
      </c>
      <c r="F22" s="299">
        <v>0.91876559217858922</v>
      </c>
      <c r="G22" s="300">
        <v>0.82755792378807014</v>
      </c>
    </row>
    <row r="23" spans="2:7" ht="15.75" x14ac:dyDescent="0.25">
      <c r="C23" s="301" t="s">
        <v>135</v>
      </c>
      <c r="D23" s="302">
        <v>0.29294624772838473</v>
      </c>
      <c r="E23" s="302">
        <v>0.81672660033006761</v>
      </c>
      <c r="F23" s="303">
        <v>0.92961900596748681</v>
      </c>
      <c r="G23" s="300">
        <v>0.83616598140283749</v>
      </c>
    </row>
    <row r="24" spans="2:7" ht="15.75" x14ac:dyDescent="0.25">
      <c r="C24" s="301" t="s">
        <v>136</v>
      </c>
      <c r="D24" s="302">
        <v>0.32246556589655151</v>
      </c>
      <c r="E24" s="302">
        <v>0.80155182975356032</v>
      </c>
      <c r="F24" s="303">
        <v>0.95241482357983098</v>
      </c>
      <c r="G24" s="300">
        <v>0.82752951363946159</v>
      </c>
    </row>
    <row r="25" spans="2:7" ht="15.75" x14ac:dyDescent="0.25">
      <c r="C25" s="301" t="s">
        <v>137</v>
      </c>
      <c r="D25" s="302">
        <v>0.24767903319904089</v>
      </c>
      <c r="E25" s="302">
        <v>0.78737391561241676</v>
      </c>
      <c r="F25" s="303">
        <v>0.91288388756975014</v>
      </c>
      <c r="G25" s="300">
        <v>0.80898596435506986</v>
      </c>
    </row>
    <row r="26" spans="2:7" ht="16.5" thickBot="1" x14ac:dyDescent="0.3">
      <c r="C26" s="304" t="s">
        <v>138</v>
      </c>
      <c r="D26" s="305">
        <v>0.29736901360526885</v>
      </c>
      <c r="E26" s="305">
        <v>0.80408293947684639</v>
      </c>
      <c r="F26" s="306">
        <v>0.94169354410941419</v>
      </c>
      <c r="G26" s="300">
        <v>0.82777864308066862</v>
      </c>
    </row>
    <row r="27" spans="2:7" ht="16.5" thickBot="1" x14ac:dyDescent="0.3">
      <c r="C27" s="295" t="s">
        <v>139</v>
      </c>
      <c r="D27" s="307"/>
      <c r="E27" s="316"/>
      <c r="F27" s="317"/>
    </row>
    <row r="28" spans="2:7" ht="15.75" x14ac:dyDescent="0.25">
      <c r="C28" s="297" t="s">
        <v>140</v>
      </c>
      <c r="D28" s="298"/>
      <c r="E28" s="298"/>
      <c r="F28" s="299"/>
    </row>
    <row r="29" spans="2:7" ht="15.75" x14ac:dyDescent="0.25">
      <c r="C29" s="301" t="s">
        <v>141</v>
      </c>
      <c r="D29" s="302"/>
      <c r="E29" s="302"/>
      <c r="F29" s="303"/>
    </row>
    <row r="30" spans="2:7" ht="15.75" x14ac:dyDescent="0.25">
      <c r="C30" s="301" t="s">
        <v>142</v>
      </c>
      <c r="D30" s="302"/>
      <c r="E30" s="302"/>
      <c r="F30" s="303"/>
    </row>
    <row r="31" spans="2:7" ht="15.75" x14ac:dyDescent="0.25">
      <c r="C31" s="301" t="s">
        <v>143</v>
      </c>
      <c r="D31" s="302"/>
      <c r="E31" s="302"/>
      <c r="F31" s="303"/>
    </row>
    <row r="32" spans="2:7" ht="16.5" thickBot="1" x14ac:dyDescent="0.3">
      <c r="C32" s="304" t="s">
        <v>144</v>
      </c>
      <c r="D32" s="305"/>
      <c r="E32" s="305"/>
      <c r="F32" s="306"/>
    </row>
    <row r="33" spans="2:7" x14ac:dyDescent="0.2">
      <c r="B33" s="278"/>
      <c r="C33" s="278"/>
      <c r="D33" s="278"/>
      <c r="E33" s="278"/>
      <c r="F33" s="278"/>
      <c r="G33" s="278"/>
    </row>
    <row r="34" spans="2:7" ht="14.25" x14ac:dyDescent="0.2">
      <c r="B34" s="282" t="s">
        <v>280</v>
      </c>
      <c r="C34" s="278"/>
      <c r="D34" s="278"/>
      <c r="E34" s="278"/>
      <c r="F34" s="278"/>
      <c r="G34" s="278"/>
    </row>
    <row r="35" spans="2:7" ht="15" thickBot="1" x14ac:dyDescent="0.25">
      <c r="B35" s="282" t="s">
        <v>282</v>
      </c>
    </row>
    <row r="36" spans="2:7" ht="32.25" thickBot="1" x14ac:dyDescent="0.3">
      <c r="C36" s="284"/>
      <c r="D36" s="285" t="s">
        <v>128</v>
      </c>
      <c r="E36" s="322" t="s">
        <v>129</v>
      </c>
      <c r="F36" s="323"/>
    </row>
    <row r="37" spans="2:7" ht="15.75" x14ac:dyDescent="0.25">
      <c r="C37" s="287"/>
      <c r="D37" s="288"/>
      <c r="E37" s="289"/>
      <c r="F37" s="290"/>
    </row>
    <row r="38" spans="2:7" ht="16.5" thickBot="1" x14ac:dyDescent="0.3">
      <c r="C38" s="287" t="s">
        <v>130</v>
      </c>
      <c r="D38" s="291" t="s">
        <v>79</v>
      </c>
      <c r="E38" s="292" t="s">
        <v>131</v>
      </c>
      <c r="F38" s="293" t="s">
        <v>132</v>
      </c>
    </row>
    <row r="39" spans="2:7" ht="16.5" thickBot="1" x14ac:dyDescent="0.3">
      <c r="C39" s="295" t="s">
        <v>33</v>
      </c>
      <c r="D39" s="296"/>
      <c r="E39" s="316"/>
      <c r="F39" s="317"/>
    </row>
    <row r="40" spans="2:7" ht="15.75" x14ac:dyDescent="0.25">
      <c r="C40" s="297" t="s">
        <v>134</v>
      </c>
      <c r="D40" s="298">
        <v>0.27895059357855467</v>
      </c>
      <c r="E40" s="298">
        <v>0.14120663980855161</v>
      </c>
      <c r="F40" s="299">
        <v>7.152112360511112E-2</v>
      </c>
      <c r="G40" s="300">
        <v>0.12920722056433673</v>
      </c>
    </row>
    <row r="41" spans="2:7" ht="15.75" x14ac:dyDescent="0.25">
      <c r="C41" s="301" t="s">
        <v>135</v>
      </c>
      <c r="D41" s="302">
        <v>0.29294624772838473</v>
      </c>
      <c r="E41" s="302">
        <v>0.13426739645399077</v>
      </c>
      <c r="F41" s="303">
        <v>0.17682663034651852</v>
      </c>
      <c r="G41" s="300">
        <v>0.14159583596354594</v>
      </c>
    </row>
    <row r="42" spans="2:7" ht="15.75" x14ac:dyDescent="0.25">
      <c r="C42" s="301" t="s">
        <v>136</v>
      </c>
      <c r="D42" s="302">
        <v>0.32246556589655151</v>
      </c>
      <c r="E42" s="302">
        <v>0.15492934179902926</v>
      </c>
      <c r="F42" s="303">
        <v>7.0583803863777786E-2</v>
      </c>
      <c r="G42" s="300">
        <v>0.1404055565678316</v>
      </c>
    </row>
    <row r="43" spans="2:7" ht="15.75" x14ac:dyDescent="0.25">
      <c r="C43" s="301" t="s">
        <v>137</v>
      </c>
      <c r="D43" s="302">
        <v>0.24767903319904089</v>
      </c>
      <c r="E43" s="302">
        <v>9.4813683695469969E-2</v>
      </c>
      <c r="F43" s="303">
        <v>3.6129646290814818E-2</v>
      </c>
      <c r="G43" s="300">
        <v>8.4708651744413277E-2</v>
      </c>
    </row>
    <row r="44" spans="2:7" ht="16.5" thickBot="1" x14ac:dyDescent="0.3">
      <c r="C44" s="304" t="s">
        <v>138</v>
      </c>
      <c r="D44" s="305">
        <v>0.29736901360526885</v>
      </c>
      <c r="E44" s="305">
        <v>0.13919215255979966</v>
      </c>
      <c r="F44" s="306">
        <v>0.1340604136515556</v>
      </c>
      <c r="G44" s="300">
        <v>0.13830849853860969</v>
      </c>
    </row>
    <row r="45" spans="2:7" ht="16.5" thickBot="1" x14ac:dyDescent="0.3">
      <c r="C45" s="295" t="s">
        <v>31</v>
      </c>
      <c r="D45" s="307"/>
      <c r="E45" s="316"/>
      <c r="F45" s="317"/>
      <c r="G45" s="308"/>
    </row>
    <row r="46" spans="2:7" ht="15.75" x14ac:dyDescent="0.25">
      <c r="C46" s="297" t="s">
        <v>140</v>
      </c>
      <c r="D46" s="298">
        <v>0.37049999999984679</v>
      </c>
      <c r="E46" s="298">
        <v>0.3261273870095841</v>
      </c>
      <c r="F46" s="299">
        <v>0.38800836443555559</v>
      </c>
      <c r="G46" s="300">
        <v>0.33678291245920933</v>
      </c>
    </row>
    <row r="47" spans="2:7" ht="15.75" x14ac:dyDescent="0.25">
      <c r="C47" s="301" t="s">
        <v>141</v>
      </c>
      <c r="D47" s="302">
        <v>0.37054900918709571</v>
      </c>
      <c r="E47" s="302">
        <v>0.46121969127765811</v>
      </c>
      <c r="F47" s="303">
        <v>0.1728369770476296</v>
      </c>
      <c r="G47" s="300">
        <v>0.41156195349570163</v>
      </c>
    </row>
    <row r="48" spans="2:7" ht="15.75" x14ac:dyDescent="0.25">
      <c r="C48" s="301" t="s">
        <v>142</v>
      </c>
      <c r="D48" s="302">
        <v>0.29426938576233264</v>
      </c>
      <c r="E48" s="302">
        <v>0.14054001172876737</v>
      </c>
      <c r="F48" s="303">
        <v>0.42438780883192578</v>
      </c>
      <c r="G48" s="300">
        <v>0.18941686454627554</v>
      </c>
    </row>
    <row r="49" spans="2:7" ht="15.75" x14ac:dyDescent="0.25">
      <c r="C49" s="301" t="s">
        <v>143</v>
      </c>
      <c r="D49" s="302">
        <v>0.37049999997985972</v>
      </c>
      <c r="E49" s="302">
        <v>0.47223469779473021</v>
      </c>
      <c r="F49" s="303">
        <v>0.21493228252599991</v>
      </c>
      <c r="G49" s="300">
        <v>0.42792879720636467</v>
      </c>
    </row>
    <row r="50" spans="2:7" ht="16.5" thickBot="1" x14ac:dyDescent="0.3">
      <c r="C50" s="304" t="s">
        <v>144</v>
      </c>
      <c r="D50" s="305">
        <v>0.43620000000025128</v>
      </c>
      <c r="E50" s="305">
        <v>0.30300593880759641</v>
      </c>
      <c r="F50" s="306">
        <v>0.32047130690051845</v>
      </c>
      <c r="G50" s="300">
        <v>0.30601336826237258</v>
      </c>
    </row>
    <row r="51" spans="2:7" ht="16.5" thickBot="1" x14ac:dyDescent="0.3">
      <c r="C51" s="295" t="s">
        <v>145</v>
      </c>
      <c r="D51" s="307"/>
      <c r="E51" s="307"/>
      <c r="F51" s="307"/>
    </row>
    <row r="52" spans="2:7" ht="15.75" x14ac:dyDescent="0.25">
      <c r="C52" s="297" t="s">
        <v>146</v>
      </c>
      <c r="D52" s="298"/>
      <c r="E52" s="298">
        <v>0.49057083975346688</v>
      </c>
      <c r="F52" s="299">
        <v>0.75354222222222222</v>
      </c>
      <c r="G52" s="300">
        <v>0.53585290178571432</v>
      </c>
    </row>
    <row r="53" spans="2:7" ht="15.75" x14ac:dyDescent="0.25">
      <c r="C53" s="301" t="s">
        <v>147</v>
      </c>
      <c r="D53" s="302"/>
      <c r="E53" s="302">
        <v>0.73922038520801236</v>
      </c>
      <c r="F53" s="303">
        <v>0.89962988888888906</v>
      </c>
      <c r="G53" s="300">
        <v>0.76684191964285731</v>
      </c>
    </row>
    <row r="54" spans="2:7" ht="16.5" thickBot="1" x14ac:dyDescent="0.3">
      <c r="C54" s="304" t="s">
        <v>148</v>
      </c>
      <c r="D54" s="305"/>
      <c r="E54" s="305">
        <v>0.90239895993836683</v>
      </c>
      <c r="F54" s="306">
        <v>0.95650100000000005</v>
      </c>
      <c r="G54" s="300">
        <v>0.91171500000000005</v>
      </c>
    </row>
    <row r="55" spans="2:7" x14ac:dyDescent="0.2">
      <c r="B55" s="278"/>
      <c r="C55" s="278"/>
      <c r="D55" s="278"/>
      <c r="E55" s="278"/>
      <c r="F55" s="278"/>
      <c r="G55" s="278"/>
    </row>
    <row r="56" spans="2:7" x14ac:dyDescent="0.2">
      <c r="B56" s="279"/>
      <c r="C56" s="279"/>
      <c r="D56" s="279"/>
      <c r="E56" s="279"/>
      <c r="F56" s="280"/>
      <c r="G56" s="279"/>
    </row>
    <row r="57" spans="2:7" x14ac:dyDescent="0.2">
      <c r="B57" s="279"/>
      <c r="C57" s="279" t="s">
        <v>283</v>
      </c>
      <c r="D57" s="279"/>
      <c r="E57" s="280">
        <v>0.82780612244897955</v>
      </c>
      <c r="F57" s="280">
        <v>0.17219387755102045</v>
      </c>
      <c r="G57" s="279"/>
    </row>
  </sheetData>
  <mergeCells count="8">
    <mergeCell ref="E39:F39"/>
    <mergeCell ref="E45:F45"/>
    <mergeCell ref="B2:G2"/>
    <mergeCell ref="B14:C14"/>
    <mergeCell ref="E18:F18"/>
    <mergeCell ref="E21:F21"/>
    <mergeCell ref="E27:F27"/>
    <mergeCell ref="E36:F36"/>
  </mergeCells>
  <conditionalFormatting sqref="B5 B11">
    <cfRule type="expression" dxfId="3" priority="6">
      <formula>AND($E5&gt;0,$O5=1)</formula>
    </cfRule>
  </conditionalFormatting>
  <conditionalFormatting sqref="B6:B10">
    <cfRule type="expression" dxfId="2" priority="5">
      <formula>AND(#REF!&gt;0,$O6=1)</formula>
    </cfRule>
  </conditionalFormatting>
  <conditionalFormatting sqref="E6:E11">
    <cfRule type="expression" dxfId="1" priority="3">
      <formula>AND(ISLOGICAL(#REF!),#REF!=FALSE)</formula>
    </cfRule>
  </conditionalFormatting>
  <conditionalFormatting sqref="G6:G11">
    <cfRule type="expression" dxfId="0" priority="1">
      <formula>AND(ISLOGICAL(#REF!),#REF!=FALSE)</formula>
    </cfRule>
  </conditionalFormatting>
  <pageMargins left="0.7" right="0.7" top="0.75" bottom="0.75" header="0.3" footer="0.3"/>
  <pageSetup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1"/>
  <dimension ref="B1:V60"/>
  <sheetViews>
    <sheetView showGridLines="0" view="pageBreakPreview" topLeftCell="A28" zoomScale="80" zoomScaleNormal="80" zoomScaleSheetLayoutView="80" workbookViewId="0">
      <selection activeCell="B40" sqref="B40"/>
    </sheetView>
  </sheetViews>
  <sheetFormatPr defaultColWidth="9.33203125" defaultRowHeight="12.75" x14ac:dyDescent="0.2"/>
  <cols>
    <col min="1" max="1" width="1.6640625" style="40" customWidth="1"/>
    <col min="2" max="2" width="22.5" style="40" customWidth="1"/>
    <col min="3" max="4" width="12.83203125" style="40" customWidth="1"/>
    <col min="5" max="5" width="12.1640625" style="40" customWidth="1"/>
    <col min="6" max="6" width="9.33203125" style="40" customWidth="1"/>
    <col min="7" max="7" width="12.83203125" style="40" customWidth="1"/>
    <col min="8" max="8" width="11.5" style="40" customWidth="1"/>
    <col min="9" max="9" width="9.33203125" style="40" customWidth="1"/>
    <col min="10" max="10" width="12.83203125" style="40" customWidth="1"/>
    <col min="11" max="11" width="12.6640625" style="40" customWidth="1"/>
    <col min="12" max="12" width="8.83203125" style="40" customWidth="1"/>
    <col min="13" max="13" width="12.83203125" style="40" customWidth="1"/>
    <col min="14" max="14" width="11.1640625" style="40" customWidth="1"/>
    <col min="15" max="15" width="4.5" style="40" customWidth="1"/>
    <col min="16" max="16384" width="9.33203125" style="40"/>
  </cols>
  <sheetData>
    <row r="1" spans="2:19" s="4" customFormat="1" ht="15.75" x14ac:dyDescent="0.25">
      <c r="B1" s="1" t="s">
        <v>5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40"/>
    </row>
    <row r="2" spans="2:19" s="6" customFormat="1" ht="15" x14ac:dyDescent="0.25">
      <c r="B2" s="3" t="s">
        <v>13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0"/>
    </row>
    <row r="3" spans="2:19" s="6" customFormat="1" ht="15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0"/>
    </row>
    <row r="4" spans="2:19" x14ac:dyDescent="0.2">
      <c r="C4" s="118" t="s">
        <v>62</v>
      </c>
      <c r="D4" s="119"/>
      <c r="E4" s="119"/>
      <c r="F4" s="118" t="s">
        <v>63</v>
      </c>
      <c r="G4" s="119"/>
      <c r="H4" s="119"/>
      <c r="I4" s="118" t="s">
        <v>64</v>
      </c>
      <c r="J4" s="119"/>
      <c r="K4" s="119"/>
      <c r="L4" s="118" t="s">
        <v>65</v>
      </c>
      <c r="M4" s="119"/>
      <c r="N4" s="119"/>
    </row>
    <row r="5" spans="2:19" x14ac:dyDescent="0.2"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2:19" ht="25.5" x14ac:dyDescent="0.2">
      <c r="B6" s="117"/>
      <c r="C6" s="90" t="s">
        <v>101</v>
      </c>
      <c r="D6" s="159" t="s">
        <v>11</v>
      </c>
      <c r="E6" s="158" t="s">
        <v>102</v>
      </c>
      <c r="F6" s="90" t="s">
        <v>101</v>
      </c>
      <c r="G6" s="159" t="s">
        <v>11</v>
      </c>
      <c r="H6" s="158" t="s">
        <v>102</v>
      </c>
      <c r="I6" s="90" t="s">
        <v>101</v>
      </c>
      <c r="J6" s="159" t="s">
        <v>11</v>
      </c>
      <c r="K6" s="158" t="s">
        <v>102</v>
      </c>
      <c r="L6" s="90" t="s">
        <v>101</v>
      </c>
      <c r="M6" s="159" t="s">
        <v>11</v>
      </c>
      <c r="N6" s="158" t="s">
        <v>102</v>
      </c>
    </row>
    <row r="7" spans="2:19" hidden="1" x14ac:dyDescent="0.2">
      <c r="B7" s="102"/>
      <c r="C7" s="160" t="s">
        <v>12</v>
      </c>
      <c r="D7" s="161" t="s">
        <v>12</v>
      </c>
      <c r="E7" s="159"/>
      <c r="F7" s="160" t="s">
        <v>12</v>
      </c>
      <c r="G7" s="161" t="s">
        <v>12</v>
      </c>
      <c r="H7" s="159"/>
      <c r="I7" s="160" t="s">
        <v>12</v>
      </c>
      <c r="J7" s="161" t="s">
        <v>12</v>
      </c>
      <c r="K7" s="159"/>
      <c r="L7" s="160" t="s">
        <v>12</v>
      </c>
      <c r="M7" s="161" t="s">
        <v>12</v>
      </c>
      <c r="N7" s="159"/>
    </row>
    <row r="8" spans="2:19" x14ac:dyDescent="0.2">
      <c r="B8" s="102" t="s">
        <v>0</v>
      </c>
      <c r="C8" s="90" t="s">
        <v>17</v>
      </c>
      <c r="D8" s="159" t="s">
        <v>17</v>
      </c>
      <c r="E8" s="159" t="s">
        <v>17</v>
      </c>
      <c r="F8" s="90" t="s">
        <v>17</v>
      </c>
      <c r="G8" s="159" t="s">
        <v>17</v>
      </c>
      <c r="H8" s="159" t="s">
        <v>17</v>
      </c>
      <c r="I8" s="90" t="s">
        <v>17</v>
      </c>
      <c r="J8" s="159" t="s">
        <v>17</v>
      </c>
      <c r="K8" s="159" t="s">
        <v>17</v>
      </c>
      <c r="L8" s="90" t="s">
        <v>17</v>
      </c>
      <c r="M8" s="159" t="s">
        <v>17</v>
      </c>
      <c r="N8" s="159" t="s">
        <v>17</v>
      </c>
    </row>
    <row r="9" spans="2:19" x14ac:dyDescent="0.2">
      <c r="B9" s="173"/>
      <c r="C9" s="174" t="s">
        <v>1</v>
      </c>
      <c r="D9" s="175" t="s">
        <v>2</v>
      </c>
      <c r="E9" s="175" t="s">
        <v>3</v>
      </c>
      <c r="F9" s="172" t="s">
        <v>4</v>
      </c>
      <c r="G9" s="175" t="s">
        <v>93</v>
      </c>
      <c r="H9" s="175" t="s">
        <v>94</v>
      </c>
      <c r="I9" s="172" t="s">
        <v>95</v>
      </c>
      <c r="J9" s="172" t="s">
        <v>96</v>
      </c>
      <c r="K9" s="172" t="s">
        <v>97</v>
      </c>
      <c r="L9" s="172" t="s">
        <v>98</v>
      </c>
      <c r="M9" s="172" t="s">
        <v>99</v>
      </c>
      <c r="N9" s="214" t="s">
        <v>100</v>
      </c>
    </row>
    <row r="10" spans="2:19" customFormat="1" x14ac:dyDescent="0.2">
      <c r="B10" s="165"/>
      <c r="C10" s="162"/>
      <c r="D10" s="162"/>
      <c r="E10" s="167" t="str">
        <f>C9&amp;" - "&amp;D9</f>
        <v>(a) - (b)</v>
      </c>
      <c r="F10" s="163"/>
      <c r="G10" s="162"/>
      <c r="H10" s="167" t="str">
        <f>F9&amp;" - "&amp;G9</f>
        <v>(d) - (e)</v>
      </c>
      <c r="I10" s="163"/>
      <c r="J10" s="162"/>
      <c r="K10" s="167" t="str">
        <f>I9&amp;" - "&amp;J9</f>
        <v>(g) - (h)</v>
      </c>
      <c r="L10" s="163"/>
      <c r="M10" s="162"/>
      <c r="N10" s="215" t="str">
        <f>L9&amp;" - "&amp;M9</f>
        <v>(j) - (k)</v>
      </c>
    </row>
    <row r="11" spans="2:19" x14ac:dyDescent="0.2">
      <c r="B11" s="164"/>
      <c r="C11" s="103"/>
      <c r="D11" s="103"/>
      <c r="E11" s="103"/>
      <c r="F11" s="104"/>
      <c r="G11" s="103"/>
      <c r="H11" s="103"/>
      <c r="I11" s="104"/>
      <c r="J11" s="103"/>
      <c r="K11" s="103"/>
      <c r="L11" s="104"/>
      <c r="M11" s="103"/>
      <c r="N11" s="216"/>
    </row>
    <row r="12" spans="2:19" x14ac:dyDescent="0.2">
      <c r="B12" s="166">
        <v>2023</v>
      </c>
      <c r="C12" s="105">
        <f>($D$47*INDEX('Tariff Page'!$D$9:$D$30,MATCH($B12,'Tariff Page'!$B$9:$B$30,0))+$D$48*INDEX('Tariff Page'!$C$9:$C$30,MATCH($B12,'Tariff Page'!$B$9:$B$30,0))+$D$49*INDEX('Tariff Page'!$F$9:$F$30,MATCH($B12,'Tariff Page'!$B$9:$B$30,0))+$D$50*INDEX('Tariff Page'!$E$9:$E$30,MATCH($B12,'Tariff Page'!$B$9:$B$30,0)))*10</f>
        <v>67.585087467017388</v>
      </c>
      <c r="D12" s="105">
        <f>($D$47*INDEX('[20]Tariff Page'!$D$10:$D$30,MATCH($B12,'[20]Tariff Page'!$B$10:$B$30,0))+$D$48*INDEX('[20]Tariff Page'!$C$10:$C$30,MATCH($B12,'[20]Tariff Page'!$B$10:$B$30,0))+$D$49*INDEX('[20]Tariff Page'!$F$10:$F$30,MATCH($B12,'[20]Tariff Page'!$B$10:$B$30,0))+$D$50*INDEX('[20]Tariff Page'!$E$10:$E$30,MATCH($B12,'[20]Tariff Page'!$B$10:$B$30,0)))*10</f>
        <v>38.550138415316759</v>
      </c>
      <c r="E12" s="106">
        <f t="shared" ref="E12:E29" si="0">C12-D12</f>
        <v>29.034949051700629</v>
      </c>
      <c r="F12" s="107">
        <f>($G$47*INDEX('Tariff Page Wind'!$D$9:$D$32,MATCH($B12,'Tariff Page Wind'!$B$9:$B$32,0))+$G$48*INDEX('Tariff Page Wind'!$C$9:$C$32,MATCH($B12,'Tariff Page Wind'!$B$9:$B$32,0))+$G$49*INDEX('Tariff Page Wind'!$F$9:$F$32,MATCH($B12,'Tariff Page Wind'!$B$9:$B$32,0))+$G$50*INDEX('Tariff Page Wind'!$E$9:$E$32,MATCH($B12,'Tariff Page Wind'!$B$9:$B$32,0)))*10</f>
        <v>55.245869721800808</v>
      </c>
      <c r="G12" s="105">
        <f>($G$47*INDEX('[20]Tariff Page Wind'!$D$10:$D$30,MATCH($B12,'[20]Tariff Page Wind'!$B$10:$B$30,0))+$G$48*INDEX('[20]Tariff Page Wind'!$C$10:$C$30,MATCH($B12,'[20]Tariff Page Wind'!$B$10:$B$30,0))+$G$49*INDEX('[20]Tariff Page Wind'!$F$10:$F$30,MATCH($B12,'[20]Tariff Page Wind'!$B$10:$B$30,0))+$G$50*INDEX('[20]Tariff Page Wind'!$E$10:$E$30,MATCH($B12,'[20]Tariff Page Wind'!$B$10:$B$30,0)))*10</f>
        <v>33.062232591509087</v>
      </c>
      <c r="H12" s="106">
        <f t="shared" ref="H12:H29" si="1">F12-G12</f>
        <v>22.183637130291721</v>
      </c>
      <c r="I12" s="107">
        <f>($J$47*INDEX('Tariff Page Solar Fixed'!$D$9:$D$31,MATCH($B12,'Tariff Page Solar Fixed'!$B$9:$B$31,0))+$J$48*INDEX('Tariff Page Solar Fixed'!$C$9:$C$31,MATCH($B12,'Tariff Page Solar Fixed'!$B$9:$B$31,0))+$J$49*INDEX('Tariff Page Solar Fixed'!$F$9:$F$31,MATCH($B12,'Tariff Page Solar Fixed'!$B$9:$B$31,0))+$J$50*INDEX('Tariff Page Solar Fixed'!$E$9:$E$31,MATCH($B12,'Tariff Page Solar Fixed'!$B$9:$B$31,0)))*10</f>
        <v>38.009028505791129</v>
      </c>
      <c r="J12" s="105">
        <f>($J$47*INDEX('[20]Tariff Page Solar Fixed'!$D$10:$D$30,MATCH($B12,'[20]Tariff Page Solar Fixed'!$B$10:$B$30,0))+$J$48*INDEX('[20]Tariff Page Solar Fixed'!$C$10:$C$30,MATCH($B12,'[20]Tariff Page Solar Fixed'!$B$10:$B$30,0))+$J$49*INDEX('[20]Tariff Page Solar Fixed'!$F$10:$F$30,MATCH($B12,'[20]Tariff Page Solar Fixed'!$B$10:$B$30,0))+$J$50*INDEX('[20]Tariff Page Solar Fixed'!$E$10:$E$30,MATCH($B12,'[20]Tariff Page Solar Fixed'!$B$10:$B$30,0)))*10</f>
        <v>25.635676600082359</v>
      </c>
      <c r="K12" s="106">
        <f t="shared" ref="K12:K29" si="2">I12-J12</f>
        <v>12.37335190570877</v>
      </c>
      <c r="L12" s="107">
        <f>($M$47*INDEX('Tariff Page Solar Tracking'!$D$9:$D$31,MATCH($B12,'Tariff Page Solar Tracking'!$B$9:$B$31,0))+$M$48*INDEX('Tariff Page Solar Tracking'!$C$9:$C$31,MATCH($B12,'Tariff Page Solar Tracking'!$B$9:$B$31,0))+$M$49*INDEX('Tariff Page Solar Tracking'!$F$9:$F$31,MATCH($B12,'Tariff Page Solar Tracking'!$B$9:$B$31,0))+$M$50*INDEX('Tariff Page Solar Tracking'!$E$9:$E$31,MATCH($B12,'Tariff Page Solar Tracking'!$B$9:$B$31,0)))*10</f>
        <v>35.788729535644073</v>
      </c>
      <c r="M12" s="105">
        <f>($M$47*INDEX('[20]Tariff Page Solar Tracking'!$D$10:$D$30,MATCH($B12,'[20]Tariff Page Solar Tracking'!$B$10:$B$30,0))+$M$48*INDEX('[20]Tariff Page Solar Tracking'!$C$10:$C$30,MATCH($B12,'[20]Tariff Page Solar Tracking'!$B$10:$B$30,0))+$M$49*INDEX('[20]Tariff Page Solar Tracking'!$F$10:$F$30,MATCH($B12,'[20]Tariff Page Solar Tracking'!$B$10:$B$30,0))+$M$50*INDEX('[20]Tariff Page Solar Tracking'!$E$10:$E$30,MATCH($B12,'[20]Tariff Page Solar Tracking'!$B$10:$B$30,0)))*10</f>
        <v>24.466879832359886</v>
      </c>
      <c r="N12" s="217">
        <f t="shared" ref="N12:N29" si="3">L12-M12</f>
        <v>11.321849703284187</v>
      </c>
      <c r="Q12" s="100"/>
      <c r="R12" s="100"/>
      <c r="S12"/>
    </row>
    <row r="13" spans="2:19" x14ac:dyDescent="0.2">
      <c r="B13" s="166">
        <f>B12+1</f>
        <v>2024</v>
      </c>
      <c r="C13" s="105">
        <f>($D$47*INDEX('Tariff Page'!$D$9:$D$30,MATCH($B13,'Tariff Page'!$B$9:$B$30,0))+$D$48*INDEX('Tariff Page'!$C$9:$C$30,MATCH($B13,'Tariff Page'!$B$9:$B$30,0))+$D$49*INDEX('Tariff Page'!$F$9:$F$30,MATCH($B13,'Tariff Page'!$B$9:$B$30,0))+$D$50*INDEX('Tariff Page'!$E$9:$E$30,MATCH($B13,'Tariff Page'!$B$9:$B$30,0)))*10</f>
        <v>76.205468225776272</v>
      </c>
      <c r="D13" s="105">
        <f>($D$47*INDEX('[20]Tariff Page'!$D$10:$D$30,MATCH($B13,'[20]Tariff Page'!$B$10:$B$30,0))+$D$48*INDEX('[20]Tariff Page'!$C$10:$C$30,MATCH($B13,'[20]Tariff Page'!$B$10:$B$30,0))+$D$49*INDEX('[20]Tariff Page'!$F$10:$F$30,MATCH($B13,'[20]Tariff Page'!$B$10:$B$30,0))+$D$50*INDEX('[20]Tariff Page'!$E$10:$E$30,MATCH($B13,'[20]Tariff Page'!$B$10:$B$30,0)))*10</f>
        <v>45.517764344098978</v>
      </c>
      <c r="E13" s="106">
        <f t="shared" si="0"/>
        <v>30.687703881677294</v>
      </c>
      <c r="F13" s="107">
        <f>($G$47*INDEX('Tariff Page Wind'!$D$9:$D$32,MATCH($B13,'Tariff Page Wind'!$B$9:$B$32,0))+$G$48*INDEX('Tariff Page Wind'!$C$9:$C$32,MATCH($B13,'Tariff Page Wind'!$B$9:$B$32,0))+$G$49*INDEX('Tariff Page Wind'!$F$9:$F$32,MATCH($B13,'Tariff Page Wind'!$B$9:$B$32,0))+$G$50*INDEX('Tariff Page Wind'!$E$9:$E$32,MATCH($B13,'Tariff Page Wind'!$B$9:$B$32,0)))*10</f>
        <v>64.764224324037798</v>
      </c>
      <c r="G13" s="105">
        <f>($G$47*INDEX('[20]Tariff Page Wind'!$D$10:$D$30,MATCH($B13,'[20]Tariff Page Wind'!$B$10:$B$30,0))+$G$48*INDEX('[20]Tariff Page Wind'!$C$10:$C$30,MATCH($B13,'[20]Tariff Page Wind'!$B$10:$B$30,0))+$G$49*INDEX('[20]Tariff Page Wind'!$F$10:$F$30,MATCH($B13,'[20]Tariff Page Wind'!$B$10:$B$30,0))+$G$50*INDEX('[20]Tariff Page Wind'!$E$10:$E$30,MATCH($B13,'[20]Tariff Page Wind'!$B$10:$B$30,0)))*10</f>
        <v>38.613330776585109</v>
      </c>
      <c r="H13" s="106">
        <f t="shared" si="1"/>
        <v>26.150893547452689</v>
      </c>
      <c r="I13" s="107">
        <f>($J$47*INDEX('Tariff Page Solar Fixed'!$D$9:$D$31,MATCH($B13,'Tariff Page Solar Fixed'!$B$9:$B$31,0))+$J$48*INDEX('Tariff Page Solar Fixed'!$C$9:$C$31,MATCH($B13,'Tariff Page Solar Fixed'!$B$9:$B$31,0))+$J$49*INDEX('Tariff Page Solar Fixed'!$F$9:$F$31,MATCH($B13,'Tariff Page Solar Fixed'!$B$9:$B$31,0))+$J$50*INDEX('Tariff Page Solar Fixed'!$E$9:$E$31,MATCH($B13,'Tariff Page Solar Fixed'!$B$9:$B$31,0)))*10</f>
        <v>40.571386421378797</v>
      </c>
      <c r="J13" s="105">
        <f>($J$47*INDEX('[20]Tariff Page Solar Fixed'!$D$10:$D$30,MATCH($B13,'[20]Tariff Page Solar Fixed'!$B$10:$B$30,0))+$J$48*INDEX('[20]Tariff Page Solar Fixed'!$C$10:$C$30,MATCH($B13,'[20]Tariff Page Solar Fixed'!$B$10:$B$30,0))+$J$49*INDEX('[20]Tariff Page Solar Fixed'!$F$10:$F$30,MATCH($B13,'[20]Tariff Page Solar Fixed'!$B$10:$B$30,0))+$J$50*INDEX('[20]Tariff Page Solar Fixed'!$E$10:$E$30,MATCH($B13,'[20]Tariff Page Solar Fixed'!$B$10:$B$30,0)))*10</f>
        <v>27.808331791357219</v>
      </c>
      <c r="K13" s="106">
        <f t="shared" si="2"/>
        <v>12.763054630021578</v>
      </c>
      <c r="L13" s="107">
        <f>($M$47*INDEX('Tariff Page Solar Tracking'!$D$9:$D$31,MATCH($B13,'Tariff Page Solar Tracking'!$B$9:$B$31,0))+$M$48*INDEX('Tariff Page Solar Tracking'!$C$9:$C$31,MATCH($B13,'Tariff Page Solar Tracking'!$B$9:$B$31,0))+$M$49*INDEX('Tariff Page Solar Tracking'!$F$9:$F$31,MATCH($B13,'Tariff Page Solar Tracking'!$B$9:$B$31,0))+$M$50*INDEX('Tariff Page Solar Tracking'!$E$9:$E$31,MATCH($B13,'Tariff Page Solar Tracking'!$B$9:$B$31,0)))*10</f>
        <v>38.981723206545581</v>
      </c>
      <c r="M13" s="105">
        <f>($M$47*INDEX('[20]Tariff Page Solar Tracking'!$D$10:$D$30,MATCH($B13,'[20]Tariff Page Solar Tracking'!$B$10:$B$30,0))+$M$48*INDEX('[20]Tariff Page Solar Tracking'!$C$10:$C$30,MATCH($B13,'[20]Tariff Page Solar Tracking'!$B$10:$B$30,0))+$M$49*INDEX('[20]Tariff Page Solar Tracking'!$F$10:$F$30,MATCH($B13,'[20]Tariff Page Solar Tracking'!$B$10:$B$30,0))+$M$50*INDEX('[20]Tariff Page Solar Tracking'!$E$10:$E$30,MATCH($B13,'[20]Tariff Page Solar Tracking'!$B$10:$B$30,0)))*10</f>
        <v>26.629999973121272</v>
      </c>
      <c r="N13" s="217">
        <f t="shared" si="3"/>
        <v>12.351723233424309</v>
      </c>
      <c r="S13"/>
    </row>
    <row r="14" spans="2:19" x14ac:dyDescent="0.2">
      <c r="B14" s="166">
        <f t="shared" ref="B14:B29" si="4">B13+1</f>
        <v>2025</v>
      </c>
      <c r="C14" s="105">
        <f>($D$47*INDEX('Tariff Page'!$D$9:$D$30,MATCH($B14,'Tariff Page'!$B$9:$B$30,0))+$D$48*INDEX('Tariff Page'!$C$9:$C$30,MATCH($B14,'Tariff Page'!$B$9:$B$30,0))+$D$49*INDEX('Tariff Page'!$F$9:$F$30,MATCH($B14,'Tariff Page'!$B$9:$B$30,0))+$D$50*INDEX('Tariff Page'!$E$9:$E$30,MATCH($B14,'Tariff Page'!$B$9:$B$30,0)))*10</f>
        <v>57.173209256210015</v>
      </c>
      <c r="D14" s="105">
        <f>($D$47*INDEX('[20]Tariff Page'!$D$10:$D$30,MATCH($B14,'[20]Tariff Page'!$B$10:$B$30,0))+$D$48*INDEX('[20]Tariff Page'!$C$10:$C$30,MATCH($B14,'[20]Tariff Page'!$B$10:$B$30,0))+$D$49*INDEX('[20]Tariff Page'!$F$10:$F$30,MATCH($B14,'[20]Tariff Page'!$B$10:$B$30,0))+$D$50*INDEX('[20]Tariff Page'!$E$10:$E$30,MATCH($B14,'[20]Tariff Page'!$B$10:$B$30,0)))*10</f>
        <v>30.292615901113056</v>
      </c>
      <c r="E14" s="106">
        <f t="shared" si="0"/>
        <v>26.880593355096959</v>
      </c>
      <c r="F14" s="107">
        <f>($G$47*INDEX('Tariff Page Wind'!$D$9:$D$32,MATCH($B14,'Tariff Page Wind'!$B$9:$B$32,0))+$G$48*INDEX('Tariff Page Wind'!$C$9:$C$32,MATCH($B14,'Tariff Page Wind'!$B$9:$B$32,0))+$G$49*INDEX('Tariff Page Wind'!$F$9:$F$32,MATCH($B14,'Tariff Page Wind'!$B$9:$B$32,0))+$G$50*INDEX('Tariff Page Wind'!$E$9:$E$32,MATCH($B14,'Tariff Page Wind'!$B$9:$B$32,0)))*10</f>
        <v>48.727207623509358</v>
      </c>
      <c r="G14" s="105">
        <f>($G$47*INDEX('[20]Tariff Page Wind'!$D$10:$D$30,MATCH($B14,'[20]Tariff Page Wind'!$B$10:$B$30,0))+$G$48*INDEX('[20]Tariff Page Wind'!$C$10:$C$30,MATCH($B14,'[20]Tariff Page Wind'!$B$10:$B$30,0))+$G$49*INDEX('[20]Tariff Page Wind'!$F$10:$F$30,MATCH($B14,'[20]Tariff Page Wind'!$B$10:$B$30,0))+$G$50*INDEX('[20]Tariff Page Wind'!$E$10:$E$30,MATCH($B14,'[20]Tariff Page Wind'!$B$10:$B$30,0)))*10</f>
        <v>26.543842260789042</v>
      </c>
      <c r="H14" s="106">
        <f t="shared" si="1"/>
        <v>22.183365362720316</v>
      </c>
      <c r="I14" s="107">
        <f>($J$47*INDEX('Tariff Page Solar Fixed'!$D$9:$D$31,MATCH($B14,'Tariff Page Solar Fixed'!$B$9:$B$31,0))+$J$48*INDEX('Tariff Page Solar Fixed'!$C$9:$C$31,MATCH($B14,'Tariff Page Solar Fixed'!$B$9:$B$31,0))+$J$49*INDEX('Tariff Page Solar Fixed'!$F$9:$F$31,MATCH($B14,'Tariff Page Solar Fixed'!$B$9:$B$31,0))+$J$50*INDEX('Tariff Page Solar Fixed'!$E$9:$E$31,MATCH($B14,'Tariff Page Solar Fixed'!$B$9:$B$31,0)))*10</f>
        <v>28.148709450723445</v>
      </c>
      <c r="J14" s="105">
        <f>($J$47*INDEX('[20]Tariff Page Solar Fixed'!$D$10:$D$30,MATCH($B14,'[20]Tariff Page Solar Fixed'!$B$10:$B$30,0))+$J$48*INDEX('[20]Tariff Page Solar Fixed'!$C$10:$C$30,MATCH($B14,'[20]Tariff Page Solar Fixed'!$B$10:$B$30,0))+$J$49*INDEX('[20]Tariff Page Solar Fixed'!$F$10:$F$30,MATCH($B14,'[20]Tariff Page Solar Fixed'!$B$10:$B$30,0))+$J$50*INDEX('[20]Tariff Page Solar Fixed'!$E$10:$E$30,MATCH($B14,'[20]Tariff Page Solar Fixed'!$B$10:$B$30,0)))*10</f>
        <v>17.912802789360175</v>
      </c>
      <c r="K14" s="106">
        <f t="shared" si="2"/>
        <v>10.23590666136327</v>
      </c>
      <c r="L14" s="107">
        <f>($M$47*INDEX('Tariff Page Solar Tracking'!$D$9:$D$31,MATCH($B14,'Tariff Page Solar Tracking'!$B$9:$B$31,0))+$M$48*INDEX('Tariff Page Solar Tracking'!$C$9:$C$31,MATCH($B14,'Tariff Page Solar Tracking'!$B$9:$B$31,0))+$M$49*INDEX('Tariff Page Solar Tracking'!$F$9:$F$31,MATCH($B14,'Tariff Page Solar Tracking'!$B$9:$B$31,0))+$M$50*INDEX('Tariff Page Solar Tracking'!$E$9:$E$31,MATCH($B14,'Tariff Page Solar Tracking'!$B$9:$B$31,0)))*10</f>
        <v>28.026834668816136</v>
      </c>
      <c r="M14" s="105">
        <f>($M$47*INDEX('[20]Tariff Page Solar Tracking'!$D$10:$D$30,MATCH($B14,'[20]Tariff Page Solar Tracking'!$B$10:$B$30,0))+$M$48*INDEX('[20]Tariff Page Solar Tracking'!$C$10:$C$30,MATCH($B14,'[20]Tariff Page Solar Tracking'!$B$10:$B$30,0))+$M$49*INDEX('[20]Tariff Page Solar Tracking'!$F$10:$F$30,MATCH($B14,'[20]Tariff Page Solar Tracking'!$B$10:$B$30,0))+$M$50*INDEX('[20]Tariff Page Solar Tracking'!$E$10:$E$30,MATCH($B14,'[20]Tariff Page Solar Tracking'!$B$10:$B$30,0)))*10</f>
        <v>17.47698772356722</v>
      </c>
      <c r="N14" s="217">
        <f t="shared" si="3"/>
        <v>10.549846945248916</v>
      </c>
      <c r="S14"/>
    </row>
    <row r="15" spans="2:19" x14ac:dyDescent="0.2">
      <c r="B15" s="166">
        <f t="shared" si="4"/>
        <v>2026</v>
      </c>
      <c r="C15" s="105">
        <f>($D$47*INDEX('Tariff Page'!$D$9:$D$30,MATCH($B15,'Tariff Page'!$B$9:$B$30,0))+$D$48*INDEX('Tariff Page'!$C$9:$C$30,MATCH($B15,'Tariff Page'!$B$9:$B$30,0))+$D$49*INDEX('Tariff Page'!$F$9:$F$30,MATCH($B15,'Tariff Page'!$B$9:$B$30,0))+$D$50*INDEX('Tariff Page'!$E$9:$E$30,MATCH($B15,'Tariff Page'!$B$9:$B$30,0)))*10</f>
        <v>56.421326336939671</v>
      </c>
      <c r="D15" s="105">
        <f>($D$47*INDEX('[20]Tariff Page'!$D$10:$D$30,MATCH($B15,'[20]Tariff Page'!$B$10:$B$30,0))+$D$48*INDEX('[20]Tariff Page'!$C$10:$C$30,MATCH($B15,'[20]Tariff Page'!$B$10:$B$30,0))+$D$49*INDEX('[20]Tariff Page'!$F$10:$F$30,MATCH($B15,'[20]Tariff Page'!$B$10:$B$30,0))+$D$50*INDEX('[20]Tariff Page'!$E$10:$E$30,MATCH($B15,'[20]Tariff Page'!$B$10:$B$30,0)))*10</f>
        <v>27.667089451179528</v>
      </c>
      <c r="E15" s="106">
        <f t="shared" si="0"/>
        <v>28.754236885760143</v>
      </c>
      <c r="F15" s="107">
        <f>($G$47*INDEX('Tariff Page Wind'!$D$9:$D$32,MATCH($B15,'Tariff Page Wind'!$B$9:$B$32,0))+$G$48*INDEX('Tariff Page Wind'!$C$9:$C$32,MATCH($B15,'Tariff Page Wind'!$B$9:$B$32,0))+$G$49*INDEX('Tariff Page Wind'!$F$9:$F$32,MATCH($B15,'Tariff Page Wind'!$B$9:$B$32,0))+$G$50*INDEX('Tariff Page Wind'!$E$9:$E$32,MATCH($B15,'Tariff Page Wind'!$B$9:$B$32,0)))*10</f>
        <v>38.808422339014101</v>
      </c>
      <c r="G15" s="105">
        <f>($G$47*INDEX('[20]Tariff Page Wind'!$D$10:$D$30,MATCH($B15,'[20]Tariff Page Wind'!$B$10:$B$30,0))+$G$48*INDEX('[20]Tariff Page Wind'!$C$10:$C$30,MATCH($B15,'[20]Tariff Page Wind'!$B$10:$B$30,0))+$G$49*INDEX('[20]Tariff Page Wind'!$F$10:$F$30,MATCH($B15,'[20]Tariff Page Wind'!$B$10:$B$30,0))+$G$50*INDEX('[20]Tariff Page Wind'!$E$10:$E$30,MATCH($B15,'[20]Tariff Page Wind'!$B$10:$B$30,0)))*10</f>
        <v>31.602719968146758</v>
      </c>
      <c r="H15" s="106">
        <f t="shared" si="1"/>
        <v>7.2057023708673427</v>
      </c>
      <c r="I15" s="107">
        <f>($J$47*INDEX('Tariff Page Solar Fixed'!$D$9:$D$31,MATCH($B15,'Tariff Page Solar Fixed'!$B$9:$B$31,0))+$J$48*INDEX('Tariff Page Solar Fixed'!$C$9:$C$31,MATCH($B15,'Tariff Page Solar Fixed'!$B$9:$B$31,0))+$J$49*INDEX('Tariff Page Solar Fixed'!$F$9:$F$31,MATCH($B15,'Tariff Page Solar Fixed'!$B$9:$B$31,0))+$J$50*INDEX('Tariff Page Solar Fixed'!$E$9:$E$31,MATCH($B15,'Tariff Page Solar Fixed'!$B$9:$B$31,0)))*10</f>
        <v>32.407527521850433</v>
      </c>
      <c r="J15" s="105">
        <f>($J$47*INDEX('[20]Tariff Page Solar Fixed'!$D$10:$D$30,MATCH($B15,'[20]Tariff Page Solar Fixed'!$B$10:$B$30,0))+$J$48*INDEX('[20]Tariff Page Solar Fixed'!$C$10:$C$30,MATCH($B15,'[20]Tariff Page Solar Fixed'!$B$10:$B$30,0))+$J$49*INDEX('[20]Tariff Page Solar Fixed'!$F$10:$F$30,MATCH($B15,'[20]Tariff Page Solar Fixed'!$B$10:$B$30,0))+$J$50*INDEX('[20]Tariff Page Solar Fixed'!$E$10:$E$30,MATCH($B15,'[20]Tariff Page Solar Fixed'!$B$10:$B$30,0)))*10</f>
        <v>28.231533945631831</v>
      </c>
      <c r="K15" s="106">
        <f t="shared" si="2"/>
        <v>4.1759935762186018</v>
      </c>
      <c r="L15" s="107">
        <f>($M$47*INDEX('Tariff Page Solar Tracking'!$D$9:$D$31,MATCH($B15,'Tariff Page Solar Tracking'!$B$9:$B$31,0))+$M$48*INDEX('Tariff Page Solar Tracking'!$C$9:$C$31,MATCH($B15,'Tariff Page Solar Tracking'!$B$9:$B$31,0))+$M$49*INDEX('Tariff Page Solar Tracking'!$F$9:$F$31,MATCH($B15,'Tariff Page Solar Tracking'!$B$9:$B$31,0))+$M$50*INDEX('Tariff Page Solar Tracking'!$E$9:$E$31,MATCH($B15,'Tariff Page Solar Tracking'!$B$9:$B$31,0)))*10</f>
        <v>31.745421660137438</v>
      </c>
      <c r="M15" s="105">
        <f>($M$47*INDEX('[20]Tariff Page Solar Tracking'!$D$10:$D$30,MATCH($B15,'[20]Tariff Page Solar Tracking'!$B$10:$B$30,0))+$M$48*INDEX('[20]Tariff Page Solar Tracking'!$C$10:$C$30,MATCH($B15,'[20]Tariff Page Solar Tracking'!$B$10:$B$30,0))+$M$49*INDEX('[20]Tariff Page Solar Tracking'!$F$10:$F$30,MATCH($B15,'[20]Tariff Page Solar Tracking'!$B$10:$B$30,0))+$M$50*INDEX('[20]Tariff Page Solar Tracking'!$E$10:$E$30,MATCH($B15,'[20]Tariff Page Solar Tracking'!$B$10:$B$30,0)))*10</f>
        <v>26.366516696868743</v>
      </c>
      <c r="N15" s="217">
        <f t="shared" si="3"/>
        <v>5.3789049632686954</v>
      </c>
      <c r="S15"/>
    </row>
    <row r="16" spans="2:19" x14ac:dyDescent="0.2">
      <c r="B16" s="166">
        <f t="shared" si="4"/>
        <v>2027</v>
      </c>
      <c r="C16" s="105">
        <f>($D$47*INDEX('Tariff Page'!$D$9:$D$30,MATCH($B16,'Tariff Page'!$B$9:$B$30,0))+$D$48*INDEX('Tariff Page'!$C$9:$C$30,MATCH($B16,'Tariff Page'!$B$9:$B$30,0))+$D$49*INDEX('Tariff Page'!$F$9:$F$30,MATCH($B16,'Tariff Page'!$B$9:$B$30,0))+$D$50*INDEX('Tariff Page'!$E$9:$E$30,MATCH($B16,'Tariff Page'!$B$9:$B$30,0)))*10</f>
        <v>46.657304369658036</v>
      </c>
      <c r="D16" s="105">
        <f>($D$47*INDEX('[20]Tariff Page'!$D$10:$D$30,MATCH($B16,'[20]Tariff Page'!$B$10:$B$30,0))+$D$48*INDEX('[20]Tariff Page'!$C$10:$C$30,MATCH($B16,'[20]Tariff Page'!$B$10:$B$30,0))+$D$49*INDEX('[20]Tariff Page'!$F$10:$F$30,MATCH($B16,'[20]Tariff Page'!$B$10:$B$30,0))+$D$50*INDEX('[20]Tariff Page'!$E$10:$E$30,MATCH($B16,'[20]Tariff Page'!$B$10:$B$30,0)))*10</f>
        <v>29.571418504310163</v>
      </c>
      <c r="E16" s="106">
        <f t="shared" si="0"/>
        <v>17.085885865347873</v>
      </c>
      <c r="F16" s="107">
        <f>($G$47*INDEX('Tariff Page Wind'!$D$9:$D$32,MATCH($B16,'Tariff Page Wind'!$B$9:$B$32,0))+$G$48*INDEX('Tariff Page Wind'!$C$9:$C$32,MATCH($B16,'Tariff Page Wind'!$B$9:$B$32,0))+$G$49*INDEX('Tariff Page Wind'!$F$9:$F$32,MATCH($B16,'Tariff Page Wind'!$B$9:$B$32,0))+$G$50*INDEX('Tariff Page Wind'!$E$9:$E$32,MATCH($B16,'Tariff Page Wind'!$B$9:$B$32,0)))*10</f>
        <v>37.435460536054251</v>
      </c>
      <c r="G16" s="105">
        <f>($G$47*INDEX('[20]Tariff Page Wind'!$D$10:$D$30,MATCH($B16,'[20]Tariff Page Wind'!$B$10:$B$30,0))+$G$48*INDEX('[20]Tariff Page Wind'!$C$10:$C$30,MATCH($B16,'[20]Tariff Page Wind'!$B$10:$B$30,0))+$G$49*INDEX('[20]Tariff Page Wind'!$F$10:$F$30,MATCH($B16,'[20]Tariff Page Wind'!$B$10:$B$30,0))+$G$50*INDEX('[20]Tariff Page Wind'!$E$10:$E$30,MATCH($B16,'[20]Tariff Page Wind'!$B$10:$B$30,0)))*10</f>
        <v>32.768838697103462</v>
      </c>
      <c r="H16" s="106">
        <f t="shared" si="1"/>
        <v>4.666621838950789</v>
      </c>
      <c r="I16" s="107">
        <f>($J$47*INDEX('Tariff Page Solar Fixed'!$D$9:$D$31,MATCH($B16,'Tariff Page Solar Fixed'!$B$9:$B$31,0))+$J$48*INDEX('Tariff Page Solar Fixed'!$C$9:$C$31,MATCH($B16,'Tariff Page Solar Fixed'!$B$9:$B$31,0))+$J$49*INDEX('Tariff Page Solar Fixed'!$F$9:$F$31,MATCH($B16,'Tariff Page Solar Fixed'!$B$9:$B$31,0))+$J$50*INDEX('Tariff Page Solar Fixed'!$E$9:$E$31,MATCH($B16,'Tariff Page Solar Fixed'!$B$9:$B$31,0)))*10</f>
        <v>33.576334596361718</v>
      </c>
      <c r="J16" s="105">
        <f>($J$47*INDEX('[20]Tariff Page Solar Fixed'!$D$10:$D$30,MATCH($B16,'[20]Tariff Page Solar Fixed'!$B$10:$B$30,0))+$J$48*INDEX('[20]Tariff Page Solar Fixed'!$C$10:$C$30,MATCH($B16,'[20]Tariff Page Solar Fixed'!$B$10:$B$30,0))+$J$49*INDEX('[20]Tariff Page Solar Fixed'!$F$10:$F$30,MATCH($B16,'[20]Tariff Page Solar Fixed'!$B$10:$B$30,0))+$J$50*INDEX('[20]Tariff Page Solar Fixed'!$E$10:$E$30,MATCH($B16,'[20]Tariff Page Solar Fixed'!$B$10:$B$30,0)))*10</f>
        <v>29.89759951160832</v>
      </c>
      <c r="K16" s="106">
        <f t="shared" si="2"/>
        <v>3.6787350847533986</v>
      </c>
      <c r="L16" s="107">
        <f>($M$47*INDEX('Tariff Page Solar Tracking'!$D$9:$D$31,MATCH($B16,'Tariff Page Solar Tracking'!$B$9:$B$31,0))+$M$48*INDEX('Tariff Page Solar Tracking'!$C$9:$C$31,MATCH($B16,'Tariff Page Solar Tracking'!$B$9:$B$31,0))+$M$49*INDEX('Tariff Page Solar Tracking'!$F$9:$F$31,MATCH($B16,'Tariff Page Solar Tracking'!$B$9:$B$31,0))+$M$50*INDEX('Tariff Page Solar Tracking'!$E$9:$E$31,MATCH($B16,'Tariff Page Solar Tracking'!$B$9:$B$31,0)))*10</f>
        <v>32.20579647605426</v>
      </c>
      <c r="M16" s="105">
        <f>($M$47*INDEX('[20]Tariff Page Solar Tracking'!$D$10:$D$30,MATCH($B16,'[20]Tariff Page Solar Tracking'!$B$10:$B$30,0))+$M$48*INDEX('[20]Tariff Page Solar Tracking'!$C$10:$C$30,MATCH($B16,'[20]Tariff Page Solar Tracking'!$B$10:$B$30,0))+$M$49*INDEX('[20]Tariff Page Solar Tracking'!$F$10:$F$30,MATCH($B16,'[20]Tariff Page Solar Tracking'!$B$10:$B$30,0))+$M$50*INDEX('[20]Tariff Page Solar Tracking'!$E$10:$E$30,MATCH($B16,'[20]Tariff Page Solar Tracking'!$B$10:$B$30,0)))*10</f>
        <v>27.814972302892244</v>
      </c>
      <c r="N16" s="217">
        <f t="shared" si="3"/>
        <v>4.3908241731620166</v>
      </c>
      <c r="S16"/>
    </row>
    <row r="17" spans="2:19" x14ac:dyDescent="0.2">
      <c r="B17" s="166">
        <f t="shared" si="4"/>
        <v>2028</v>
      </c>
      <c r="C17" s="105">
        <f>($D$47*INDEX('Tariff Page'!$D$9:$D$30,MATCH($B17,'Tariff Page'!$B$9:$B$30,0))+$D$48*INDEX('Tariff Page'!$C$9:$C$30,MATCH($B17,'Tariff Page'!$B$9:$B$30,0))+$D$49*INDEX('Tariff Page'!$F$9:$F$30,MATCH($B17,'Tariff Page'!$B$9:$B$30,0))+$D$50*INDEX('Tariff Page'!$E$9:$E$30,MATCH($B17,'Tariff Page'!$B$9:$B$30,0)))*10</f>
        <v>46.032021203416065</v>
      </c>
      <c r="D17" s="105">
        <f>($D$47*INDEX('[20]Tariff Page'!$D$10:$D$30,MATCH($B17,'[20]Tariff Page'!$B$10:$B$30,0))+$D$48*INDEX('[20]Tariff Page'!$C$10:$C$30,MATCH($B17,'[20]Tariff Page'!$B$10:$B$30,0))+$D$49*INDEX('[20]Tariff Page'!$F$10:$F$30,MATCH($B17,'[20]Tariff Page'!$B$10:$B$30,0))+$D$50*INDEX('[20]Tariff Page'!$E$10:$E$30,MATCH($B17,'[20]Tariff Page'!$B$10:$B$30,0)))*10</f>
        <v>30.401507126070264</v>
      </c>
      <c r="E17" s="106">
        <f t="shared" si="0"/>
        <v>15.630514077345801</v>
      </c>
      <c r="F17" s="107">
        <f>($G$47*INDEX('Tariff Page Wind'!$D$9:$D$32,MATCH($B17,'Tariff Page Wind'!$B$9:$B$32,0))+$G$48*INDEX('Tariff Page Wind'!$C$9:$C$32,MATCH($B17,'Tariff Page Wind'!$B$9:$B$32,0))+$G$49*INDEX('Tariff Page Wind'!$F$9:$F$32,MATCH($B17,'Tariff Page Wind'!$B$9:$B$32,0))+$G$50*INDEX('Tariff Page Wind'!$E$9:$E$32,MATCH($B17,'Tariff Page Wind'!$B$9:$B$32,0)))*10</f>
        <v>37.337645107729401</v>
      </c>
      <c r="G17" s="105">
        <f>($G$47*INDEX('[20]Tariff Page Wind'!$D$10:$D$30,MATCH($B17,'[20]Tariff Page Wind'!$B$10:$B$30,0))+$G$48*INDEX('[20]Tariff Page Wind'!$C$10:$C$30,MATCH($B17,'[20]Tariff Page Wind'!$B$10:$B$30,0))+$G$49*INDEX('[20]Tariff Page Wind'!$F$10:$F$30,MATCH($B17,'[20]Tariff Page Wind'!$B$10:$B$30,0))+$G$50*INDEX('[20]Tariff Page Wind'!$E$10:$E$30,MATCH($B17,'[20]Tariff Page Wind'!$B$10:$B$30,0)))*10</f>
        <v>33.452610346930101</v>
      </c>
      <c r="H17" s="106">
        <f t="shared" si="1"/>
        <v>3.8850347607993001</v>
      </c>
      <c r="I17" s="107">
        <f>($J$47*INDEX('Tariff Page Solar Fixed'!$D$9:$D$31,MATCH($B17,'Tariff Page Solar Fixed'!$B$9:$B$31,0))+$J$48*INDEX('Tariff Page Solar Fixed'!$C$9:$C$31,MATCH($B17,'Tariff Page Solar Fixed'!$B$9:$B$31,0))+$J$49*INDEX('Tariff Page Solar Fixed'!$F$9:$F$31,MATCH($B17,'Tariff Page Solar Fixed'!$B$9:$B$31,0))+$J$50*INDEX('Tariff Page Solar Fixed'!$E$9:$E$31,MATCH($B17,'Tariff Page Solar Fixed'!$B$9:$B$31,0)))*10</f>
        <v>36.982877540142653</v>
      </c>
      <c r="J17" s="105">
        <f>($J$47*INDEX('[20]Tariff Page Solar Fixed'!$D$10:$D$30,MATCH($B17,'[20]Tariff Page Solar Fixed'!$B$10:$B$30,0))+$J$48*INDEX('[20]Tariff Page Solar Fixed'!$C$10:$C$30,MATCH($B17,'[20]Tariff Page Solar Fixed'!$B$10:$B$30,0))+$J$49*INDEX('[20]Tariff Page Solar Fixed'!$F$10:$F$30,MATCH($B17,'[20]Tariff Page Solar Fixed'!$B$10:$B$30,0))+$J$50*INDEX('[20]Tariff Page Solar Fixed'!$E$10:$E$30,MATCH($B17,'[20]Tariff Page Solar Fixed'!$B$10:$B$30,0)))*10</f>
        <v>30.598576556914615</v>
      </c>
      <c r="K17" s="106">
        <f t="shared" si="2"/>
        <v>6.3843009832280373</v>
      </c>
      <c r="L17" s="107">
        <f>($M$47*INDEX('Tariff Page Solar Tracking'!$D$9:$D$31,MATCH($B17,'Tariff Page Solar Tracking'!$B$9:$B$31,0))+$M$48*INDEX('Tariff Page Solar Tracking'!$C$9:$C$31,MATCH($B17,'Tariff Page Solar Tracking'!$B$9:$B$31,0))+$M$49*INDEX('Tariff Page Solar Tracking'!$F$9:$F$31,MATCH($B17,'Tariff Page Solar Tracking'!$B$9:$B$31,0))+$M$50*INDEX('Tariff Page Solar Tracking'!$E$9:$E$31,MATCH($B17,'Tariff Page Solar Tracking'!$B$9:$B$31,0)))*10</f>
        <v>35.514145958294286</v>
      </c>
      <c r="M17" s="105">
        <f>($M$47*INDEX('[20]Tariff Page Solar Tracking'!$D$10:$D$30,MATCH($B17,'[20]Tariff Page Solar Tracking'!$B$10:$B$30,0))+$M$48*INDEX('[20]Tariff Page Solar Tracking'!$C$10:$C$30,MATCH($B17,'[20]Tariff Page Solar Tracking'!$B$10:$B$30,0))+$M$49*INDEX('[20]Tariff Page Solar Tracking'!$F$10:$F$30,MATCH($B17,'[20]Tariff Page Solar Tracking'!$B$10:$B$30,0))+$M$50*INDEX('[20]Tariff Page Solar Tracking'!$E$10:$E$30,MATCH($B17,'[20]Tariff Page Solar Tracking'!$B$10:$B$30,0)))*10</f>
        <v>28.717798757807238</v>
      </c>
      <c r="N17" s="217">
        <f t="shared" si="3"/>
        <v>6.7963472004870482</v>
      </c>
      <c r="S17"/>
    </row>
    <row r="18" spans="2:19" x14ac:dyDescent="0.2">
      <c r="B18" s="166">
        <f t="shared" si="4"/>
        <v>2029</v>
      </c>
      <c r="C18" s="105">
        <f>($D$47*INDEX('Tariff Page'!$D$9:$D$30,MATCH($B18,'Tariff Page'!$B$9:$B$30,0))+$D$48*INDEX('Tariff Page'!$C$9:$C$30,MATCH($B18,'Tariff Page'!$B$9:$B$30,0))+$D$49*INDEX('Tariff Page'!$F$9:$F$30,MATCH($B18,'Tariff Page'!$B$9:$B$30,0))+$D$50*INDEX('Tariff Page'!$E$9:$E$30,MATCH($B18,'Tariff Page'!$B$9:$B$30,0)))*10</f>
        <v>47.105116424739023</v>
      </c>
      <c r="D18" s="105">
        <f>($D$47*INDEX('[20]Tariff Page'!$D$10:$D$30,MATCH($B18,'[20]Tariff Page'!$B$10:$B$30,0))+$D$48*INDEX('[20]Tariff Page'!$C$10:$C$30,MATCH($B18,'[20]Tariff Page'!$B$10:$B$30,0))+$D$49*INDEX('[20]Tariff Page'!$F$10:$F$30,MATCH($B18,'[20]Tariff Page'!$B$10:$B$30,0))+$D$50*INDEX('[20]Tariff Page'!$E$10:$E$30,MATCH($B18,'[20]Tariff Page'!$B$10:$B$30,0)))*10</f>
        <v>31.188652244630546</v>
      </c>
      <c r="E18" s="106">
        <f t="shared" si="0"/>
        <v>15.916464180108477</v>
      </c>
      <c r="F18" s="107">
        <f>($G$47*INDEX('Tariff Page Wind'!$D$9:$D$32,MATCH($B18,'Tariff Page Wind'!$B$9:$B$32,0))+$G$48*INDEX('Tariff Page Wind'!$C$9:$C$32,MATCH($B18,'Tariff Page Wind'!$B$9:$B$32,0))+$G$49*INDEX('Tariff Page Wind'!$F$9:$F$32,MATCH($B18,'Tariff Page Wind'!$B$9:$B$32,0))+$G$50*INDEX('Tariff Page Wind'!$E$9:$E$32,MATCH($B18,'Tariff Page Wind'!$B$9:$B$32,0)))*10</f>
        <v>39.144661114302437</v>
      </c>
      <c r="G18" s="105">
        <f>($G$47*INDEX('[20]Tariff Page Wind'!$D$10:$D$30,MATCH($B18,'[20]Tariff Page Wind'!$B$10:$B$30,0))+$G$48*INDEX('[20]Tariff Page Wind'!$C$10:$C$30,MATCH($B18,'[20]Tariff Page Wind'!$B$10:$B$30,0))+$G$49*INDEX('[20]Tariff Page Wind'!$F$10:$F$30,MATCH($B18,'[20]Tariff Page Wind'!$B$10:$B$30,0))+$G$50*INDEX('[20]Tariff Page Wind'!$E$10:$E$30,MATCH($B18,'[20]Tariff Page Wind'!$B$10:$B$30,0)))*10</f>
        <v>34.317160019649364</v>
      </c>
      <c r="H18" s="106">
        <f t="shared" si="1"/>
        <v>4.8275010946530728</v>
      </c>
      <c r="I18" s="107">
        <f>($J$47*INDEX('Tariff Page Solar Fixed'!$D$9:$D$31,MATCH($B18,'Tariff Page Solar Fixed'!$B$9:$B$31,0))+$J$48*INDEX('Tariff Page Solar Fixed'!$C$9:$C$31,MATCH($B18,'Tariff Page Solar Fixed'!$B$9:$B$31,0))+$J$49*INDEX('Tariff Page Solar Fixed'!$F$9:$F$31,MATCH($B18,'Tariff Page Solar Fixed'!$B$9:$B$31,0))+$J$50*INDEX('Tariff Page Solar Fixed'!$E$9:$E$31,MATCH($B18,'Tariff Page Solar Fixed'!$B$9:$B$31,0)))*10</f>
        <v>38.935761156348775</v>
      </c>
      <c r="J18" s="105">
        <f>($J$47*INDEX('[20]Tariff Page Solar Fixed'!$D$10:$D$30,MATCH($B18,'[20]Tariff Page Solar Fixed'!$B$10:$B$30,0))+$J$48*INDEX('[20]Tariff Page Solar Fixed'!$C$10:$C$30,MATCH($B18,'[20]Tariff Page Solar Fixed'!$B$10:$B$30,0))+$J$49*INDEX('[20]Tariff Page Solar Fixed'!$F$10:$F$30,MATCH($B18,'[20]Tariff Page Solar Fixed'!$B$10:$B$30,0))+$J$50*INDEX('[20]Tariff Page Solar Fixed'!$E$10:$E$30,MATCH($B18,'[20]Tariff Page Solar Fixed'!$B$10:$B$30,0)))*10</f>
        <v>32.868914231710484</v>
      </c>
      <c r="K18" s="106">
        <f t="shared" si="2"/>
        <v>6.0668469246382912</v>
      </c>
      <c r="L18" s="107">
        <f>($M$47*INDEX('Tariff Page Solar Tracking'!$D$9:$D$31,MATCH($B18,'Tariff Page Solar Tracking'!$B$9:$B$31,0))+$M$48*INDEX('Tariff Page Solar Tracking'!$C$9:$C$31,MATCH($B18,'Tariff Page Solar Tracking'!$B$9:$B$31,0))+$M$49*INDEX('Tariff Page Solar Tracking'!$F$9:$F$31,MATCH($B18,'Tariff Page Solar Tracking'!$B$9:$B$31,0))+$M$50*INDEX('Tariff Page Solar Tracking'!$E$9:$E$31,MATCH($B18,'Tariff Page Solar Tracking'!$B$9:$B$31,0)))*10</f>
        <v>37.338483076102605</v>
      </c>
      <c r="M18" s="105">
        <f>($M$47*INDEX('[20]Tariff Page Solar Tracking'!$D$10:$D$30,MATCH($B18,'[20]Tariff Page Solar Tracking'!$B$10:$B$30,0))+$M$48*INDEX('[20]Tariff Page Solar Tracking'!$C$10:$C$30,MATCH($B18,'[20]Tariff Page Solar Tracking'!$B$10:$B$30,0))+$M$49*INDEX('[20]Tariff Page Solar Tracking'!$F$10:$F$30,MATCH($B18,'[20]Tariff Page Solar Tracking'!$B$10:$B$30,0))+$M$50*INDEX('[20]Tariff Page Solar Tracking'!$E$10:$E$30,MATCH($B18,'[20]Tariff Page Solar Tracking'!$B$10:$B$30,0)))*10</f>
        <v>30.930152090328651</v>
      </c>
      <c r="N18" s="217">
        <f t="shared" si="3"/>
        <v>6.4083309857739543</v>
      </c>
      <c r="S18"/>
    </row>
    <row r="19" spans="2:19" x14ac:dyDescent="0.2">
      <c r="B19" s="166">
        <f t="shared" si="4"/>
        <v>2030</v>
      </c>
      <c r="C19" s="105">
        <f>($D$47*INDEX('Tariff Page'!$D$9:$D$30,MATCH($B19,'Tariff Page'!$B$9:$B$30,0))+$D$48*INDEX('Tariff Page'!$C$9:$C$30,MATCH($B19,'Tariff Page'!$B$9:$B$30,0))+$D$49*INDEX('Tariff Page'!$F$9:$F$30,MATCH($B19,'Tariff Page'!$B$9:$B$30,0))+$D$50*INDEX('Tariff Page'!$E$9:$E$30,MATCH($B19,'Tariff Page'!$B$9:$B$30,0)))*10</f>
        <v>48.182301953570068</v>
      </c>
      <c r="D19" s="105">
        <f>($D$47*INDEX('[20]Tariff Page'!$D$10:$D$30,MATCH($B19,'[20]Tariff Page'!$B$10:$B$30,0))+$D$48*INDEX('[20]Tariff Page'!$C$10:$C$30,MATCH($B19,'[20]Tariff Page'!$B$10:$B$30,0))+$D$49*INDEX('[20]Tariff Page'!$F$10:$F$30,MATCH($B19,'[20]Tariff Page'!$B$10:$B$30,0))+$D$50*INDEX('[20]Tariff Page'!$E$10:$E$30,MATCH($B19,'[20]Tariff Page'!$B$10:$B$30,0)))*10</f>
        <v>31.27929524094688</v>
      </c>
      <c r="E19" s="106">
        <f t="shared" si="0"/>
        <v>16.903006712623188</v>
      </c>
      <c r="F19" s="107">
        <f>($G$47*INDEX('Tariff Page Wind'!$D$9:$D$32,MATCH($B19,'Tariff Page Wind'!$B$9:$B$32,0))+$G$48*INDEX('Tariff Page Wind'!$C$9:$C$32,MATCH($B19,'Tariff Page Wind'!$B$9:$B$32,0))+$G$49*INDEX('Tariff Page Wind'!$F$9:$F$32,MATCH($B19,'Tariff Page Wind'!$B$9:$B$32,0))+$G$50*INDEX('Tariff Page Wind'!$E$9:$E$32,MATCH($B19,'Tariff Page Wind'!$B$9:$B$32,0)))*10</f>
        <v>39.875205510886786</v>
      </c>
      <c r="G19" s="105">
        <f>($G$47*INDEX('[20]Tariff Page Wind'!$D$10:$D$30,MATCH($B19,'[20]Tariff Page Wind'!$B$10:$B$30,0))+$G$48*INDEX('[20]Tariff Page Wind'!$C$10:$C$30,MATCH($B19,'[20]Tariff Page Wind'!$B$10:$B$30,0))+$G$49*INDEX('[20]Tariff Page Wind'!$F$10:$F$30,MATCH($B19,'[20]Tariff Page Wind'!$B$10:$B$30,0))+$G$50*INDEX('[20]Tariff Page Wind'!$E$10:$E$30,MATCH($B19,'[20]Tariff Page Wind'!$B$10:$B$30,0)))*10</f>
        <v>34.758139514063075</v>
      </c>
      <c r="H19" s="106">
        <f t="shared" si="1"/>
        <v>5.1170659968237118</v>
      </c>
      <c r="I19" s="107">
        <f>($J$47*INDEX('Tariff Page Solar Fixed'!$D$9:$D$31,MATCH($B19,'Tariff Page Solar Fixed'!$B$9:$B$31,0))+$J$48*INDEX('Tariff Page Solar Fixed'!$C$9:$C$31,MATCH($B19,'Tariff Page Solar Fixed'!$B$9:$B$31,0))+$J$49*INDEX('Tariff Page Solar Fixed'!$F$9:$F$31,MATCH($B19,'Tariff Page Solar Fixed'!$B$9:$B$31,0))+$J$50*INDEX('Tariff Page Solar Fixed'!$E$9:$E$31,MATCH($B19,'Tariff Page Solar Fixed'!$B$9:$B$31,0)))*10</f>
        <v>40.392240379531259</v>
      </c>
      <c r="J19" s="105">
        <f>($J$47*INDEX('[20]Tariff Page Solar Fixed'!$D$10:$D$30,MATCH($B19,'[20]Tariff Page Solar Fixed'!$B$10:$B$30,0))+$J$48*INDEX('[20]Tariff Page Solar Fixed'!$C$10:$C$30,MATCH($B19,'[20]Tariff Page Solar Fixed'!$B$10:$B$30,0))+$J$49*INDEX('[20]Tariff Page Solar Fixed'!$F$10:$F$30,MATCH($B19,'[20]Tariff Page Solar Fixed'!$B$10:$B$30,0))+$J$50*INDEX('[20]Tariff Page Solar Fixed'!$E$10:$E$30,MATCH($B19,'[20]Tariff Page Solar Fixed'!$B$10:$B$30,0)))*10</f>
        <v>33.215019001383943</v>
      </c>
      <c r="K19" s="106">
        <f t="shared" si="2"/>
        <v>7.1772213781473155</v>
      </c>
      <c r="L19" s="107">
        <f>($M$47*INDEX('Tariff Page Solar Tracking'!$D$9:$D$31,MATCH($B19,'Tariff Page Solar Tracking'!$B$9:$B$31,0))+$M$48*INDEX('Tariff Page Solar Tracking'!$C$9:$C$31,MATCH($B19,'Tariff Page Solar Tracking'!$B$9:$B$31,0))+$M$49*INDEX('Tariff Page Solar Tracking'!$F$9:$F$31,MATCH($B19,'Tariff Page Solar Tracking'!$B$9:$B$31,0))+$M$50*INDEX('Tariff Page Solar Tracking'!$E$9:$E$31,MATCH($B19,'Tariff Page Solar Tracking'!$B$9:$B$31,0)))*10</f>
        <v>38.354557606622343</v>
      </c>
      <c r="M19" s="105">
        <f>($M$47*INDEX('[20]Tariff Page Solar Tracking'!$D$10:$D$30,MATCH($B19,'[20]Tariff Page Solar Tracking'!$B$10:$B$30,0))+$M$48*INDEX('[20]Tariff Page Solar Tracking'!$C$10:$C$30,MATCH($B19,'[20]Tariff Page Solar Tracking'!$B$10:$B$30,0))+$M$49*INDEX('[20]Tariff Page Solar Tracking'!$F$10:$F$30,MATCH($B19,'[20]Tariff Page Solar Tracking'!$B$10:$B$30,0))+$M$50*INDEX('[20]Tariff Page Solar Tracking'!$E$10:$E$30,MATCH($B19,'[20]Tariff Page Solar Tracking'!$B$10:$B$30,0)))*10</f>
        <v>31.013280096193917</v>
      </c>
      <c r="N19" s="217">
        <f t="shared" si="3"/>
        <v>7.3412775104284265</v>
      </c>
      <c r="S19"/>
    </row>
    <row r="20" spans="2:19" x14ac:dyDescent="0.2">
      <c r="B20" s="166">
        <f t="shared" si="4"/>
        <v>2031</v>
      </c>
      <c r="C20" s="105">
        <f>($D$47*INDEX('Tariff Page'!$D$9:$D$30,MATCH($B20,'Tariff Page'!$B$9:$B$30,0))+$D$48*INDEX('Tariff Page'!$C$9:$C$30,MATCH($B20,'Tariff Page'!$B$9:$B$30,0))+$D$49*INDEX('Tariff Page'!$F$9:$F$30,MATCH($B20,'Tariff Page'!$B$9:$B$30,0))+$D$50*INDEX('Tariff Page'!$E$9:$E$30,MATCH($B20,'Tariff Page'!$B$9:$B$30,0)))*10</f>
        <v>61.762745205720471</v>
      </c>
      <c r="D20" s="105">
        <f>($D$47*INDEX('[20]Tariff Page'!$D$10:$D$30,MATCH($B20,'[20]Tariff Page'!$B$10:$B$30,0))+$D$48*INDEX('[20]Tariff Page'!$C$10:$C$30,MATCH($B20,'[20]Tariff Page'!$B$10:$B$30,0))+$D$49*INDEX('[20]Tariff Page'!$F$10:$F$30,MATCH($B20,'[20]Tariff Page'!$B$10:$B$30,0))+$D$50*INDEX('[20]Tariff Page'!$E$10:$E$30,MATCH($B20,'[20]Tariff Page'!$B$10:$B$30,0)))*10</f>
        <v>45.154236723071563</v>
      </c>
      <c r="E20" s="106">
        <f t="shared" si="0"/>
        <v>16.608508482648908</v>
      </c>
      <c r="F20" s="107">
        <f>($G$47*INDEX('Tariff Page Wind'!$D$9:$D$32,MATCH($B20,'Tariff Page Wind'!$B$9:$B$32,0))+$G$48*INDEX('Tariff Page Wind'!$C$9:$C$32,MATCH($B20,'Tariff Page Wind'!$B$9:$B$32,0))+$G$49*INDEX('Tariff Page Wind'!$F$9:$F$32,MATCH($B20,'Tariff Page Wind'!$B$9:$B$32,0))+$G$50*INDEX('Tariff Page Wind'!$E$9:$E$32,MATCH($B20,'Tariff Page Wind'!$B$9:$B$32,0)))*10</f>
        <v>40.899554846653601</v>
      </c>
      <c r="G20" s="105">
        <f>($G$47*INDEX('[20]Tariff Page Wind'!$D$10:$D$30,MATCH($B20,'[20]Tariff Page Wind'!$B$10:$B$30,0))+$G$48*INDEX('[20]Tariff Page Wind'!$C$10:$C$30,MATCH($B20,'[20]Tariff Page Wind'!$B$10:$B$30,0))+$G$49*INDEX('[20]Tariff Page Wind'!$F$10:$F$30,MATCH($B20,'[20]Tariff Page Wind'!$B$10:$B$30,0))+$G$50*INDEX('[20]Tariff Page Wind'!$E$10:$E$30,MATCH($B20,'[20]Tariff Page Wind'!$B$10:$B$30,0)))*10</f>
        <v>36.386424374708412</v>
      </c>
      <c r="H20" s="106">
        <f t="shared" si="1"/>
        <v>4.513130471945189</v>
      </c>
      <c r="I20" s="107">
        <f>($J$47*INDEX('Tariff Page Solar Fixed'!$D$9:$D$31,MATCH($B20,'Tariff Page Solar Fixed'!$B$9:$B$31,0))+$J$48*INDEX('Tariff Page Solar Fixed'!$C$9:$C$31,MATCH($B20,'Tariff Page Solar Fixed'!$B$9:$B$31,0))+$J$49*INDEX('Tariff Page Solar Fixed'!$F$9:$F$31,MATCH($B20,'Tariff Page Solar Fixed'!$B$9:$B$31,0))+$J$50*INDEX('Tariff Page Solar Fixed'!$E$9:$E$31,MATCH($B20,'Tariff Page Solar Fixed'!$B$9:$B$31,0)))*10</f>
        <v>41.148211814581508</v>
      </c>
      <c r="J20" s="105">
        <f>($J$47*INDEX('[20]Tariff Page Solar Fixed'!$D$10:$D$30,MATCH($B20,'[20]Tariff Page Solar Fixed'!$B$10:$B$30,0))+$J$48*INDEX('[20]Tariff Page Solar Fixed'!$C$10:$C$30,MATCH($B20,'[20]Tariff Page Solar Fixed'!$B$10:$B$30,0))+$J$49*INDEX('[20]Tariff Page Solar Fixed'!$F$10:$F$30,MATCH($B20,'[20]Tariff Page Solar Fixed'!$B$10:$B$30,0))+$J$50*INDEX('[20]Tariff Page Solar Fixed'!$E$10:$E$30,MATCH($B20,'[20]Tariff Page Solar Fixed'!$B$10:$B$30,0)))*10</f>
        <v>34.551710353754252</v>
      </c>
      <c r="K20" s="106">
        <f t="shared" si="2"/>
        <v>6.5965014608272554</v>
      </c>
      <c r="L20" s="107">
        <f>($M$47*INDEX('Tariff Page Solar Tracking'!$D$9:$D$31,MATCH($B20,'Tariff Page Solar Tracking'!$B$9:$B$31,0))+$M$48*INDEX('Tariff Page Solar Tracking'!$C$9:$C$31,MATCH($B20,'Tariff Page Solar Tracking'!$B$9:$B$31,0))+$M$49*INDEX('Tariff Page Solar Tracking'!$F$9:$F$31,MATCH($B20,'Tariff Page Solar Tracking'!$B$9:$B$31,0))+$M$50*INDEX('Tariff Page Solar Tracking'!$E$9:$E$31,MATCH($B20,'Tariff Page Solar Tracking'!$B$9:$B$31,0)))*10</f>
        <v>38.749303529783845</v>
      </c>
      <c r="M20" s="105">
        <f>($M$47*INDEX('[20]Tariff Page Solar Tracking'!$D$10:$D$30,MATCH($B20,'[20]Tariff Page Solar Tracking'!$B$10:$B$30,0))+$M$48*INDEX('[20]Tariff Page Solar Tracking'!$C$10:$C$30,MATCH($B20,'[20]Tariff Page Solar Tracking'!$B$10:$B$30,0))+$M$49*INDEX('[20]Tariff Page Solar Tracking'!$F$10:$F$30,MATCH($B20,'[20]Tariff Page Solar Tracking'!$B$10:$B$30,0))+$M$50*INDEX('[20]Tariff Page Solar Tracking'!$E$10:$E$30,MATCH($B20,'[20]Tariff Page Solar Tracking'!$B$10:$B$30,0)))*10</f>
        <v>32.034978240383587</v>
      </c>
      <c r="N20" s="217">
        <f t="shared" si="3"/>
        <v>6.7143252894002572</v>
      </c>
      <c r="S20"/>
    </row>
    <row r="21" spans="2:19" x14ac:dyDescent="0.2">
      <c r="B21" s="166">
        <f t="shared" si="4"/>
        <v>2032</v>
      </c>
      <c r="C21" s="105">
        <f>($D$47*INDEX('Tariff Page'!$D$9:$D$30,MATCH($B21,'Tariff Page'!$B$9:$B$30,0))+$D$48*INDEX('Tariff Page'!$C$9:$C$30,MATCH($B21,'Tariff Page'!$B$9:$B$30,0))+$D$49*INDEX('Tariff Page'!$F$9:$F$30,MATCH($B21,'Tariff Page'!$B$9:$B$30,0))+$D$50*INDEX('Tariff Page'!$E$9:$E$30,MATCH($B21,'Tariff Page'!$B$9:$B$30,0)))*10</f>
        <v>59.442274705494953</v>
      </c>
      <c r="D21" s="105">
        <f>($D$47*INDEX('[20]Tariff Page'!$D$10:$D$30,MATCH($B21,'[20]Tariff Page'!$B$10:$B$30,0))+$D$48*INDEX('[20]Tariff Page'!$C$10:$C$30,MATCH($B21,'[20]Tariff Page'!$B$10:$B$30,0))+$D$49*INDEX('[20]Tariff Page'!$F$10:$F$30,MATCH($B21,'[20]Tariff Page'!$B$10:$B$30,0))+$D$50*INDEX('[20]Tariff Page'!$E$10:$E$30,MATCH($B21,'[20]Tariff Page'!$B$10:$B$30,0)))*10</f>
        <v>43.435682094998427</v>
      </c>
      <c r="E21" s="106">
        <f t="shared" si="0"/>
        <v>16.006592610496526</v>
      </c>
      <c r="F21" s="107">
        <f>($G$47*INDEX('Tariff Page Wind'!$D$9:$D$32,MATCH($B21,'Tariff Page Wind'!$B$9:$B$32,0))+$G$48*INDEX('Tariff Page Wind'!$C$9:$C$32,MATCH($B21,'Tariff Page Wind'!$B$9:$B$32,0))+$G$49*INDEX('Tariff Page Wind'!$F$9:$F$32,MATCH($B21,'Tariff Page Wind'!$B$9:$B$32,0))+$G$50*INDEX('Tariff Page Wind'!$E$9:$E$32,MATCH($B21,'Tariff Page Wind'!$B$9:$B$32,0)))*10</f>
        <v>38.700267184609018</v>
      </c>
      <c r="G21" s="105">
        <f>($G$47*INDEX('[20]Tariff Page Wind'!$D$10:$D$30,MATCH($B21,'[20]Tariff Page Wind'!$B$10:$B$30,0))+$G$48*INDEX('[20]Tariff Page Wind'!$C$10:$C$30,MATCH($B21,'[20]Tariff Page Wind'!$B$10:$B$30,0))+$G$49*INDEX('[20]Tariff Page Wind'!$F$10:$F$30,MATCH($B21,'[20]Tariff Page Wind'!$B$10:$B$30,0))+$G$50*INDEX('[20]Tariff Page Wind'!$E$10:$E$30,MATCH($B21,'[20]Tariff Page Wind'!$B$10:$B$30,0)))*10</f>
        <v>34.832641127473131</v>
      </c>
      <c r="H21" s="106">
        <f t="shared" si="1"/>
        <v>3.8676260571358867</v>
      </c>
      <c r="I21" s="107">
        <f>($J$47*INDEX('Tariff Page Solar Fixed'!$D$9:$D$31,MATCH($B21,'Tariff Page Solar Fixed'!$B$9:$B$31,0))+$J$48*INDEX('Tariff Page Solar Fixed'!$C$9:$C$31,MATCH($B21,'Tariff Page Solar Fixed'!$B$9:$B$31,0))+$J$49*INDEX('Tariff Page Solar Fixed'!$F$9:$F$31,MATCH($B21,'Tariff Page Solar Fixed'!$B$9:$B$31,0))+$J$50*INDEX('Tariff Page Solar Fixed'!$E$9:$E$31,MATCH($B21,'Tariff Page Solar Fixed'!$B$9:$B$31,0)))*10</f>
        <v>36.655267774260835</v>
      </c>
      <c r="J21" s="105">
        <f>($J$47*INDEX('[20]Tariff Page Solar Fixed'!$D$10:$D$30,MATCH($B21,'[20]Tariff Page Solar Fixed'!$B$10:$B$30,0))+$J$48*INDEX('[20]Tariff Page Solar Fixed'!$C$10:$C$30,MATCH($B21,'[20]Tariff Page Solar Fixed'!$B$10:$B$30,0))+$J$49*INDEX('[20]Tariff Page Solar Fixed'!$F$10:$F$30,MATCH($B21,'[20]Tariff Page Solar Fixed'!$B$10:$B$30,0))+$J$50*INDEX('[20]Tariff Page Solar Fixed'!$E$10:$E$30,MATCH($B21,'[20]Tariff Page Solar Fixed'!$B$10:$B$30,0)))*10</f>
        <v>30.300850826895697</v>
      </c>
      <c r="K21" s="106">
        <f t="shared" si="2"/>
        <v>6.354416947365138</v>
      </c>
      <c r="L21" s="107">
        <f>($M$47*INDEX('Tariff Page Solar Tracking'!$D$9:$D$31,MATCH($B21,'Tariff Page Solar Tracking'!$B$9:$B$31,0))+$M$48*INDEX('Tariff Page Solar Tracking'!$C$9:$C$31,MATCH($B21,'Tariff Page Solar Tracking'!$B$9:$B$31,0))+$M$49*INDEX('Tariff Page Solar Tracking'!$F$9:$F$31,MATCH($B21,'Tariff Page Solar Tracking'!$B$9:$B$31,0))+$M$50*INDEX('Tariff Page Solar Tracking'!$E$9:$E$31,MATCH($B21,'Tariff Page Solar Tracking'!$B$9:$B$31,0)))*10</f>
        <v>34.080697935764086</v>
      </c>
      <c r="M21" s="105">
        <f>($M$47*INDEX('[20]Tariff Page Solar Tracking'!$D$10:$D$30,MATCH($B21,'[20]Tariff Page Solar Tracking'!$B$10:$B$30,0))+$M$48*INDEX('[20]Tariff Page Solar Tracking'!$C$10:$C$30,MATCH($B21,'[20]Tariff Page Solar Tracking'!$B$10:$B$30,0))+$M$49*INDEX('[20]Tariff Page Solar Tracking'!$F$10:$F$30,MATCH($B21,'[20]Tariff Page Solar Tracking'!$B$10:$B$30,0))+$M$50*INDEX('[20]Tariff Page Solar Tracking'!$E$10:$E$30,MATCH($B21,'[20]Tariff Page Solar Tracking'!$B$10:$B$30,0)))*10</f>
        <v>27.461817960944259</v>
      </c>
      <c r="N21" s="217">
        <f t="shared" si="3"/>
        <v>6.6188799748198264</v>
      </c>
      <c r="S21"/>
    </row>
    <row r="22" spans="2:19" x14ac:dyDescent="0.2">
      <c r="B22" s="166">
        <f t="shared" si="4"/>
        <v>2033</v>
      </c>
      <c r="C22" s="105">
        <f>($D$47*INDEX('Tariff Page'!$D$9:$D$30,MATCH($B22,'Tariff Page'!$B$9:$B$30,0))+$D$48*INDEX('Tariff Page'!$C$9:$C$30,MATCH($B22,'Tariff Page'!$B$9:$B$30,0))+$D$49*INDEX('Tariff Page'!$F$9:$F$30,MATCH($B22,'Tariff Page'!$B$9:$B$30,0))+$D$50*INDEX('Tariff Page'!$E$9:$E$30,MATCH($B22,'Tariff Page'!$B$9:$B$30,0)))*10</f>
        <v>54.372392955512737</v>
      </c>
      <c r="D22" s="105">
        <f>($D$47*INDEX('[20]Tariff Page'!$D$10:$D$30,MATCH($B22,'[20]Tariff Page'!$B$10:$B$30,0))+$D$48*INDEX('[20]Tariff Page'!$C$10:$C$30,MATCH($B22,'[20]Tariff Page'!$B$10:$B$30,0))+$D$49*INDEX('[20]Tariff Page'!$F$10:$F$30,MATCH($B22,'[20]Tariff Page'!$B$10:$B$30,0))+$D$50*INDEX('[20]Tariff Page'!$E$10:$E$30,MATCH($B22,'[20]Tariff Page'!$B$10:$B$30,0)))*10</f>
        <v>44.687084801692649</v>
      </c>
      <c r="E22" s="106">
        <f t="shared" si="0"/>
        <v>9.6853081538200883</v>
      </c>
      <c r="F22" s="107">
        <f>($G$47*INDEX('Tariff Page Wind'!$D$9:$D$32,MATCH($B22,'Tariff Page Wind'!$B$9:$B$32,0))+$G$48*INDEX('Tariff Page Wind'!$C$9:$C$32,MATCH($B22,'Tariff Page Wind'!$B$9:$B$32,0))+$G$49*INDEX('Tariff Page Wind'!$F$9:$F$32,MATCH($B22,'Tariff Page Wind'!$B$9:$B$32,0))+$G$50*INDEX('Tariff Page Wind'!$E$9:$E$32,MATCH($B22,'Tariff Page Wind'!$B$9:$B$32,0)))*10</f>
        <v>38.083609730305355</v>
      </c>
      <c r="G22" s="105">
        <f>($G$47*INDEX('[20]Tariff Page Wind'!$D$10:$D$30,MATCH($B22,'[20]Tariff Page Wind'!$B$10:$B$30,0))+$G$48*INDEX('[20]Tariff Page Wind'!$C$10:$C$30,MATCH($B22,'[20]Tariff Page Wind'!$B$10:$B$30,0))+$G$49*INDEX('[20]Tariff Page Wind'!$F$10:$F$30,MATCH($B22,'[20]Tariff Page Wind'!$B$10:$B$30,0))+$G$50*INDEX('[20]Tariff Page Wind'!$E$10:$E$30,MATCH($B22,'[20]Tariff Page Wind'!$B$10:$B$30,0)))*10</f>
        <v>36.656519382865142</v>
      </c>
      <c r="H22" s="106">
        <f t="shared" si="1"/>
        <v>1.4270903474402132</v>
      </c>
      <c r="I22" s="107">
        <f>($J$47*INDEX('Tariff Page Solar Fixed'!$D$9:$D$31,MATCH($B22,'Tariff Page Solar Fixed'!$B$9:$B$31,0))+$J$48*INDEX('Tariff Page Solar Fixed'!$C$9:$C$31,MATCH($B22,'Tariff Page Solar Fixed'!$B$9:$B$31,0))+$J$49*INDEX('Tariff Page Solar Fixed'!$F$9:$F$31,MATCH($B22,'Tariff Page Solar Fixed'!$B$9:$B$31,0))+$J$50*INDEX('Tariff Page Solar Fixed'!$E$9:$E$31,MATCH($B22,'Tariff Page Solar Fixed'!$B$9:$B$31,0)))*10</f>
        <v>39.206272553444023</v>
      </c>
      <c r="J22" s="105">
        <f>($J$47*INDEX('[20]Tariff Page Solar Fixed'!$D$10:$D$30,MATCH($B22,'[20]Tariff Page Solar Fixed'!$B$10:$B$30,0))+$J$48*INDEX('[20]Tariff Page Solar Fixed'!$C$10:$C$30,MATCH($B22,'[20]Tariff Page Solar Fixed'!$B$10:$B$30,0))+$J$49*INDEX('[20]Tariff Page Solar Fixed'!$F$10:$F$30,MATCH($B22,'[20]Tariff Page Solar Fixed'!$B$10:$B$30,0))+$J$50*INDEX('[20]Tariff Page Solar Fixed'!$E$10:$E$30,MATCH($B22,'[20]Tariff Page Solar Fixed'!$B$10:$B$30,0)))*10</f>
        <v>34.206813150641999</v>
      </c>
      <c r="K22" s="106">
        <f t="shared" si="2"/>
        <v>4.9994594028020245</v>
      </c>
      <c r="L22" s="107">
        <f>($M$47*INDEX('Tariff Page Solar Tracking'!$D$9:$D$31,MATCH($B22,'Tariff Page Solar Tracking'!$B$9:$B$31,0))+$M$48*INDEX('Tariff Page Solar Tracking'!$C$9:$C$31,MATCH($B22,'Tariff Page Solar Tracking'!$B$9:$B$31,0))+$M$49*INDEX('Tariff Page Solar Tracking'!$F$9:$F$31,MATCH($B22,'Tariff Page Solar Tracking'!$B$9:$B$31,0))+$M$50*INDEX('Tariff Page Solar Tracking'!$E$9:$E$31,MATCH($B22,'Tariff Page Solar Tracking'!$B$9:$B$31,0)))*10</f>
        <v>36.617260384428356</v>
      </c>
      <c r="M22" s="105">
        <f>($M$47*INDEX('[20]Tariff Page Solar Tracking'!$D$10:$D$30,MATCH($B22,'[20]Tariff Page Solar Tracking'!$B$10:$B$30,0))+$M$48*INDEX('[20]Tariff Page Solar Tracking'!$C$10:$C$30,MATCH($B22,'[20]Tariff Page Solar Tracking'!$B$10:$B$30,0))+$M$49*INDEX('[20]Tariff Page Solar Tracking'!$F$10:$F$30,MATCH($B22,'[20]Tariff Page Solar Tracking'!$B$10:$B$30,0))+$M$50*INDEX('[20]Tariff Page Solar Tracking'!$E$10:$E$30,MATCH($B22,'[20]Tariff Page Solar Tracking'!$B$10:$B$30,0)))*10</f>
        <v>31.277460015897969</v>
      </c>
      <c r="N22" s="217">
        <f t="shared" si="3"/>
        <v>5.339800368530387</v>
      </c>
      <c r="S22"/>
    </row>
    <row r="23" spans="2:19" x14ac:dyDescent="0.2">
      <c r="B23" s="166">
        <f t="shared" si="4"/>
        <v>2034</v>
      </c>
      <c r="C23" s="105">
        <f>($D$47*INDEX('Tariff Page'!$D$9:$D$30,MATCH($B23,'Tariff Page'!$B$9:$B$30,0))+$D$48*INDEX('Tariff Page'!$C$9:$C$30,MATCH($B23,'Tariff Page'!$B$9:$B$30,0))+$D$49*INDEX('Tariff Page'!$F$9:$F$30,MATCH($B23,'Tariff Page'!$B$9:$B$30,0))+$D$50*INDEX('Tariff Page'!$E$9:$E$30,MATCH($B23,'Tariff Page'!$B$9:$B$30,0)))*10</f>
        <v>55.084276450195645</v>
      </c>
      <c r="D23" s="105">
        <f>($D$47*INDEX('[20]Tariff Page'!$D$10:$D$30,MATCH($B23,'[20]Tariff Page'!$B$10:$B$30,0))+$D$48*INDEX('[20]Tariff Page'!$C$10:$C$30,MATCH($B23,'[20]Tariff Page'!$B$10:$B$30,0))+$D$49*INDEX('[20]Tariff Page'!$F$10:$F$30,MATCH($B23,'[20]Tariff Page'!$B$10:$B$30,0))+$D$50*INDEX('[20]Tariff Page'!$E$10:$E$30,MATCH($B23,'[20]Tariff Page'!$B$10:$B$30,0)))*10</f>
        <v>46.247969522990147</v>
      </c>
      <c r="E23" s="106">
        <f t="shared" si="0"/>
        <v>8.8363069272054986</v>
      </c>
      <c r="F23" s="107">
        <f>($G$47*INDEX('Tariff Page Wind'!$D$9:$D$32,MATCH($B23,'Tariff Page Wind'!$B$9:$B$32,0))+$G$48*INDEX('Tariff Page Wind'!$C$9:$C$32,MATCH($B23,'Tariff Page Wind'!$B$9:$B$32,0))+$G$49*INDEX('Tariff Page Wind'!$F$9:$F$32,MATCH($B23,'Tariff Page Wind'!$B$9:$B$32,0))+$G$50*INDEX('Tariff Page Wind'!$E$9:$E$32,MATCH($B23,'Tariff Page Wind'!$B$9:$B$32,0)))*10</f>
        <v>38.453093837716906</v>
      </c>
      <c r="G23" s="105">
        <f>($G$47*INDEX('[20]Tariff Page Wind'!$D$10:$D$30,MATCH($B23,'[20]Tariff Page Wind'!$B$10:$B$30,0))+$G$48*INDEX('[20]Tariff Page Wind'!$C$10:$C$30,MATCH($B23,'[20]Tariff Page Wind'!$B$10:$B$30,0))+$G$49*INDEX('[20]Tariff Page Wind'!$F$10:$F$30,MATCH($B23,'[20]Tariff Page Wind'!$B$10:$B$30,0))+$G$50*INDEX('[20]Tariff Page Wind'!$E$10:$E$30,MATCH($B23,'[20]Tariff Page Wind'!$B$10:$B$30,0)))*10</f>
        <v>37.577660864880571</v>
      </c>
      <c r="H23" s="106">
        <f t="shared" si="1"/>
        <v>0.87543297283633592</v>
      </c>
      <c r="I23" s="107">
        <f>($J$47*INDEX('Tariff Page Solar Fixed'!$D$9:$D$31,MATCH($B23,'Tariff Page Solar Fixed'!$B$9:$B$31,0))+$J$48*INDEX('Tariff Page Solar Fixed'!$C$9:$C$31,MATCH($B23,'Tariff Page Solar Fixed'!$B$9:$B$31,0))+$J$49*INDEX('Tariff Page Solar Fixed'!$F$9:$F$31,MATCH($B23,'Tariff Page Solar Fixed'!$B$9:$B$31,0))+$J$50*INDEX('Tariff Page Solar Fixed'!$E$9:$E$31,MATCH($B23,'Tariff Page Solar Fixed'!$B$9:$B$31,0)))*10</f>
        <v>40.754399100067182</v>
      </c>
      <c r="J23" s="105">
        <f>($J$47*INDEX('[20]Tariff Page Solar Fixed'!$D$10:$D$30,MATCH($B23,'[20]Tariff Page Solar Fixed'!$B$10:$B$30,0))+$J$48*INDEX('[20]Tariff Page Solar Fixed'!$C$10:$C$30,MATCH($B23,'[20]Tariff Page Solar Fixed'!$B$10:$B$30,0))+$J$49*INDEX('[20]Tariff Page Solar Fixed'!$F$10:$F$30,MATCH($B23,'[20]Tariff Page Solar Fixed'!$B$10:$B$30,0))+$J$50*INDEX('[20]Tariff Page Solar Fixed'!$E$10:$E$30,MATCH($B23,'[20]Tariff Page Solar Fixed'!$B$10:$B$30,0)))*10</f>
        <v>35.246791657961978</v>
      </c>
      <c r="K23" s="106">
        <f t="shared" si="2"/>
        <v>5.5076074421052041</v>
      </c>
      <c r="L23" s="107">
        <f>($M$47*INDEX('Tariff Page Solar Tracking'!$D$9:$D$31,MATCH($B23,'Tariff Page Solar Tracking'!$B$9:$B$31,0))+$M$48*INDEX('Tariff Page Solar Tracking'!$C$9:$C$31,MATCH($B23,'Tariff Page Solar Tracking'!$B$9:$B$31,0))+$M$49*INDEX('Tariff Page Solar Tracking'!$F$9:$F$31,MATCH($B23,'Tariff Page Solar Tracking'!$B$9:$B$31,0))+$M$50*INDEX('Tariff Page Solar Tracking'!$E$9:$E$31,MATCH($B23,'Tariff Page Solar Tracking'!$B$9:$B$31,0)))*10</f>
        <v>38.384656259304947</v>
      </c>
      <c r="M23" s="105">
        <f>($M$47*INDEX('[20]Tariff Page Solar Tracking'!$D$10:$D$30,MATCH($B23,'[20]Tariff Page Solar Tracking'!$B$10:$B$30,0))+$M$48*INDEX('[20]Tariff Page Solar Tracking'!$C$10:$C$30,MATCH($B23,'[20]Tariff Page Solar Tracking'!$B$10:$B$30,0))+$M$49*INDEX('[20]Tariff Page Solar Tracking'!$F$10:$F$30,MATCH($B23,'[20]Tariff Page Solar Tracking'!$B$10:$B$30,0))+$M$50*INDEX('[20]Tariff Page Solar Tracking'!$E$10:$E$30,MATCH($B23,'[20]Tariff Page Solar Tracking'!$B$10:$B$30,0)))*10</f>
        <v>32.363889494611946</v>
      </c>
      <c r="N23" s="217">
        <f t="shared" si="3"/>
        <v>6.0207667646930005</v>
      </c>
      <c r="S23"/>
    </row>
    <row r="24" spans="2:19" x14ac:dyDescent="0.2">
      <c r="B24" s="166">
        <f t="shared" si="4"/>
        <v>2035</v>
      </c>
      <c r="C24" s="105">
        <f>($D$47*INDEX('Tariff Page'!$D$9:$D$30,MATCH($B24,'Tariff Page'!$B$9:$B$30,0))+$D$48*INDEX('Tariff Page'!$C$9:$C$30,MATCH($B24,'Tariff Page'!$B$9:$B$30,0))+$D$49*INDEX('Tariff Page'!$F$9:$F$30,MATCH($B24,'Tariff Page'!$B$9:$B$30,0))+$D$50*INDEX('Tariff Page'!$E$9:$E$30,MATCH($B24,'Tariff Page'!$B$9:$B$30,0)))*10</f>
        <v>56.531851140480342</v>
      </c>
      <c r="D24" s="105">
        <f>($D$47*INDEX('[20]Tariff Page'!$D$10:$D$30,MATCH($B24,'[20]Tariff Page'!$B$10:$B$30,0))+$D$48*INDEX('[20]Tariff Page'!$C$10:$C$30,MATCH($B24,'[20]Tariff Page'!$B$10:$B$30,0))+$D$49*INDEX('[20]Tariff Page'!$F$10:$F$30,MATCH($B24,'[20]Tariff Page'!$B$10:$B$30,0))+$D$50*INDEX('[20]Tariff Page'!$E$10:$E$30,MATCH($B24,'[20]Tariff Page'!$B$10:$B$30,0)))*10</f>
        <v>47.812016672267028</v>
      </c>
      <c r="E24" s="106">
        <f t="shared" si="0"/>
        <v>8.719834468213314</v>
      </c>
      <c r="F24" s="107">
        <f>($G$47*INDEX('Tariff Page Wind'!$D$9:$D$32,MATCH($B24,'Tariff Page Wind'!$B$9:$B$32,0))+$G$48*INDEX('Tariff Page Wind'!$C$9:$C$32,MATCH($B24,'Tariff Page Wind'!$B$9:$B$32,0))+$G$49*INDEX('Tariff Page Wind'!$F$9:$F$32,MATCH($B24,'Tariff Page Wind'!$B$9:$B$32,0))+$G$50*INDEX('Tariff Page Wind'!$E$9:$E$32,MATCH($B24,'Tariff Page Wind'!$B$9:$B$32,0)))*10</f>
        <v>39.991680108718761</v>
      </c>
      <c r="G24" s="105">
        <f>($G$47*INDEX('[20]Tariff Page Wind'!$D$10:$D$30,MATCH($B24,'[20]Tariff Page Wind'!$B$10:$B$30,0))+$G$48*INDEX('[20]Tariff Page Wind'!$C$10:$C$30,MATCH($B24,'[20]Tariff Page Wind'!$B$10:$B$30,0))+$G$49*INDEX('[20]Tariff Page Wind'!$F$10:$F$30,MATCH($B24,'[20]Tariff Page Wind'!$B$10:$B$30,0))+$G$50*INDEX('[20]Tariff Page Wind'!$E$10:$E$30,MATCH($B24,'[20]Tariff Page Wind'!$B$10:$B$30,0)))*10</f>
        <v>38.371575855909128</v>
      </c>
      <c r="H24" s="106">
        <f t="shared" si="1"/>
        <v>1.6201042528096323</v>
      </c>
      <c r="I24" s="107">
        <f>($J$47*INDEX('Tariff Page Solar Fixed'!$D$9:$D$31,MATCH($B24,'Tariff Page Solar Fixed'!$B$9:$B$31,0))+$J$48*INDEX('Tariff Page Solar Fixed'!$C$9:$C$31,MATCH($B24,'Tariff Page Solar Fixed'!$B$9:$B$31,0))+$J$49*INDEX('Tariff Page Solar Fixed'!$F$9:$F$31,MATCH($B24,'Tariff Page Solar Fixed'!$B$9:$B$31,0))+$J$50*INDEX('Tariff Page Solar Fixed'!$E$9:$E$31,MATCH($B24,'Tariff Page Solar Fixed'!$B$9:$B$31,0)))*10</f>
        <v>42.379571271208462</v>
      </c>
      <c r="J24" s="105">
        <f>($J$47*INDEX('[20]Tariff Page Solar Fixed'!$D$10:$D$30,MATCH($B24,'[20]Tariff Page Solar Fixed'!$B$10:$B$30,0))+$J$48*INDEX('[20]Tariff Page Solar Fixed'!$C$10:$C$30,MATCH($B24,'[20]Tariff Page Solar Fixed'!$B$10:$B$30,0))+$J$49*INDEX('[20]Tariff Page Solar Fixed'!$F$10:$F$30,MATCH($B24,'[20]Tariff Page Solar Fixed'!$B$10:$B$30,0))+$J$50*INDEX('[20]Tariff Page Solar Fixed'!$E$10:$E$30,MATCH($B24,'[20]Tariff Page Solar Fixed'!$B$10:$B$30,0)))*10</f>
        <v>36.33026733179782</v>
      </c>
      <c r="K24" s="106">
        <f t="shared" si="2"/>
        <v>6.0493039394106418</v>
      </c>
      <c r="L24" s="107">
        <f>($M$47*INDEX('Tariff Page Solar Tracking'!$D$9:$D$31,MATCH($B24,'Tariff Page Solar Tracking'!$B$9:$B$31,0))+$M$48*INDEX('Tariff Page Solar Tracking'!$C$9:$C$31,MATCH($B24,'Tariff Page Solar Tracking'!$B$9:$B$31,0))+$M$49*INDEX('Tariff Page Solar Tracking'!$F$9:$F$31,MATCH($B24,'Tariff Page Solar Tracking'!$B$9:$B$31,0))+$M$50*INDEX('Tariff Page Solar Tracking'!$E$9:$E$31,MATCH($B24,'Tariff Page Solar Tracking'!$B$9:$B$31,0)))*10</f>
        <v>39.650582192309599</v>
      </c>
      <c r="M24" s="105">
        <f>($M$47*INDEX('[20]Tariff Page Solar Tracking'!$D$10:$D$30,MATCH($B24,'[20]Tariff Page Solar Tracking'!$B$10:$B$30,0))+$M$48*INDEX('[20]Tariff Page Solar Tracking'!$C$10:$C$30,MATCH($B24,'[20]Tariff Page Solar Tracking'!$B$10:$B$30,0))+$M$49*INDEX('[20]Tariff Page Solar Tracking'!$F$10:$F$30,MATCH($B24,'[20]Tariff Page Solar Tracking'!$B$10:$B$30,0))+$M$50*INDEX('[20]Tariff Page Solar Tracking'!$E$10:$E$30,MATCH($B24,'[20]Tariff Page Solar Tracking'!$B$10:$B$30,0)))*10</f>
        <v>33.318671727137385</v>
      </c>
      <c r="N24" s="217">
        <f t="shared" si="3"/>
        <v>6.3319104651722142</v>
      </c>
      <c r="P24" s="126"/>
      <c r="S24"/>
    </row>
    <row r="25" spans="2:19" x14ac:dyDescent="0.2">
      <c r="B25" s="166">
        <f t="shared" si="4"/>
        <v>2036</v>
      </c>
      <c r="C25" s="105">
        <f>($D$47*INDEX('Tariff Page'!$D$9:$D$30,MATCH($B25,'Tariff Page'!$B$9:$B$30,0))+$D$48*INDEX('Tariff Page'!$C$9:$C$30,MATCH($B25,'Tariff Page'!$B$9:$B$30,0))+$D$49*INDEX('Tariff Page'!$F$9:$F$30,MATCH($B25,'Tariff Page'!$B$9:$B$30,0))+$D$50*INDEX('Tariff Page'!$E$9:$E$30,MATCH($B25,'Tariff Page'!$B$9:$B$30,0)))*10</f>
        <v>58.638567600282023</v>
      </c>
      <c r="D25" s="105">
        <f>($D$47*INDEX('[20]Tariff Page'!$D$10:$D$30,MATCH($B25,'[20]Tariff Page'!$B$10:$B$30,0))+$D$48*INDEX('[20]Tariff Page'!$C$10:$C$30,MATCH($B25,'[20]Tariff Page'!$B$10:$B$30,0))+$D$49*INDEX('[20]Tariff Page'!$F$10:$F$30,MATCH($B25,'[20]Tariff Page'!$B$10:$B$30,0))+$D$50*INDEX('[20]Tariff Page'!$E$10:$E$30,MATCH($B25,'[20]Tariff Page'!$B$10:$B$30,0)))*10</f>
        <v>49.356589631001867</v>
      </c>
      <c r="E25" s="106">
        <f t="shared" si="0"/>
        <v>9.2819779692801561</v>
      </c>
      <c r="F25" s="107">
        <f>($G$47*INDEX('Tariff Page Wind'!$D$9:$D$32,MATCH($B25,'Tariff Page Wind'!$B$9:$B$32,0))+$G$48*INDEX('Tariff Page Wind'!$C$9:$C$32,MATCH($B25,'Tariff Page Wind'!$B$9:$B$32,0))+$G$49*INDEX('Tariff Page Wind'!$F$9:$F$32,MATCH($B25,'Tariff Page Wind'!$B$9:$B$32,0))+$G$50*INDEX('Tariff Page Wind'!$E$9:$E$32,MATCH($B25,'Tariff Page Wind'!$B$9:$B$32,0)))*10</f>
        <v>56.224061183423366</v>
      </c>
      <c r="G25" s="105">
        <f>($G$47*INDEX('[20]Tariff Page Wind'!$D$10:$D$30,MATCH($B25,'[20]Tariff Page Wind'!$B$10:$B$30,0))+$G$48*INDEX('[20]Tariff Page Wind'!$C$10:$C$30,MATCH($B25,'[20]Tariff Page Wind'!$B$10:$B$30,0))+$G$49*INDEX('[20]Tariff Page Wind'!$F$10:$F$30,MATCH($B25,'[20]Tariff Page Wind'!$B$10:$B$30,0))+$G$50*INDEX('[20]Tariff Page Wind'!$E$10:$E$30,MATCH($B25,'[20]Tariff Page Wind'!$B$10:$B$30,0)))*10</f>
        <v>55.466552797064935</v>
      </c>
      <c r="H25" s="106">
        <f t="shared" si="1"/>
        <v>0.7575083863584311</v>
      </c>
      <c r="I25" s="107">
        <f>($J$47*INDEX('Tariff Page Solar Fixed'!$D$9:$D$31,MATCH($B25,'Tariff Page Solar Fixed'!$B$9:$B$31,0))+$J$48*INDEX('Tariff Page Solar Fixed'!$C$9:$C$31,MATCH($B25,'Tariff Page Solar Fixed'!$B$9:$B$31,0))+$J$49*INDEX('Tariff Page Solar Fixed'!$F$9:$F$31,MATCH($B25,'Tariff Page Solar Fixed'!$B$9:$B$31,0))+$J$50*INDEX('Tariff Page Solar Fixed'!$E$9:$E$31,MATCH($B25,'Tariff Page Solar Fixed'!$B$9:$B$31,0)))*10</f>
        <v>45.46670374564286</v>
      </c>
      <c r="J25" s="105">
        <f>($J$47*INDEX('[20]Tariff Page Solar Fixed'!$D$10:$D$30,MATCH($B25,'[20]Tariff Page Solar Fixed'!$B$10:$B$30,0))+$J$48*INDEX('[20]Tariff Page Solar Fixed'!$C$10:$C$30,MATCH($B25,'[20]Tariff Page Solar Fixed'!$B$10:$B$30,0))+$J$49*INDEX('[20]Tariff Page Solar Fixed'!$F$10:$F$30,MATCH($B25,'[20]Tariff Page Solar Fixed'!$B$10:$B$30,0))+$J$50*INDEX('[20]Tariff Page Solar Fixed'!$E$10:$E$30,MATCH($B25,'[20]Tariff Page Solar Fixed'!$B$10:$B$30,0)))*10</f>
        <v>38.674561298144383</v>
      </c>
      <c r="K25" s="106">
        <f t="shared" si="2"/>
        <v>6.7921424474984775</v>
      </c>
      <c r="L25" s="107">
        <f>($M$47*INDEX('Tariff Page Solar Tracking'!$D$9:$D$31,MATCH($B25,'Tariff Page Solar Tracking'!$B$9:$B$31,0))+$M$48*INDEX('Tariff Page Solar Tracking'!$C$9:$C$31,MATCH($B25,'Tariff Page Solar Tracking'!$B$9:$B$31,0))+$M$49*INDEX('Tariff Page Solar Tracking'!$F$9:$F$31,MATCH($B25,'Tariff Page Solar Tracking'!$B$9:$B$31,0))+$M$50*INDEX('Tariff Page Solar Tracking'!$E$9:$E$31,MATCH($B25,'Tariff Page Solar Tracking'!$B$9:$B$31,0)))*10</f>
        <v>42.835486659326335</v>
      </c>
      <c r="M25" s="105">
        <f>($M$47*INDEX('[20]Tariff Page Solar Tracking'!$D$10:$D$30,MATCH($B25,'[20]Tariff Page Solar Tracking'!$B$10:$B$30,0))+$M$48*INDEX('[20]Tariff Page Solar Tracking'!$C$10:$C$30,MATCH($B25,'[20]Tariff Page Solar Tracking'!$B$10:$B$30,0))+$M$49*INDEX('[20]Tariff Page Solar Tracking'!$F$10:$F$30,MATCH($B25,'[20]Tariff Page Solar Tracking'!$B$10:$B$30,0))+$M$50*INDEX('[20]Tariff Page Solar Tracking'!$E$10:$E$30,MATCH($B25,'[20]Tariff Page Solar Tracking'!$B$10:$B$30,0)))*10</f>
        <v>35.723375708171794</v>
      </c>
      <c r="N25" s="217">
        <f t="shared" si="3"/>
        <v>7.1121109511545413</v>
      </c>
      <c r="P25" s="126"/>
      <c r="S25"/>
    </row>
    <row r="26" spans="2:19" x14ac:dyDescent="0.2">
      <c r="B26" s="166">
        <f t="shared" si="4"/>
        <v>2037</v>
      </c>
      <c r="C26" s="105">
        <f>($D$47*INDEX('Tariff Page'!$D$9:$D$30,MATCH($B26,'Tariff Page'!$B$9:$B$30,0))+$D$48*INDEX('Tariff Page'!$C$9:$C$30,MATCH($B26,'Tariff Page'!$B$9:$B$30,0))+$D$49*INDEX('Tariff Page'!$F$9:$F$30,MATCH($B26,'Tariff Page'!$B$9:$B$30,0))+$D$50*INDEX('Tariff Page'!$E$9:$E$30,MATCH($B26,'Tariff Page'!$B$9:$B$30,0)))*10</f>
        <v>59.538513807246893</v>
      </c>
      <c r="D26" s="105">
        <f>($D$47*INDEX('[20]Tariff Page'!$D$10:$D$30,MATCH($B26,'[20]Tariff Page'!$B$10:$B$30,0))+$D$48*INDEX('[20]Tariff Page'!$C$10:$C$30,MATCH($B26,'[20]Tariff Page'!$B$10:$B$30,0))+$D$49*INDEX('[20]Tariff Page'!$F$10:$F$30,MATCH($B26,'[20]Tariff Page'!$B$10:$B$30,0))+$D$50*INDEX('[20]Tariff Page'!$E$10:$E$30,MATCH($B26,'[20]Tariff Page'!$B$10:$B$30,0)))*10</f>
        <v>54.523222772615</v>
      </c>
      <c r="E26" s="106">
        <f t="shared" si="0"/>
        <v>5.0152910346318933</v>
      </c>
      <c r="F26" s="107">
        <f>($G$47*INDEX('Tariff Page Wind'!$D$9:$D$32,MATCH($B26,'Tariff Page Wind'!$B$9:$B$32,0))+$G$48*INDEX('Tariff Page Wind'!$C$9:$C$32,MATCH($B26,'Tariff Page Wind'!$B$9:$B$32,0))+$G$49*INDEX('Tariff Page Wind'!$F$9:$F$32,MATCH($B26,'Tariff Page Wind'!$B$9:$B$32,0))+$G$50*INDEX('Tariff Page Wind'!$E$9:$E$32,MATCH($B26,'Tariff Page Wind'!$B$9:$B$32,0)))*10</f>
        <v>56.119242371725676</v>
      </c>
      <c r="G26" s="105">
        <f>($G$47*INDEX('[20]Tariff Page Wind'!$D$10:$D$30,MATCH($B26,'[20]Tariff Page Wind'!$B$10:$B$30,0))+$G$48*INDEX('[20]Tariff Page Wind'!$C$10:$C$30,MATCH($B26,'[20]Tariff Page Wind'!$B$10:$B$30,0))+$G$49*INDEX('[20]Tariff Page Wind'!$F$10:$F$30,MATCH($B26,'[20]Tariff Page Wind'!$B$10:$B$30,0))+$G$50*INDEX('[20]Tariff Page Wind'!$E$10:$E$30,MATCH($B26,'[20]Tariff Page Wind'!$B$10:$B$30,0)))*10</f>
        <v>58.793035020406847</v>
      </c>
      <c r="H26" s="106">
        <f t="shared" si="1"/>
        <v>-2.6737926486811716</v>
      </c>
      <c r="I26" s="107">
        <f>($J$47*INDEX('Tariff Page Solar Fixed'!$D$9:$D$31,MATCH($B26,'Tariff Page Solar Fixed'!$B$9:$B$31,0))+$J$48*INDEX('Tariff Page Solar Fixed'!$C$9:$C$31,MATCH($B26,'Tariff Page Solar Fixed'!$B$9:$B$31,0))+$J$49*INDEX('Tariff Page Solar Fixed'!$F$9:$F$31,MATCH($B26,'Tariff Page Solar Fixed'!$B$9:$B$31,0))+$J$50*INDEX('Tariff Page Solar Fixed'!$E$9:$E$31,MATCH($B26,'Tariff Page Solar Fixed'!$B$9:$B$31,0)))*10</f>
        <v>47.431254611350163</v>
      </c>
      <c r="J26" s="105">
        <f>($J$47*INDEX('[20]Tariff Page Solar Fixed'!$D$10:$D$30,MATCH($B26,'[20]Tariff Page Solar Fixed'!$B$10:$B$30,0))+$J$48*INDEX('[20]Tariff Page Solar Fixed'!$C$10:$C$30,MATCH($B26,'[20]Tariff Page Solar Fixed'!$B$10:$B$30,0))+$J$49*INDEX('[20]Tariff Page Solar Fixed'!$F$10:$F$30,MATCH($B26,'[20]Tariff Page Solar Fixed'!$B$10:$B$30,0))+$J$50*INDEX('[20]Tariff Page Solar Fixed'!$E$10:$E$30,MATCH($B26,'[20]Tariff Page Solar Fixed'!$B$10:$B$30,0)))*10</f>
        <v>41.250237288011213</v>
      </c>
      <c r="K26" s="106">
        <f t="shared" si="2"/>
        <v>6.1810173233389492</v>
      </c>
      <c r="L26" s="107">
        <f>($M$47*INDEX('Tariff Page Solar Tracking'!$D$9:$D$31,MATCH($B26,'Tariff Page Solar Tracking'!$B$9:$B$31,0))+$M$48*INDEX('Tariff Page Solar Tracking'!$C$9:$C$31,MATCH($B26,'Tariff Page Solar Tracking'!$B$9:$B$31,0))+$M$49*INDEX('Tariff Page Solar Tracking'!$F$9:$F$31,MATCH($B26,'Tariff Page Solar Tracking'!$B$9:$B$31,0))+$M$50*INDEX('Tariff Page Solar Tracking'!$E$9:$E$31,MATCH($B26,'Tariff Page Solar Tracking'!$B$9:$B$31,0)))*10</f>
        <v>44.762294230426171</v>
      </c>
      <c r="M26" s="105">
        <f>($M$47*INDEX('[20]Tariff Page Solar Tracking'!$D$10:$D$30,MATCH($B26,'[20]Tariff Page Solar Tracking'!$B$10:$B$30,0))+$M$48*INDEX('[20]Tariff Page Solar Tracking'!$C$10:$C$30,MATCH($B26,'[20]Tariff Page Solar Tracking'!$B$10:$B$30,0))+$M$49*INDEX('[20]Tariff Page Solar Tracking'!$F$10:$F$30,MATCH($B26,'[20]Tariff Page Solar Tracking'!$B$10:$B$30,0))+$M$50*INDEX('[20]Tariff Page Solar Tracking'!$E$10:$E$30,MATCH($B26,'[20]Tariff Page Solar Tracking'!$B$10:$B$30,0)))*10</f>
        <v>38.054680123470661</v>
      </c>
      <c r="N26" s="217">
        <f t="shared" si="3"/>
        <v>6.7076141069555106</v>
      </c>
      <c r="P26" s="126"/>
      <c r="S26"/>
    </row>
    <row r="27" spans="2:19" x14ac:dyDescent="0.2">
      <c r="B27" s="166">
        <f t="shared" si="4"/>
        <v>2038</v>
      </c>
      <c r="C27" s="105">
        <f>($D$47*INDEX('Tariff Page'!$D$9:$D$30,MATCH($B27,'Tariff Page'!$B$9:$B$30,0))+$D$48*INDEX('Tariff Page'!$C$9:$C$30,MATCH($B27,'Tariff Page'!$B$9:$B$30,0))+$D$49*INDEX('Tariff Page'!$F$9:$F$30,MATCH($B27,'Tariff Page'!$B$9:$B$30,0))+$D$50*INDEX('Tariff Page'!$E$9:$E$30,MATCH($B27,'Tariff Page'!$B$9:$B$30,0)))*10</f>
        <v>61.833082192931776</v>
      </c>
      <c r="D27" s="105">
        <f>($D$47*INDEX('[20]Tariff Page'!$D$10:$D$30,MATCH($B27,'[20]Tariff Page'!$B$10:$B$30,0))+$D$48*INDEX('[20]Tariff Page'!$C$10:$C$30,MATCH($B27,'[20]Tariff Page'!$B$10:$B$30,0))+$D$49*INDEX('[20]Tariff Page'!$F$10:$F$30,MATCH($B27,'[20]Tariff Page'!$B$10:$B$30,0))+$D$50*INDEX('[20]Tariff Page'!$E$10:$E$30,MATCH($B27,'[20]Tariff Page'!$B$10:$B$30,0)))*10</f>
        <v>54.853484663978918</v>
      </c>
      <c r="E27" s="106">
        <f t="shared" si="0"/>
        <v>6.9795975289528585</v>
      </c>
      <c r="F27" s="107">
        <f>($G$47*INDEX('Tariff Page Wind'!$D$9:$D$32,MATCH($B27,'Tariff Page Wind'!$B$9:$B$32,0))+$G$48*INDEX('Tariff Page Wind'!$C$9:$C$32,MATCH($B27,'Tariff Page Wind'!$B$9:$B$32,0))+$G$49*INDEX('Tariff Page Wind'!$F$9:$F$32,MATCH($B27,'Tariff Page Wind'!$B$9:$B$32,0))+$G$50*INDEX('Tariff Page Wind'!$E$9:$E$32,MATCH($B27,'Tariff Page Wind'!$B$9:$B$32,0)))*10</f>
        <v>57.076879059659845</v>
      </c>
      <c r="G27" s="105">
        <f>($G$47*INDEX('[20]Tariff Page Wind'!$D$10:$D$30,MATCH($B27,'[20]Tariff Page Wind'!$B$10:$B$30,0))+$G$48*INDEX('[20]Tariff Page Wind'!$C$10:$C$30,MATCH($B27,'[20]Tariff Page Wind'!$B$10:$B$30,0))+$G$49*INDEX('[20]Tariff Page Wind'!$F$10:$F$30,MATCH($B27,'[20]Tariff Page Wind'!$B$10:$B$30,0))+$G$50*INDEX('[20]Tariff Page Wind'!$E$10:$E$30,MATCH($B27,'[20]Tariff Page Wind'!$B$10:$B$30,0)))*10</f>
        <v>59.823519750474986</v>
      </c>
      <c r="H27" s="106">
        <f t="shared" si="1"/>
        <v>-2.7466406908151413</v>
      </c>
      <c r="I27" s="107">
        <f>($J$47*INDEX('Tariff Page Solar Fixed'!$D$9:$D$31,MATCH($B27,'Tariff Page Solar Fixed'!$B$9:$B$31,0))+$J$48*INDEX('Tariff Page Solar Fixed'!$C$9:$C$31,MATCH($B27,'Tariff Page Solar Fixed'!$B$9:$B$31,0))+$J$49*INDEX('Tariff Page Solar Fixed'!$F$9:$F$31,MATCH($B27,'Tariff Page Solar Fixed'!$B$9:$B$31,0))+$J$50*INDEX('Tariff Page Solar Fixed'!$E$9:$E$31,MATCH($B27,'Tariff Page Solar Fixed'!$B$9:$B$31,0)))*10</f>
        <v>46.87903974119267</v>
      </c>
      <c r="J27" s="105">
        <f>($J$47*INDEX('[20]Tariff Page Solar Fixed'!$D$10:$D$30,MATCH($B27,'[20]Tariff Page Solar Fixed'!$B$10:$B$30,0))+$J$48*INDEX('[20]Tariff Page Solar Fixed'!$C$10:$C$30,MATCH($B27,'[20]Tariff Page Solar Fixed'!$B$10:$B$30,0))+$J$49*INDEX('[20]Tariff Page Solar Fixed'!$F$10:$F$30,MATCH($B27,'[20]Tariff Page Solar Fixed'!$B$10:$B$30,0))+$J$50*INDEX('[20]Tariff Page Solar Fixed'!$E$10:$E$30,MATCH($B27,'[20]Tariff Page Solar Fixed'!$B$10:$B$30,0)))*10</f>
        <v>41.51200020159574</v>
      </c>
      <c r="K27" s="106">
        <f t="shared" si="2"/>
        <v>5.3670395395969308</v>
      </c>
      <c r="L27" s="107">
        <f>($M$47*INDEX('Tariff Page Solar Tracking'!$D$9:$D$31,MATCH($B27,'Tariff Page Solar Tracking'!$B$9:$B$31,0))+$M$48*INDEX('Tariff Page Solar Tracking'!$C$9:$C$31,MATCH($B27,'Tariff Page Solar Tracking'!$B$9:$B$31,0))+$M$49*INDEX('Tariff Page Solar Tracking'!$F$9:$F$31,MATCH($B27,'Tariff Page Solar Tracking'!$B$9:$B$31,0))+$M$50*INDEX('Tariff Page Solar Tracking'!$E$9:$E$31,MATCH($B27,'Tariff Page Solar Tracking'!$B$9:$B$31,0)))*10</f>
        <v>44.195320531825274</v>
      </c>
      <c r="M27" s="105">
        <f>($M$47*INDEX('[20]Tariff Page Solar Tracking'!$D$10:$D$30,MATCH($B27,'[20]Tariff Page Solar Tracking'!$B$10:$B$30,0))+$M$48*INDEX('[20]Tariff Page Solar Tracking'!$C$10:$C$30,MATCH($B27,'[20]Tariff Page Solar Tracking'!$B$10:$B$30,0))+$M$49*INDEX('[20]Tariff Page Solar Tracking'!$F$10:$F$30,MATCH($B27,'[20]Tariff Page Solar Tracking'!$B$10:$B$30,0))+$M$50*INDEX('[20]Tariff Page Solar Tracking'!$E$10:$E$30,MATCH($B27,'[20]Tariff Page Solar Tracking'!$B$10:$B$30,0)))*10</f>
        <v>38.030841186091997</v>
      </c>
      <c r="N27" s="217">
        <f t="shared" si="3"/>
        <v>6.1644793457332767</v>
      </c>
      <c r="P27" s="126"/>
      <c r="S27"/>
    </row>
    <row r="28" spans="2:19" x14ac:dyDescent="0.2">
      <c r="B28" s="166">
        <f t="shared" si="4"/>
        <v>2039</v>
      </c>
      <c r="C28" s="105">
        <f>($D$47*INDEX('Tariff Page'!$D$9:$D$30,MATCH($B28,'Tariff Page'!$B$9:$B$30,0))+$D$48*INDEX('Tariff Page'!$C$9:$C$30,MATCH($B28,'Tariff Page'!$B$9:$B$30,0))+$D$49*INDEX('Tariff Page'!$F$9:$F$30,MATCH($B28,'Tariff Page'!$B$9:$B$30,0))+$D$50*INDEX('Tariff Page'!$E$9:$E$30,MATCH($B28,'Tariff Page'!$B$9:$B$30,0)))*10</f>
        <v>64.191576539649759</v>
      </c>
      <c r="D28" s="105">
        <f>($D$47*INDEX('[20]Tariff Page'!$D$10:$D$30,MATCH($B28,'[20]Tariff Page'!$B$10:$B$30,0))+$D$48*INDEX('[20]Tariff Page'!$C$10:$C$30,MATCH($B28,'[20]Tariff Page'!$B$10:$B$30,0))+$D$49*INDEX('[20]Tariff Page'!$F$10:$F$30,MATCH($B28,'[20]Tariff Page'!$B$10:$B$30,0))+$D$50*INDEX('[20]Tariff Page'!$E$10:$E$30,MATCH($B28,'[20]Tariff Page'!$B$10:$B$30,0)))*10</f>
        <v>54.774450168500699</v>
      </c>
      <c r="E28" s="106">
        <f t="shared" si="0"/>
        <v>9.4171263711490596</v>
      </c>
      <c r="F28" s="107">
        <f>($G$47*INDEX('Tariff Page Wind'!$D$9:$D$32,MATCH($B28,'Tariff Page Wind'!$B$9:$B$32,0))+$G$48*INDEX('Tariff Page Wind'!$C$9:$C$32,MATCH($B28,'Tariff Page Wind'!$B$9:$B$32,0))+$G$49*INDEX('Tariff Page Wind'!$F$9:$F$32,MATCH($B28,'Tariff Page Wind'!$B$9:$B$32,0))+$G$50*INDEX('Tariff Page Wind'!$E$9:$E$32,MATCH($B28,'Tariff Page Wind'!$B$9:$B$32,0)))*10</f>
        <v>60.134570722766171</v>
      </c>
      <c r="G28" s="105">
        <f>($G$47*INDEX('[20]Tariff Page Wind'!$D$10:$D$30,MATCH($B28,'[20]Tariff Page Wind'!$B$10:$B$30,0))+$G$48*INDEX('[20]Tariff Page Wind'!$C$10:$C$30,MATCH($B28,'[20]Tariff Page Wind'!$B$10:$B$30,0))+$G$49*INDEX('[20]Tariff Page Wind'!$F$10:$F$30,MATCH($B28,'[20]Tariff Page Wind'!$B$10:$B$30,0))+$G$50*INDEX('[20]Tariff Page Wind'!$E$10:$E$30,MATCH($B28,'[20]Tariff Page Wind'!$B$10:$B$30,0)))*10</f>
        <v>61.469045851240196</v>
      </c>
      <c r="H28" s="106">
        <f t="shared" si="1"/>
        <v>-1.3344751284740255</v>
      </c>
      <c r="I28" s="107">
        <f>($J$47*INDEX('Tariff Page Solar Fixed'!$D$9:$D$31,MATCH($B28,'Tariff Page Solar Fixed'!$B$9:$B$31,0))+$J$48*INDEX('Tariff Page Solar Fixed'!$C$9:$C$31,MATCH($B28,'Tariff Page Solar Fixed'!$B$9:$B$31,0))+$J$49*INDEX('Tariff Page Solar Fixed'!$F$9:$F$31,MATCH($B28,'Tariff Page Solar Fixed'!$B$9:$B$31,0))+$J$50*INDEX('Tariff Page Solar Fixed'!$E$9:$E$31,MATCH($B28,'Tariff Page Solar Fixed'!$B$9:$B$31,0)))*10</f>
        <v>48.775080090292533</v>
      </c>
      <c r="J28" s="105">
        <f>($J$47*INDEX('[20]Tariff Page Solar Fixed'!$D$10:$D$30,MATCH($B28,'[20]Tariff Page Solar Fixed'!$B$10:$B$30,0))+$J$48*INDEX('[20]Tariff Page Solar Fixed'!$C$10:$C$30,MATCH($B28,'[20]Tariff Page Solar Fixed'!$B$10:$B$30,0))+$J$49*INDEX('[20]Tariff Page Solar Fixed'!$F$10:$F$30,MATCH($B28,'[20]Tariff Page Solar Fixed'!$B$10:$B$30,0))+$J$50*INDEX('[20]Tariff Page Solar Fixed'!$E$10:$E$30,MATCH($B28,'[20]Tariff Page Solar Fixed'!$B$10:$B$30,0)))*10</f>
        <v>41.747680323591311</v>
      </c>
      <c r="K28" s="106">
        <f t="shared" si="2"/>
        <v>7.0273997667012225</v>
      </c>
      <c r="L28" s="107">
        <f>($M$47*INDEX('Tariff Page Solar Tracking'!$D$9:$D$31,MATCH($B28,'Tariff Page Solar Tracking'!$B$9:$B$31,0))+$M$48*INDEX('Tariff Page Solar Tracking'!$C$9:$C$31,MATCH($B28,'Tariff Page Solar Tracking'!$B$9:$B$31,0))+$M$49*INDEX('Tariff Page Solar Tracking'!$F$9:$F$31,MATCH($B28,'Tariff Page Solar Tracking'!$B$9:$B$31,0))+$M$50*INDEX('Tariff Page Solar Tracking'!$E$9:$E$31,MATCH($B28,'Tariff Page Solar Tracking'!$B$9:$B$31,0)))*10</f>
        <v>45.999166773256789</v>
      </c>
      <c r="M28" s="105">
        <f>($M$47*INDEX('[20]Tariff Page Solar Tracking'!$D$10:$D$30,MATCH($B28,'[20]Tariff Page Solar Tracking'!$B$10:$B$30,0))+$M$48*INDEX('[20]Tariff Page Solar Tracking'!$C$10:$C$30,MATCH($B28,'[20]Tariff Page Solar Tracking'!$B$10:$B$30,0))+$M$49*INDEX('[20]Tariff Page Solar Tracking'!$F$10:$F$30,MATCH($B28,'[20]Tariff Page Solar Tracking'!$B$10:$B$30,0))+$M$50*INDEX('[20]Tariff Page Solar Tracking'!$E$10:$E$30,MATCH($B28,'[20]Tariff Page Solar Tracking'!$B$10:$B$30,0)))*10</f>
        <v>38.250543350263172</v>
      </c>
      <c r="N28" s="217">
        <f t="shared" si="3"/>
        <v>7.7486234229936173</v>
      </c>
      <c r="S28"/>
    </row>
    <row r="29" spans="2:19" x14ac:dyDescent="0.2">
      <c r="B29" s="166">
        <f t="shared" si="4"/>
        <v>2040</v>
      </c>
      <c r="C29" s="105">
        <f>($D$47*INDEX('Tariff Page'!$D$9:$D$30,MATCH($B29,'Tariff Page'!$B$9:$B$30,0))+$D$48*INDEX('Tariff Page'!$C$9:$C$30,MATCH($B29,'Tariff Page'!$B$9:$B$30,0))+$D$49*INDEX('Tariff Page'!$F$9:$F$30,MATCH($B29,'Tariff Page'!$B$9:$B$30,0))+$D$50*INDEX('Tariff Page'!$E$9:$E$30,MATCH($B29,'Tariff Page'!$B$9:$B$30,0)))*10</f>
        <v>67.759552370707041</v>
      </c>
      <c r="D29" s="105">
        <f>($D$47*INDEX('[20]Tariff Page'!$D$10:$D$30,MATCH($B29,'[20]Tariff Page'!$B$10:$B$30,0))+$D$48*INDEX('[20]Tariff Page'!$C$10:$C$30,MATCH($B29,'[20]Tariff Page'!$B$10:$B$30,0))+$D$49*INDEX('[20]Tariff Page'!$F$10:$F$30,MATCH($B29,'[20]Tariff Page'!$B$10:$B$30,0))+$D$50*INDEX('[20]Tariff Page'!$E$10:$E$30,MATCH($B29,'[20]Tariff Page'!$B$10:$B$30,0)))*10</f>
        <v>54.483468190635413</v>
      </c>
      <c r="E29" s="106">
        <f t="shared" si="0"/>
        <v>13.276084180071628</v>
      </c>
      <c r="F29" s="107">
        <f>($G$47*INDEX('Tariff Page Wind'!$D$9:$D$32,MATCH($B29,'Tariff Page Wind'!$B$9:$B$32,0))+$G$48*INDEX('Tariff Page Wind'!$C$9:$C$32,MATCH($B29,'Tariff Page Wind'!$B$9:$B$32,0))+$G$49*INDEX('Tariff Page Wind'!$F$9:$F$32,MATCH($B29,'Tariff Page Wind'!$B$9:$B$32,0))+$G$50*INDEX('Tariff Page Wind'!$E$9:$E$32,MATCH($B29,'Tariff Page Wind'!$B$9:$B$32,0)))*10</f>
        <v>61.576604428360412</v>
      </c>
      <c r="G29" s="105">
        <f>($G$47*INDEX('[20]Tariff Page Wind'!$D$10:$D$30,MATCH($B29,'[20]Tariff Page Wind'!$B$10:$B$30,0))+$G$48*INDEX('[20]Tariff Page Wind'!$C$10:$C$30,MATCH($B29,'[20]Tariff Page Wind'!$B$10:$B$30,0))+$G$49*INDEX('[20]Tariff Page Wind'!$F$10:$F$30,MATCH($B29,'[20]Tariff Page Wind'!$B$10:$B$30,0))+$G$50*INDEX('[20]Tariff Page Wind'!$E$10:$E$30,MATCH($B29,'[20]Tariff Page Wind'!$B$10:$B$30,0)))*10</f>
        <v>62.998758014114536</v>
      </c>
      <c r="H29" s="106">
        <f t="shared" si="1"/>
        <v>-1.4221535857541241</v>
      </c>
      <c r="I29" s="107">
        <f>($J$47*INDEX('Tariff Page Solar Fixed'!$D$9:$D$31,MATCH($B29,'Tariff Page Solar Fixed'!$B$9:$B$31,0))+$J$48*INDEX('Tariff Page Solar Fixed'!$C$9:$C$31,MATCH($B29,'Tariff Page Solar Fixed'!$B$9:$B$31,0))+$J$49*INDEX('Tariff Page Solar Fixed'!$F$9:$F$31,MATCH($B29,'Tariff Page Solar Fixed'!$B$9:$B$31,0))+$J$50*INDEX('Tariff Page Solar Fixed'!$E$9:$E$31,MATCH($B29,'Tariff Page Solar Fixed'!$B$9:$B$31,0)))*10</f>
        <v>50.480926508148841</v>
      </c>
      <c r="J29" s="105">
        <f>($J$47*INDEX('[20]Tariff Page Solar Fixed'!$D$10:$D$30,MATCH($B29,'[20]Tariff Page Solar Fixed'!$B$10:$B$30,0))+$J$48*INDEX('[20]Tariff Page Solar Fixed'!$C$10:$C$30,MATCH($B29,'[20]Tariff Page Solar Fixed'!$B$10:$B$30,0))+$J$49*INDEX('[20]Tariff Page Solar Fixed'!$F$10:$F$30,MATCH($B29,'[20]Tariff Page Solar Fixed'!$B$10:$B$30,0))+$J$50*INDEX('[20]Tariff Page Solar Fixed'!$E$10:$E$30,MATCH($B29,'[20]Tariff Page Solar Fixed'!$B$10:$B$30,0)))*10</f>
        <v>39.229774574788337</v>
      </c>
      <c r="K29" s="106">
        <f t="shared" si="2"/>
        <v>11.251151933360504</v>
      </c>
      <c r="L29" s="107">
        <f>($M$47*INDEX('Tariff Page Solar Tracking'!$D$9:$D$31,MATCH($B29,'Tariff Page Solar Tracking'!$B$9:$B$31,0))+$M$48*INDEX('Tariff Page Solar Tracking'!$C$9:$C$31,MATCH($B29,'Tariff Page Solar Tracking'!$B$9:$B$31,0))+$M$49*INDEX('Tariff Page Solar Tracking'!$F$9:$F$31,MATCH($B29,'Tariff Page Solar Tracking'!$B$9:$B$31,0))+$M$50*INDEX('Tariff Page Solar Tracking'!$E$9:$E$31,MATCH($B29,'Tariff Page Solar Tracking'!$B$9:$B$31,0)))*10</f>
        <v>47.652129426021389</v>
      </c>
      <c r="M29" s="105">
        <f>($M$47*INDEX('[20]Tariff Page Solar Tracking'!$D$10:$D$30,MATCH($B29,'[20]Tariff Page Solar Tracking'!$B$10:$B$30,0))+$M$48*INDEX('[20]Tariff Page Solar Tracking'!$C$10:$C$30,MATCH($B29,'[20]Tariff Page Solar Tracking'!$B$10:$B$30,0))+$M$49*INDEX('[20]Tariff Page Solar Tracking'!$F$10:$F$30,MATCH($B29,'[20]Tariff Page Solar Tracking'!$B$10:$B$30,0))+$M$50*INDEX('[20]Tariff Page Solar Tracking'!$E$10:$E$30,MATCH($B29,'[20]Tariff Page Solar Tracking'!$B$10:$B$30,0)))*10</f>
        <v>35.646189541539002</v>
      </c>
      <c r="N29" s="217">
        <f t="shared" si="3"/>
        <v>12.005939884482387</v>
      </c>
      <c r="S29"/>
    </row>
    <row r="30" spans="2:19" hidden="1" x14ac:dyDescent="0.2">
      <c r="B30" s="166"/>
      <c r="C30" s="105"/>
      <c r="D30" s="105"/>
      <c r="E30" s="106"/>
      <c r="F30" s="107"/>
      <c r="G30" s="105"/>
      <c r="H30" s="106"/>
      <c r="I30" s="107"/>
      <c r="J30" s="105"/>
      <c r="K30" s="106"/>
      <c r="L30" s="107"/>
      <c r="M30" s="105"/>
      <c r="N30" s="217"/>
      <c r="S30"/>
    </row>
    <row r="31" spans="2:19" x14ac:dyDescent="0.2">
      <c r="B31" s="168"/>
      <c r="C31" s="169"/>
      <c r="D31" s="224"/>
      <c r="E31" s="170"/>
      <c r="F31" s="171"/>
      <c r="G31" s="224"/>
      <c r="H31" s="170"/>
      <c r="I31" s="171"/>
      <c r="J31" s="224"/>
      <c r="K31" s="170"/>
      <c r="L31" s="171"/>
      <c r="M31" s="224"/>
      <c r="N31" s="218"/>
      <c r="S31"/>
    </row>
    <row r="32" spans="2:19" hidden="1" x14ac:dyDescent="0.2">
      <c r="B32" s="74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S32"/>
    </row>
    <row r="33" spans="2:22" hidden="1" x14ac:dyDescent="0.2">
      <c r="B33" s="74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S33"/>
    </row>
    <row r="34" spans="2:22" x14ac:dyDescent="0.2">
      <c r="B34" s="74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S34"/>
    </row>
    <row r="35" spans="2:22" x14ac:dyDescent="0.2">
      <c r="B35" t="s">
        <v>112</v>
      </c>
      <c r="C35" s="92"/>
      <c r="F35" s="92"/>
      <c r="I35" s="92"/>
      <c r="L35" s="92"/>
      <c r="S35"/>
    </row>
    <row r="36" spans="2:22" x14ac:dyDescent="0.2">
      <c r="B36" s="64" t="str">
        <f>"15 Year ("&amp;B12&amp;" to "&amp;B26&amp;") Levelized Prices (Nominal) @ "&amp;TEXT($P$37,"?.00%")&amp;" Discount Rate"</f>
        <v>15 Year (2023 to 2037) Levelized Prices (Nominal) @ 6.88% Discount Rate</v>
      </c>
      <c r="C36" s="92"/>
      <c r="F36" s="92"/>
      <c r="I36" s="92"/>
      <c r="L36" s="92"/>
      <c r="O36" s="108"/>
      <c r="P36" t="s">
        <v>286</v>
      </c>
      <c r="S36"/>
    </row>
    <row r="37" spans="2:22" x14ac:dyDescent="0.2">
      <c r="B37" s="109" t="s">
        <v>7</v>
      </c>
      <c r="C37" s="105">
        <f>-PMT($P$37,COUNT(C12:C26),NPV($P$37,C12:C26))</f>
        <v>57.368602399373984</v>
      </c>
      <c r="D37" s="105">
        <f>-PMT($P$37,COUNT(D12:D26),NPV($P$37,D12:D26))</f>
        <v>38.201749753392029</v>
      </c>
      <c r="E37" s="105">
        <f>-PMT($P$37,COUNT(E12:E26),NPV($P$37,E12:E26))</f>
        <v>19.166852645981955</v>
      </c>
      <c r="F37" s="105">
        <f t="shared" ref="F37:N37" si="5">-PMT($P$37,COUNT(F12:F26),NPV($P$37,F12:F26))</f>
        <v>45.282660861381899</v>
      </c>
      <c r="G37" s="105">
        <f t="shared" si="5"/>
        <v>36.034877440234446</v>
      </c>
      <c r="H37" s="105">
        <f t="shared" si="5"/>
        <v>9.2477834211474512</v>
      </c>
      <c r="I37" s="105">
        <f t="shared" si="5"/>
        <v>37.90884483952312</v>
      </c>
      <c r="J37" s="105">
        <f t="shared" si="5"/>
        <v>30.439082354120742</v>
      </c>
      <c r="K37" s="105">
        <f t="shared" si="5"/>
        <v>7.4697624854023834</v>
      </c>
      <c r="L37" s="105">
        <f t="shared" si="5"/>
        <v>36.125523052954279</v>
      </c>
      <c r="M37" s="105">
        <f t="shared" si="5"/>
        <v>28.441405475603084</v>
      </c>
      <c r="N37" s="105">
        <f t="shared" si="5"/>
        <v>7.6841175773511932</v>
      </c>
      <c r="O37" s="110"/>
      <c r="P37" s="24">
        <v>6.88E-2</v>
      </c>
      <c r="S37"/>
    </row>
    <row r="38" spans="2:22" x14ac:dyDescent="0.2">
      <c r="B38" s="109"/>
      <c r="C38" s="105"/>
      <c r="D38" s="105"/>
      <c r="E38" s="106"/>
      <c r="F38" s="105"/>
      <c r="G38" s="105"/>
      <c r="H38" s="106"/>
      <c r="I38" s="105"/>
      <c r="J38" s="105"/>
      <c r="K38" s="106"/>
      <c r="L38" s="105"/>
      <c r="M38" s="105"/>
      <c r="N38" s="106"/>
      <c r="O38" s="110"/>
      <c r="P38" s="24"/>
      <c r="S38"/>
    </row>
    <row r="39" spans="2:22" x14ac:dyDescent="0.2">
      <c r="B39" s="64" t="str">
        <f>"15 Year ("&amp;B13&amp;" to "&amp;B27&amp;") Levelized Prices (Nominal) @ "&amp;TEXT($P$37,"?.00%")&amp;" Discount Rate"</f>
        <v>15 Year (2024 to 2038) Levelized Prices (Nominal) @ 6.88% Discount Rate</v>
      </c>
      <c r="C39" s="92"/>
      <c r="F39" s="92"/>
      <c r="I39" s="92"/>
      <c r="L39" s="92"/>
      <c r="O39" s="108"/>
      <c r="P39"/>
      <c r="S39"/>
    </row>
    <row r="40" spans="2:22" x14ac:dyDescent="0.2">
      <c r="B40" s="109" t="s">
        <v>7</v>
      </c>
      <c r="C40" s="105">
        <f>-PMT($P$37,COUNT(C13:C27),NPV($P$37,C13:C27))</f>
        <v>56.434685190565965</v>
      </c>
      <c r="D40" s="105">
        <f t="shared" ref="D40:N40" si="6">-PMT($P$37,COUNT(D13:D27),NPV($P$37,D13:D27))</f>
        <v>38.83258678458067</v>
      </c>
      <c r="E40" s="105">
        <f t="shared" si="6"/>
        <v>17.602098405985288</v>
      </c>
      <c r="F40" s="105">
        <f t="shared" si="6"/>
        <v>44.670732590498559</v>
      </c>
      <c r="G40" s="105">
        <f t="shared" si="6"/>
        <v>37.314233399927879</v>
      </c>
      <c r="H40" s="105">
        <f t="shared" si="6"/>
        <v>7.356499190570676</v>
      </c>
      <c r="I40" s="105">
        <f t="shared" si="6"/>
        <v>38.258206557840197</v>
      </c>
      <c r="J40" s="105">
        <f t="shared" si="6"/>
        <v>31.407211940919805</v>
      </c>
      <c r="K40" s="105">
        <f t="shared" si="6"/>
        <v>6.8509946169203939</v>
      </c>
      <c r="L40" s="105">
        <f t="shared" si="6"/>
        <v>36.486336031592849</v>
      </c>
      <c r="M40" s="105">
        <f t="shared" si="6"/>
        <v>29.259634595941492</v>
      </c>
      <c r="N40" s="105">
        <f t="shared" si="6"/>
        <v>7.2267014356513615</v>
      </c>
      <c r="S40"/>
    </row>
    <row r="41" spans="2:22" x14ac:dyDescent="0.2">
      <c r="B41" s="109"/>
      <c r="C41" s="105"/>
      <c r="D41" s="105"/>
      <c r="E41" s="106"/>
      <c r="F41" s="105"/>
      <c r="G41" s="105"/>
      <c r="H41" s="106"/>
      <c r="I41" s="105"/>
      <c r="J41" s="105"/>
      <c r="K41" s="106"/>
      <c r="L41" s="105"/>
      <c r="M41" s="105"/>
      <c r="N41" s="106"/>
      <c r="S41"/>
    </row>
    <row r="42" spans="2:22" x14ac:dyDescent="0.2">
      <c r="B42" s="64" t="str">
        <f>"15 Year ("&amp;B14&amp;" to "&amp;B28&amp;") Levelized Prices (Nominal) @ "&amp;TEXT($P$37,"?.00%")&amp;" Discount Rate"</f>
        <v>15 Year (2025 to 2039) Levelized Prices (Nominal) @ 6.88% Discount Rate</v>
      </c>
      <c r="C42" s="92"/>
      <c r="F42" s="92"/>
      <c r="I42" s="92"/>
      <c r="L42" s="92"/>
      <c r="O42" s="108"/>
      <c r="P42"/>
      <c r="S42"/>
    </row>
    <row r="43" spans="2:22" x14ac:dyDescent="0.2">
      <c r="B43" s="109" t="s">
        <v>7</v>
      </c>
      <c r="C43" s="106">
        <f>-PMT($P$37,COUNT(C14:C28),NPV($P$37,C14:C28))</f>
        <v>54.591930424058098</v>
      </c>
      <c r="D43" s="106">
        <f t="shared" ref="D43:N43" si="7">-PMT($P$37,COUNT(D14:D28),NPV($P$37,D14:D28))</f>
        <v>38.744431287375576</v>
      </c>
      <c r="E43" s="106">
        <f t="shared" si="7"/>
        <v>15.847499136682529</v>
      </c>
      <c r="F43" s="106">
        <f t="shared" si="7"/>
        <v>43.1023553573851</v>
      </c>
      <c r="G43" s="106">
        <f t="shared" si="7"/>
        <v>38.142830439312064</v>
      </c>
      <c r="H43" s="106">
        <f t="shared" si="7"/>
        <v>4.9595249180730381</v>
      </c>
      <c r="I43" s="106">
        <f t="shared" si="7"/>
        <v>38.428552217390717</v>
      </c>
      <c r="J43" s="106">
        <f t="shared" si="7"/>
        <v>32.214673669059579</v>
      </c>
      <c r="K43" s="106">
        <f t="shared" si="7"/>
        <v>6.2138785483311372</v>
      </c>
      <c r="L43" s="106">
        <f t="shared" si="7"/>
        <v>36.596501382887205</v>
      </c>
      <c r="M43" s="106">
        <f t="shared" si="7"/>
        <v>29.907279944638404</v>
      </c>
      <c r="N43" s="106">
        <f t="shared" si="7"/>
        <v>6.6892214382487891</v>
      </c>
      <c r="S43"/>
    </row>
    <row r="44" spans="2:22" x14ac:dyDescent="0.2">
      <c r="B44" s="109"/>
      <c r="C44" s="106"/>
    </row>
    <row r="45" spans="2:22" x14ac:dyDescent="0.2">
      <c r="B45"/>
      <c r="C45"/>
      <c r="D45"/>
      <c r="E45"/>
      <c r="F45"/>
      <c r="G45"/>
      <c r="H45"/>
      <c r="I45"/>
      <c r="J45"/>
      <c r="K45"/>
      <c r="L45"/>
      <c r="M45"/>
      <c r="N45"/>
    </row>
    <row r="46" spans="2:22" x14ac:dyDescent="0.2">
      <c r="B46"/>
      <c r="C46"/>
      <c r="D46" t="s">
        <v>45</v>
      </c>
      <c r="E46"/>
      <c r="F46"/>
      <c r="G46" s="202" t="s">
        <v>46</v>
      </c>
      <c r="I46"/>
      <c r="J46" s="202" t="s">
        <v>72</v>
      </c>
      <c r="L46"/>
      <c r="M46" s="202" t="s">
        <v>73</v>
      </c>
      <c r="O46" s="111"/>
      <c r="P46" s="111"/>
      <c r="Q46" s="111"/>
      <c r="R46" s="111"/>
      <c r="S46" s="112"/>
      <c r="T46" s="112"/>
      <c r="U46" s="112"/>
      <c r="V46" s="112"/>
    </row>
    <row r="47" spans="2:22" x14ac:dyDescent="0.2">
      <c r="B47" t="s">
        <v>41</v>
      </c>
      <c r="C47"/>
      <c r="D47" s="41">
        <f>'OFPC Source'!$AN$19</f>
        <v>0.18722294654498045</v>
      </c>
      <c r="E47" s="41"/>
      <c r="F47"/>
      <c r="G47" s="41">
        <v>0.14224348944782267</v>
      </c>
      <c r="H47" s="41"/>
      <c r="I47"/>
      <c r="J47" s="41">
        <v>0.31113275152605013</v>
      </c>
      <c r="K47" s="41"/>
      <c r="L47"/>
      <c r="M47" s="41">
        <v>0.32464920922304508</v>
      </c>
      <c r="N47" s="41"/>
    </row>
    <row r="48" spans="2:22" x14ac:dyDescent="0.2">
      <c r="B48" t="s">
        <v>42</v>
      </c>
      <c r="C48"/>
      <c r="D48" s="41">
        <f>'OFPC Source'!$AN$20</f>
        <v>0.3732290308561495</v>
      </c>
      <c r="E48" s="41"/>
      <c r="F48"/>
      <c r="G48" s="41">
        <v>0.43006947573927873</v>
      </c>
      <c r="H48" s="41"/>
      <c r="I48"/>
      <c r="J48" s="41">
        <v>0.52472063097542176</v>
      </c>
      <c r="K48" s="41"/>
      <c r="L48"/>
      <c r="M48" s="41">
        <v>0.47251184326048778</v>
      </c>
      <c r="N48" s="41"/>
    </row>
    <row r="49" spans="2:14" x14ac:dyDescent="0.2">
      <c r="B49" t="s">
        <v>43</v>
      </c>
      <c r="C49"/>
      <c r="D49" s="41">
        <f>'OFPC Source'!$AN$21</f>
        <v>0.1468057366362451</v>
      </c>
      <c r="E49" s="41"/>
      <c r="F49"/>
      <c r="G49" s="41">
        <v>0.1062145525388432</v>
      </c>
      <c r="H49" s="41"/>
      <c r="I49"/>
      <c r="J49" s="41">
        <v>6.5066986914763897E-2</v>
      </c>
      <c r="K49" s="41"/>
      <c r="L49"/>
      <c r="M49" s="41">
        <v>9.9064844232837956E-2</v>
      </c>
      <c r="N49" s="41"/>
    </row>
    <row r="50" spans="2:14" x14ac:dyDescent="0.2">
      <c r="B50" t="s">
        <v>44</v>
      </c>
      <c r="C50"/>
      <c r="D50" s="41">
        <f>'OFPC Source'!$AN$22</f>
        <v>0.29274228596262497</v>
      </c>
      <c r="E50" s="41"/>
      <c r="F50"/>
      <c r="G50" s="41">
        <v>0.32147248227405528</v>
      </c>
      <c r="H50"/>
      <c r="I50"/>
      <c r="J50" s="41">
        <v>9.9079630583764081E-2</v>
      </c>
      <c r="K50"/>
      <c r="L50"/>
      <c r="M50" s="41">
        <v>0.10377410328362917</v>
      </c>
      <c r="N50"/>
    </row>
    <row r="51" spans="2:14" x14ac:dyDescent="0.2">
      <c r="B51"/>
      <c r="C51"/>
      <c r="D51"/>
      <c r="E51"/>
      <c r="F51"/>
      <c r="G51"/>
      <c r="H51"/>
      <c r="I51"/>
      <c r="J51"/>
      <c r="K51"/>
      <c r="L51"/>
      <c r="M51"/>
      <c r="N51"/>
    </row>
    <row r="53" spans="2:14" x14ac:dyDescent="0.2">
      <c r="F53" s="113"/>
      <c r="I53" s="113"/>
      <c r="J53" s="113"/>
      <c r="K53" s="113"/>
      <c r="L53" s="113"/>
    </row>
    <row r="54" spans="2:14" x14ac:dyDescent="0.2">
      <c r="B54"/>
      <c r="C54"/>
      <c r="D54"/>
      <c r="E54"/>
      <c r="F54"/>
      <c r="G54"/>
      <c r="H54"/>
      <c r="I54"/>
      <c r="J54"/>
    </row>
    <row r="55" spans="2:14" s="99" customFormat="1" x14ac:dyDescent="0.2">
      <c r="B55"/>
      <c r="C55"/>
      <c r="D55"/>
      <c r="E55"/>
      <c r="F55"/>
      <c r="G55"/>
      <c r="H55"/>
      <c r="I55"/>
      <c r="J55"/>
    </row>
    <row r="56" spans="2:14" x14ac:dyDescent="0.2">
      <c r="B56"/>
      <c r="C56"/>
      <c r="D56"/>
      <c r="E56"/>
      <c r="F56"/>
      <c r="G56"/>
      <c r="H56"/>
      <c r="I56"/>
      <c r="J56"/>
    </row>
    <row r="57" spans="2:14" x14ac:dyDescent="0.2">
      <c r="B57"/>
      <c r="C57"/>
      <c r="D57"/>
      <c r="E57"/>
      <c r="F57"/>
      <c r="G57"/>
      <c r="H57"/>
      <c r="I57"/>
      <c r="J57"/>
    </row>
    <row r="58" spans="2:14" x14ac:dyDescent="0.2">
      <c r="B58"/>
      <c r="C58"/>
      <c r="D58"/>
      <c r="E58"/>
      <c r="F58"/>
      <c r="G58"/>
      <c r="H58"/>
      <c r="I58"/>
      <c r="J58"/>
    </row>
    <row r="59" spans="2:14" ht="24.75" customHeight="1" x14ac:dyDescent="0.2">
      <c r="B59"/>
      <c r="C59"/>
      <c r="D59"/>
      <c r="E59"/>
      <c r="F59"/>
      <c r="G59"/>
      <c r="H59"/>
      <c r="I59"/>
      <c r="J59"/>
    </row>
    <row r="60" spans="2:14" x14ac:dyDescent="0.2">
      <c r="B60"/>
      <c r="C60"/>
      <c r="D60"/>
      <c r="E60"/>
      <c r="F60"/>
      <c r="G60"/>
      <c r="H60"/>
      <c r="I60"/>
      <c r="J60"/>
    </row>
  </sheetData>
  <phoneticPr fontId="13" type="noConversion"/>
  <printOptions horizontalCentered="1"/>
  <pageMargins left="0.25" right="0.25" top="0.75" bottom="0.75" header="0.3" footer="0.3"/>
  <pageSetup scale="51" orientation="portrait" r:id="rId1"/>
  <headerFooter alignWithMargins="0">
    <oddFooter>&amp;L&amp;8NPC Group - &amp;F   ( &amp;A )&amp;C &amp;R 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1:D37"/>
  <sheetViews>
    <sheetView view="pageBreakPreview" zoomScale="80" zoomScaleNormal="100" zoomScaleSheetLayoutView="80" workbookViewId="0">
      <selection activeCell="A2" sqref="A2"/>
    </sheetView>
  </sheetViews>
  <sheetFormatPr defaultColWidth="9.33203125" defaultRowHeight="12.75" x14ac:dyDescent="0.2"/>
  <cols>
    <col min="1" max="1" width="2" style="15" customWidth="1"/>
    <col min="2" max="2" width="24.5" style="15" customWidth="1"/>
    <col min="3" max="4" width="19.6640625" style="15" customWidth="1"/>
    <col min="5" max="5" width="2.1640625" style="15" customWidth="1"/>
    <col min="6" max="16384" width="9.33203125" style="15"/>
  </cols>
  <sheetData>
    <row r="1" spans="2:4" ht="15.75" x14ac:dyDescent="0.25">
      <c r="B1" s="7" t="s">
        <v>6</v>
      </c>
      <c r="C1" s="10"/>
      <c r="D1" s="10"/>
    </row>
    <row r="2" spans="2:4" ht="15.75" x14ac:dyDescent="0.25">
      <c r="B2" s="7" t="s">
        <v>16</v>
      </c>
      <c r="C2" s="10"/>
      <c r="D2" s="10"/>
    </row>
    <row r="3" spans="2:4" ht="15.75" x14ac:dyDescent="0.25">
      <c r="B3" s="7" t="s">
        <v>8</v>
      </c>
      <c r="C3" s="17"/>
      <c r="D3" s="17"/>
    </row>
    <row r="4" spans="2:4" ht="15.75" x14ac:dyDescent="0.25">
      <c r="B4" s="123"/>
      <c r="C4" s="17"/>
      <c r="D4" s="23"/>
    </row>
    <row r="5" spans="2:4" x14ac:dyDescent="0.2">
      <c r="B5" s="8"/>
      <c r="C5" s="8"/>
      <c r="D5" s="8"/>
    </row>
    <row r="6" spans="2:4" x14ac:dyDescent="0.2">
      <c r="B6" s="12" t="s">
        <v>0</v>
      </c>
      <c r="C6" s="12" t="str">
        <f>'OFPC Source'!D263</f>
        <v>West Side</v>
      </c>
      <c r="D6" s="12" t="str">
        <f>'OFPC Source'!C263</f>
        <v>East Side</v>
      </c>
    </row>
    <row r="7" spans="2:4" x14ac:dyDescent="0.2">
      <c r="B7" s="18"/>
      <c r="C7" s="13"/>
      <c r="D7" s="13"/>
    </row>
    <row r="8" spans="2:4" x14ac:dyDescent="0.2">
      <c r="C8" s="23" t="s">
        <v>1</v>
      </c>
      <c r="D8" s="23" t="s">
        <v>2</v>
      </c>
    </row>
    <row r="9" spans="2:4" x14ac:dyDescent="0.2">
      <c r="C9" s="19"/>
      <c r="D9" s="19"/>
    </row>
    <row r="10" spans="2:4" x14ac:dyDescent="0.2">
      <c r="B10" s="20">
        <v>2023</v>
      </c>
      <c r="C10" s="21">
        <f>VLOOKUP(B10,'OFPC Source'!$G$8:$J$33,3,FALSE)</f>
        <v>4.7699999999999996</v>
      </c>
      <c r="D10" s="21">
        <f>VLOOKUP(B10,'OFPC Source'!$G$8:$H$30,2,FALSE)</f>
        <v>5.46</v>
      </c>
    </row>
    <row r="11" spans="2:4" x14ac:dyDescent="0.2">
      <c r="B11" s="20">
        <f>B10+1</f>
        <v>2024</v>
      </c>
      <c r="C11" s="21">
        <f>VLOOKUP(B11,'OFPC Source'!$G$8:$J$33,3,FALSE)</f>
        <v>4.01</v>
      </c>
      <c r="D11" s="21">
        <f>VLOOKUP(B11,'OFPC Source'!$G$8:$H$30,2,FALSE)</f>
        <v>4.74</v>
      </c>
    </row>
    <row r="12" spans="2:4" x14ac:dyDescent="0.2">
      <c r="B12" s="20">
        <f t="shared" ref="B12:B29" si="0">B11+1</f>
        <v>2025</v>
      </c>
      <c r="C12" s="21">
        <f>VLOOKUP(B12,'OFPC Source'!$G$8:$J$33,3,FALSE)</f>
        <v>4.43</v>
      </c>
      <c r="D12" s="21">
        <f>VLOOKUP(B12,'OFPC Source'!$G$8:$H$30,2,FALSE)</f>
        <v>5.16</v>
      </c>
    </row>
    <row r="13" spans="2:4" x14ac:dyDescent="0.2">
      <c r="B13" s="20">
        <f t="shared" si="0"/>
        <v>2026</v>
      </c>
      <c r="C13" s="21">
        <f>VLOOKUP(B13,'OFPC Source'!$G$8:$J$33,3,FALSE)</f>
        <v>4.8</v>
      </c>
      <c r="D13" s="21">
        <f>VLOOKUP(B13,'OFPC Source'!$G$8:$H$30,2,FALSE)</f>
        <v>5.29</v>
      </c>
    </row>
    <row r="14" spans="2:4" x14ac:dyDescent="0.2">
      <c r="B14" s="20">
        <f t="shared" si="0"/>
        <v>2027</v>
      </c>
      <c r="C14" s="21">
        <f>VLOOKUP(B14,'OFPC Source'!$G$8:$J$33,3,FALSE)</f>
        <v>5.22</v>
      </c>
      <c r="D14" s="21">
        <f>VLOOKUP(B14,'OFPC Source'!$G$8:$H$30,2,FALSE)</f>
        <v>5.33</v>
      </c>
    </row>
    <row r="15" spans="2:4" x14ac:dyDescent="0.2">
      <c r="B15" s="20">
        <f t="shared" si="0"/>
        <v>2028</v>
      </c>
      <c r="C15" s="21">
        <f>VLOOKUP(B15,'OFPC Source'!$G$8:$J$33,3,FALSE)</f>
        <v>5.42</v>
      </c>
      <c r="D15" s="21">
        <f>VLOOKUP(B15,'OFPC Source'!$G$8:$H$30,2,FALSE)</f>
        <v>5.34</v>
      </c>
    </row>
    <row r="16" spans="2:4" x14ac:dyDescent="0.2">
      <c r="B16" s="20">
        <f t="shared" si="0"/>
        <v>2029</v>
      </c>
      <c r="C16" s="21">
        <f>VLOOKUP(B16,'OFPC Source'!$G$8:$J$33,3,FALSE)</f>
        <v>5.59</v>
      </c>
      <c r="D16" s="21">
        <f>VLOOKUP(B16,'OFPC Source'!$G$8:$H$30,2,FALSE)</f>
        <v>5.5</v>
      </c>
    </row>
    <row r="17" spans="2:4" x14ac:dyDescent="0.2">
      <c r="B17" s="20">
        <f t="shared" si="0"/>
        <v>2030</v>
      </c>
      <c r="C17" s="21">
        <f>VLOOKUP(B17,'OFPC Source'!$G$8:$J$33,3,FALSE)</f>
        <v>5.61</v>
      </c>
      <c r="D17" s="21">
        <f>VLOOKUP(B17,'OFPC Source'!$G$8:$H$30,2,FALSE)</f>
        <v>5.54</v>
      </c>
    </row>
    <row r="18" spans="2:4" x14ac:dyDescent="0.2">
      <c r="B18" s="20">
        <f t="shared" si="0"/>
        <v>2031</v>
      </c>
      <c r="C18" s="21">
        <f>VLOOKUP(B18,'OFPC Source'!$G$8:$J$33,3,FALSE)</f>
        <v>5.87</v>
      </c>
      <c r="D18" s="21">
        <f>VLOOKUP(B18,'OFPC Source'!$G$8:$H$30,2,FALSE)</f>
        <v>5.78</v>
      </c>
    </row>
    <row r="19" spans="2:4" x14ac:dyDescent="0.2">
      <c r="B19" s="20">
        <f t="shared" si="0"/>
        <v>2032</v>
      </c>
      <c r="C19" s="21">
        <f>VLOOKUP(B19,'OFPC Source'!$G$8:$J$33,3,FALSE)</f>
        <v>6.19</v>
      </c>
      <c r="D19" s="21">
        <f>VLOOKUP(B19,'OFPC Source'!$G$8:$H$30,2,FALSE)</f>
        <v>6.01</v>
      </c>
    </row>
    <row r="20" spans="2:4" x14ac:dyDescent="0.2">
      <c r="B20" s="20">
        <f t="shared" si="0"/>
        <v>2033</v>
      </c>
      <c r="C20" s="21">
        <f>VLOOKUP(B20,'OFPC Source'!$G$8:$J$33,3,FALSE)</f>
        <v>6.42</v>
      </c>
      <c r="D20" s="21">
        <f>VLOOKUP(B20,'OFPC Source'!$G$8:$H$30,2,FALSE)</f>
        <v>6.38</v>
      </c>
    </row>
    <row r="21" spans="2:4" x14ac:dyDescent="0.2">
      <c r="B21" s="20">
        <f t="shared" si="0"/>
        <v>2034</v>
      </c>
      <c r="C21" s="21">
        <f>VLOOKUP(B21,'OFPC Source'!$G$8:$J$33,3,FALSE)</f>
        <v>6.67</v>
      </c>
      <c r="D21" s="21">
        <f>VLOOKUP(B21,'OFPC Source'!$G$8:$H$30,2,FALSE)</f>
        <v>6.59</v>
      </c>
    </row>
    <row r="22" spans="2:4" x14ac:dyDescent="0.2">
      <c r="B22" s="20">
        <f t="shared" si="0"/>
        <v>2035</v>
      </c>
      <c r="C22" s="21">
        <f>VLOOKUP(B22,'OFPC Source'!$G$8:$J$33,3,FALSE)</f>
        <v>6.71</v>
      </c>
      <c r="D22" s="21">
        <f>VLOOKUP(B22,'OFPC Source'!$G$8:$H$30,2,FALSE)</f>
        <v>6.67</v>
      </c>
    </row>
    <row r="23" spans="2:4" x14ac:dyDescent="0.2">
      <c r="B23" s="20">
        <f t="shared" si="0"/>
        <v>2036</v>
      </c>
      <c r="C23" s="21">
        <f>VLOOKUP(B23,'OFPC Source'!$G$8:$J$33,3,FALSE)</f>
        <v>6.85</v>
      </c>
      <c r="D23" s="21">
        <f>VLOOKUP(B23,'OFPC Source'!$G$8:$H$30,2,FALSE)</f>
        <v>6.85</v>
      </c>
    </row>
    <row r="24" spans="2:4" x14ac:dyDescent="0.2">
      <c r="B24" s="20">
        <f t="shared" si="0"/>
        <v>2037</v>
      </c>
      <c r="C24" s="21">
        <f>VLOOKUP(B24,'OFPC Source'!$G$8:$J$33,3,FALSE)</f>
        <v>7.21</v>
      </c>
      <c r="D24" s="21">
        <f>VLOOKUP(B24,'OFPC Source'!$G$8:$H$30,2,FALSE)</f>
        <v>7.24</v>
      </c>
    </row>
    <row r="25" spans="2:4" x14ac:dyDescent="0.2">
      <c r="B25" s="20">
        <f t="shared" si="0"/>
        <v>2038</v>
      </c>
      <c r="C25" s="21">
        <f>VLOOKUP(B25,'OFPC Source'!$G$8:$J$33,3,FALSE)</f>
        <v>7.58</v>
      </c>
      <c r="D25" s="21">
        <f>VLOOKUP(B25,'OFPC Source'!$G$8:$H$30,2,FALSE)</f>
        <v>7.59</v>
      </c>
    </row>
    <row r="26" spans="2:4" x14ac:dyDescent="0.2">
      <c r="B26" s="20">
        <f t="shared" si="0"/>
        <v>2039</v>
      </c>
      <c r="C26" s="21">
        <f>VLOOKUP(B26,'OFPC Source'!$G$8:$J$33,3,FALSE)</f>
        <v>7.92</v>
      </c>
      <c r="D26" s="21">
        <f>VLOOKUP(B26,'OFPC Source'!$G$8:$H$30,2,FALSE)</f>
        <v>8.02</v>
      </c>
    </row>
    <row r="27" spans="2:4" x14ac:dyDescent="0.2">
      <c r="B27" s="20">
        <f t="shared" si="0"/>
        <v>2040</v>
      </c>
      <c r="C27" s="21">
        <f>VLOOKUP(B27,'OFPC Source'!$G$8:$J$33,3,FALSE)</f>
        <v>8.33</v>
      </c>
      <c r="D27" s="21">
        <f>VLOOKUP(B27,'OFPC Source'!$G$8:$H$30,2,FALSE)</f>
        <v>8.48</v>
      </c>
    </row>
    <row r="28" spans="2:4" x14ac:dyDescent="0.2">
      <c r="B28" s="20">
        <f t="shared" si="0"/>
        <v>2041</v>
      </c>
      <c r="C28" s="21">
        <f>VLOOKUP(B28,'OFPC Source'!$G$8:$J$33,3,FALSE)</f>
        <v>8.76</v>
      </c>
      <c r="D28" s="21">
        <f>VLOOKUP(B28,'OFPC Source'!$G$8:$H$30,2,FALSE)</f>
        <v>8.8800000000000008</v>
      </c>
    </row>
    <row r="29" spans="2:4" x14ac:dyDescent="0.2">
      <c r="B29" s="20">
        <f t="shared" si="0"/>
        <v>2042</v>
      </c>
      <c r="C29" s="21">
        <f>VLOOKUP(B29,'OFPC Source'!$G$8:$J$33,3,FALSE)</f>
        <v>9.17</v>
      </c>
      <c r="D29" s="21">
        <f>VLOOKUP(B29,'OFPC Source'!$G$8:$H$30,2,FALSE)</f>
        <v>9.35</v>
      </c>
    </row>
    <row r="30" spans="2:4" x14ac:dyDescent="0.2">
      <c r="B30" s="20"/>
      <c r="C30" s="21"/>
      <c r="D30" s="21"/>
    </row>
    <row r="31" spans="2:4" x14ac:dyDescent="0.2">
      <c r="B31" s="20"/>
      <c r="C31" s="21"/>
      <c r="D31" s="21"/>
    </row>
    <row r="32" spans="2:4" x14ac:dyDescent="0.2">
      <c r="B32" s="14" t="s">
        <v>15</v>
      </c>
    </row>
    <row r="33" spans="2:4" ht="12.75" customHeight="1" x14ac:dyDescent="0.2">
      <c r="B33" s="125" t="str">
        <f>"Official Forward Price Curve dated "&amp;TEXT('OFPC Source'!C4,"mmmm dd yyyy")</f>
        <v>Official Forward Price Curve dated March 31 2023</v>
      </c>
      <c r="C33" s="125"/>
      <c r="D33" s="17"/>
    </row>
    <row r="35" spans="2:4" x14ac:dyDescent="0.2">
      <c r="D35" s="16"/>
    </row>
    <row r="36" spans="2:4" x14ac:dyDescent="0.2">
      <c r="D36" s="124"/>
    </row>
    <row r="37" spans="2:4" x14ac:dyDescent="0.2">
      <c r="D37" s="16"/>
    </row>
  </sheetData>
  <phoneticPr fontId="13" type="noConversion"/>
  <printOptions horizontalCentered="1"/>
  <pageMargins left="0.25" right="0.25" top="0.75" bottom="0.75" header="0.3" footer="0.3"/>
  <pageSetup orientation="portrait" r:id="rId1"/>
  <headerFooter alignWithMargins="0">
    <oddFooter>&amp;L&amp;8NPC Group - &amp;F   ( &amp;A )&amp;C &amp;R &amp;8&amp;D 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B1:F51"/>
  <sheetViews>
    <sheetView view="pageBreakPreview" zoomScale="70" zoomScaleNormal="100" zoomScaleSheetLayoutView="70" workbookViewId="0">
      <selection activeCell="A30" sqref="A30"/>
    </sheetView>
  </sheetViews>
  <sheetFormatPr defaultColWidth="8.83203125" defaultRowHeight="12.75" x14ac:dyDescent="0.2"/>
  <cols>
    <col min="1" max="1" width="2.1640625" style="15" customWidth="1"/>
    <col min="2" max="2" width="22" style="15" customWidth="1"/>
    <col min="3" max="6" width="16.33203125" style="15" customWidth="1"/>
    <col min="7" max="7" width="2.1640625" style="15" customWidth="1"/>
    <col min="8" max="8" width="10" style="15" customWidth="1"/>
    <col min="9" max="16384" width="8.83203125" style="15"/>
  </cols>
  <sheetData>
    <row r="1" spans="2:6" ht="15.75" x14ac:dyDescent="0.25">
      <c r="B1" s="7" t="s">
        <v>92</v>
      </c>
      <c r="C1" s="10"/>
      <c r="D1" s="10"/>
      <c r="E1" s="10"/>
      <c r="F1" s="10"/>
    </row>
    <row r="2" spans="2:6" ht="15.75" x14ac:dyDescent="0.25">
      <c r="B2" s="7" t="s">
        <v>24</v>
      </c>
      <c r="C2" s="10"/>
      <c r="D2" s="10"/>
      <c r="E2" s="10"/>
      <c r="F2" s="10"/>
    </row>
    <row r="3" spans="2:6" ht="15.75" x14ac:dyDescent="0.25">
      <c r="B3" s="7" t="s">
        <v>7</v>
      </c>
      <c r="C3" s="17"/>
      <c r="D3" s="17"/>
      <c r="E3" s="17"/>
      <c r="F3" s="17"/>
    </row>
    <row r="4" spans="2:6" ht="15.75" x14ac:dyDescent="0.25">
      <c r="B4" s="7"/>
      <c r="C4" s="17"/>
      <c r="D4" s="17"/>
      <c r="E4" s="17"/>
      <c r="F4" s="17"/>
    </row>
    <row r="5" spans="2:6" x14ac:dyDescent="0.2">
      <c r="B5" s="8"/>
      <c r="C5" s="11" t="s">
        <v>19</v>
      </c>
      <c r="D5" s="11"/>
      <c r="E5" s="11"/>
      <c r="F5" s="11"/>
    </row>
    <row r="6" spans="2:6" x14ac:dyDescent="0.2">
      <c r="B6" s="12" t="s">
        <v>0</v>
      </c>
      <c r="C6" s="11" t="s">
        <v>20</v>
      </c>
      <c r="D6" s="11"/>
      <c r="E6" s="11" t="s">
        <v>21</v>
      </c>
      <c r="F6" s="11"/>
    </row>
    <row r="7" spans="2:6" x14ac:dyDescent="0.2">
      <c r="B7" s="18"/>
      <c r="C7" s="11" t="s">
        <v>22</v>
      </c>
      <c r="D7" s="11" t="s">
        <v>23</v>
      </c>
      <c r="E7" s="11" t="s">
        <v>22</v>
      </c>
      <c r="F7" s="11" t="s">
        <v>23</v>
      </c>
    </row>
    <row r="8" spans="2:6" x14ac:dyDescent="0.2">
      <c r="C8" s="9" t="s">
        <v>1</v>
      </c>
      <c r="D8" s="9" t="s">
        <v>2</v>
      </c>
      <c r="E8" s="9" t="s">
        <v>3</v>
      </c>
      <c r="F8" s="9" t="s">
        <v>4</v>
      </c>
    </row>
    <row r="9" spans="2:6" x14ac:dyDescent="0.2">
      <c r="C9" s="19"/>
      <c r="D9" s="19"/>
      <c r="E9" s="19"/>
      <c r="F9" s="19"/>
    </row>
    <row r="10" spans="2:6" x14ac:dyDescent="0.2">
      <c r="B10" s="20">
        <v>2023</v>
      </c>
      <c r="C10" s="21">
        <f>VLOOKUP($B10,'OFPC Source'!$W$8:$AA$34,2,FALSE)</f>
        <v>125.27</v>
      </c>
      <c r="D10" s="21">
        <f>VLOOKUP($B10,'OFPC Source'!$W$8:$AA$34,3,FALSE)</f>
        <v>112.17</v>
      </c>
      <c r="E10" s="21">
        <f>VLOOKUP($B10,'OFPC Source'!$W$8:$AA$34,4,FALSE)</f>
        <v>83.88</v>
      </c>
      <c r="F10" s="21">
        <f>VLOOKUP($B10,'OFPC Source'!$W$8:$AA$34,5,FALSE)</f>
        <v>77.44</v>
      </c>
    </row>
    <row r="11" spans="2:6" x14ac:dyDescent="0.2">
      <c r="B11" s="20">
        <f t="shared" ref="B11:B29" si="0">B10+1</f>
        <v>2024</v>
      </c>
      <c r="C11" s="21">
        <f>VLOOKUP($B11,'OFPC Source'!$W$8:$AA$34,2,FALSE)</f>
        <v>112.71</v>
      </c>
      <c r="D11" s="21">
        <f>VLOOKUP($B11,'OFPC Source'!$W$8:$AA$34,3,FALSE)</f>
        <v>109.38</v>
      </c>
      <c r="E11" s="21">
        <f>VLOOKUP($B11,'OFPC Source'!$W$8:$AA$34,4,FALSE)</f>
        <v>74.77</v>
      </c>
      <c r="F11" s="21">
        <f>VLOOKUP($B11,'OFPC Source'!$W$8:$AA$34,5,FALSE)</f>
        <v>76.400000000000006</v>
      </c>
    </row>
    <row r="12" spans="2:6" x14ac:dyDescent="0.2">
      <c r="B12" s="20">
        <f t="shared" si="0"/>
        <v>2025</v>
      </c>
      <c r="C12" s="21">
        <f>VLOOKUP($B12,'OFPC Source'!$W$8:$AA$34,2,FALSE)</f>
        <v>109.47</v>
      </c>
      <c r="D12" s="21">
        <f>VLOOKUP($B12,'OFPC Source'!$W$8:$AA$34,3,FALSE)</f>
        <v>101.23</v>
      </c>
      <c r="E12" s="21">
        <f>VLOOKUP($B12,'OFPC Source'!$W$8:$AA$34,4,FALSE)</f>
        <v>76.47</v>
      </c>
      <c r="F12" s="21">
        <f>VLOOKUP($B12,'OFPC Source'!$W$8:$AA$34,5,FALSE)</f>
        <v>80.62</v>
      </c>
    </row>
    <row r="13" spans="2:6" x14ac:dyDescent="0.2">
      <c r="B13" s="20">
        <f t="shared" si="0"/>
        <v>2026</v>
      </c>
      <c r="C13" s="21">
        <f>VLOOKUP($B13,'OFPC Source'!$W$8:$AA$34,2,FALSE)</f>
        <v>90.26</v>
      </c>
      <c r="D13" s="21">
        <f>VLOOKUP($B13,'OFPC Source'!$W$8:$AA$34,3,FALSE)</f>
        <v>81.89</v>
      </c>
      <c r="E13" s="21">
        <f>VLOOKUP($B13,'OFPC Source'!$W$8:$AA$34,4,FALSE)</f>
        <v>66.48</v>
      </c>
      <c r="F13" s="21">
        <f>VLOOKUP($B13,'OFPC Source'!$W$8:$AA$34,5,FALSE)</f>
        <v>70.34</v>
      </c>
    </row>
    <row r="14" spans="2:6" x14ac:dyDescent="0.2">
      <c r="B14" s="20">
        <f t="shared" si="0"/>
        <v>2027</v>
      </c>
      <c r="C14" s="21">
        <f>VLOOKUP($B14,'OFPC Source'!$W$8:$AA$34,2,FALSE)</f>
        <v>63.39</v>
      </c>
      <c r="D14" s="21">
        <f>VLOOKUP($B14,'OFPC Source'!$W$8:$AA$34,3,FALSE)</f>
        <v>60.6</v>
      </c>
      <c r="E14" s="21">
        <f>VLOOKUP($B14,'OFPC Source'!$W$8:$AA$34,4,FALSE)</f>
        <v>54.49</v>
      </c>
      <c r="F14" s="21">
        <f>VLOOKUP($B14,'OFPC Source'!$W$8:$AA$34,5,FALSE)</f>
        <v>60.34</v>
      </c>
    </row>
    <row r="15" spans="2:6" x14ac:dyDescent="0.2">
      <c r="B15" s="20">
        <f t="shared" si="0"/>
        <v>2028</v>
      </c>
      <c r="C15" s="21">
        <f>VLOOKUP($B15,'OFPC Source'!$W$8:$AA$34,2,FALSE)</f>
        <v>57.2</v>
      </c>
      <c r="D15" s="21">
        <f>VLOOKUP($B15,'OFPC Source'!$W$8:$AA$34,3,FALSE)</f>
        <v>57.55</v>
      </c>
      <c r="E15" s="21">
        <f>VLOOKUP($B15,'OFPC Source'!$W$8:$AA$34,4,FALSE)</f>
        <v>51.55</v>
      </c>
      <c r="F15" s="21">
        <f>VLOOKUP($B15,'OFPC Source'!$W$8:$AA$34,5,FALSE)</f>
        <v>57.85</v>
      </c>
    </row>
    <row r="16" spans="2:6" x14ac:dyDescent="0.2">
      <c r="B16" s="20">
        <f t="shared" si="0"/>
        <v>2029</v>
      </c>
      <c r="C16" s="21">
        <f>VLOOKUP($B16,'OFPC Source'!$W$8:$AA$34,2,FALSE)</f>
        <v>56.94</v>
      </c>
      <c r="D16" s="21">
        <f>VLOOKUP($B16,'OFPC Source'!$W$8:$AA$34,3,FALSE)</f>
        <v>57.54</v>
      </c>
      <c r="E16" s="21">
        <f>VLOOKUP($B16,'OFPC Source'!$W$8:$AA$34,4,FALSE)</f>
        <v>52.87</v>
      </c>
      <c r="F16" s="21">
        <f>VLOOKUP($B16,'OFPC Source'!$W$8:$AA$34,5,FALSE)</f>
        <v>59.83</v>
      </c>
    </row>
    <row r="17" spans="2:6" x14ac:dyDescent="0.2">
      <c r="B17" s="20">
        <f t="shared" si="0"/>
        <v>2030</v>
      </c>
      <c r="C17" s="21">
        <f>VLOOKUP($B17,'OFPC Source'!$W$8:$AA$34,2,FALSE)</f>
        <v>57.66</v>
      </c>
      <c r="D17" s="21">
        <f>VLOOKUP($B17,'OFPC Source'!$W$8:$AA$34,3,FALSE)</f>
        <v>58.54</v>
      </c>
      <c r="E17" s="21">
        <f>VLOOKUP($B17,'OFPC Source'!$W$8:$AA$34,4,FALSE)</f>
        <v>54.8</v>
      </c>
      <c r="F17" s="21">
        <f>VLOOKUP($B17,'OFPC Source'!$W$8:$AA$34,5,FALSE)</f>
        <v>62.29</v>
      </c>
    </row>
    <row r="18" spans="2:6" x14ac:dyDescent="0.2">
      <c r="B18" s="20">
        <f t="shared" si="0"/>
        <v>2031</v>
      </c>
      <c r="C18" s="21">
        <f>VLOOKUP($B18,'OFPC Source'!$W$8:$AA$34,2,FALSE)</f>
        <v>58.57</v>
      </c>
      <c r="D18" s="21">
        <f>VLOOKUP($B18,'OFPC Source'!$W$8:$AA$34,3,FALSE)</f>
        <v>61.33</v>
      </c>
      <c r="E18" s="21">
        <f>VLOOKUP($B18,'OFPC Source'!$W$8:$AA$34,4,FALSE)</f>
        <v>55.04</v>
      </c>
      <c r="F18" s="21">
        <f>VLOOKUP($B18,'OFPC Source'!$W$8:$AA$34,5,FALSE)</f>
        <v>64.849999999999994</v>
      </c>
    </row>
    <row r="19" spans="2:6" x14ac:dyDescent="0.2">
      <c r="B19" s="20">
        <f t="shared" si="0"/>
        <v>2032</v>
      </c>
      <c r="C19" s="21">
        <f>VLOOKUP($B19,'OFPC Source'!$W$8:$AA$34,2,FALSE)</f>
        <v>55.78</v>
      </c>
      <c r="D19" s="21">
        <f>VLOOKUP($B19,'OFPC Source'!$W$8:$AA$34,3,FALSE)</f>
        <v>60.97</v>
      </c>
      <c r="E19" s="21">
        <f>VLOOKUP($B19,'OFPC Source'!$W$8:$AA$34,4,FALSE)</f>
        <v>54.89</v>
      </c>
      <c r="F19" s="21">
        <f>VLOOKUP($B19,'OFPC Source'!$W$8:$AA$34,5,FALSE)</f>
        <v>66.349999999999994</v>
      </c>
    </row>
    <row r="20" spans="2:6" x14ac:dyDescent="0.2">
      <c r="B20" s="20">
        <f t="shared" si="0"/>
        <v>2033</v>
      </c>
      <c r="C20" s="21">
        <f>VLOOKUP($B20,'OFPC Source'!$W$8:$AA$34,2,FALSE)</f>
        <v>46.68</v>
      </c>
      <c r="D20" s="21">
        <f>VLOOKUP($B20,'OFPC Source'!$W$8:$AA$34,3,FALSE)</f>
        <v>53.64</v>
      </c>
      <c r="E20" s="21">
        <f>VLOOKUP($B20,'OFPC Source'!$W$8:$AA$34,4,FALSE)</f>
        <v>48.09</v>
      </c>
      <c r="F20" s="21">
        <f>VLOOKUP($B20,'OFPC Source'!$W$8:$AA$34,5,FALSE)</f>
        <v>62.45</v>
      </c>
    </row>
    <row r="21" spans="2:6" x14ac:dyDescent="0.2">
      <c r="B21" s="20">
        <f t="shared" si="0"/>
        <v>2034</v>
      </c>
      <c r="C21" s="21">
        <f>VLOOKUP($B21,'OFPC Source'!$W$8:$AA$34,2,FALSE)</f>
        <v>48.27</v>
      </c>
      <c r="D21" s="21">
        <f>VLOOKUP($B21,'OFPC Source'!$W$8:$AA$34,3,FALSE)</f>
        <v>55.57</v>
      </c>
      <c r="E21" s="21">
        <f>VLOOKUP($B21,'OFPC Source'!$W$8:$AA$34,4,FALSE)</f>
        <v>49.7</v>
      </c>
      <c r="F21" s="21">
        <f>VLOOKUP($B21,'OFPC Source'!$W$8:$AA$34,5,FALSE)</f>
        <v>64.62</v>
      </c>
    </row>
    <row r="22" spans="2:6" x14ac:dyDescent="0.2">
      <c r="B22" s="20">
        <f t="shared" si="0"/>
        <v>2035</v>
      </c>
      <c r="C22" s="21">
        <f>VLOOKUP($B22,'OFPC Source'!$W$8:$AA$34,2,FALSE)</f>
        <v>49.9</v>
      </c>
      <c r="D22" s="21">
        <f>VLOOKUP($B22,'OFPC Source'!$W$8:$AA$34,3,FALSE)</f>
        <v>59.12</v>
      </c>
      <c r="E22" s="21">
        <f>VLOOKUP($B22,'OFPC Source'!$W$8:$AA$34,4,FALSE)</f>
        <v>49.54</v>
      </c>
      <c r="F22" s="21">
        <f>VLOOKUP($B22,'OFPC Source'!$W$8:$AA$34,5,FALSE)</f>
        <v>65.290000000000006</v>
      </c>
    </row>
    <row r="23" spans="2:6" x14ac:dyDescent="0.2">
      <c r="B23" s="20">
        <f t="shared" si="0"/>
        <v>2036</v>
      </c>
      <c r="C23" s="21">
        <f>VLOOKUP($B23,'OFPC Source'!$W$8:$AA$34,2,FALSE)</f>
        <v>53.29</v>
      </c>
      <c r="D23" s="21">
        <f>VLOOKUP($B23,'OFPC Source'!$W$8:$AA$34,3,FALSE)</f>
        <v>60.31</v>
      </c>
      <c r="E23" s="21">
        <f>VLOOKUP($B23,'OFPC Source'!$W$8:$AA$34,4,FALSE)</f>
        <v>48.8</v>
      </c>
      <c r="F23" s="21">
        <f>VLOOKUP($B23,'OFPC Source'!$W$8:$AA$34,5,FALSE)</f>
        <v>64.16</v>
      </c>
    </row>
    <row r="24" spans="2:6" x14ac:dyDescent="0.2">
      <c r="B24" s="20">
        <f t="shared" si="0"/>
        <v>2037</v>
      </c>
      <c r="C24" s="21">
        <f>VLOOKUP($B24,'OFPC Source'!$W$8:$AA$34,2,FALSE)</f>
        <v>55.08</v>
      </c>
      <c r="D24" s="21">
        <f>VLOOKUP($B24,'OFPC Source'!$W$8:$AA$34,3,FALSE)</f>
        <v>63.45</v>
      </c>
      <c r="E24" s="21">
        <f>VLOOKUP($B24,'OFPC Source'!$W$8:$AA$34,4,FALSE)</f>
        <v>53.72</v>
      </c>
      <c r="F24" s="21">
        <f>VLOOKUP($B24,'OFPC Source'!$W$8:$AA$34,5,FALSE)</f>
        <v>67.53</v>
      </c>
    </row>
    <row r="25" spans="2:6" x14ac:dyDescent="0.2">
      <c r="B25" s="20">
        <f t="shared" si="0"/>
        <v>2038</v>
      </c>
      <c r="C25" s="21">
        <f>VLOOKUP($B25,'OFPC Source'!$W$8:$AA$34,2,FALSE)</f>
        <v>58.13</v>
      </c>
      <c r="D25" s="21">
        <f>VLOOKUP($B25,'OFPC Source'!$W$8:$AA$34,3,FALSE)</f>
        <v>64.45</v>
      </c>
      <c r="E25" s="21">
        <f>VLOOKUP($B25,'OFPC Source'!$W$8:$AA$34,4,FALSE)</f>
        <v>57.33</v>
      </c>
      <c r="F25" s="21">
        <f>VLOOKUP($B25,'OFPC Source'!$W$8:$AA$34,5,FALSE)</f>
        <v>70.540000000000006</v>
      </c>
    </row>
    <row r="26" spans="2:6" x14ac:dyDescent="0.2">
      <c r="B26" s="20">
        <f t="shared" si="0"/>
        <v>2039</v>
      </c>
      <c r="C26" s="21">
        <f>VLOOKUP($B26,'OFPC Source'!$W$8:$AA$34,2,FALSE)</f>
        <v>59.03</v>
      </c>
      <c r="D26" s="21">
        <f>VLOOKUP($B26,'OFPC Source'!$W$8:$AA$34,3,FALSE)</f>
        <v>66.430000000000007</v>
      </c>
      <c r="E26" s="21">
        <f>VLOOKUP($B26,'OFPC Source'!$W$8:$AA$34,4,FALSE)</f>
        <v>58.5</v>
      </c>
      <c r="F26" s="21">
        <f>VLOOKUP($B26,'OFPC Source'!$W$8:$AA$34,5,FALSE)</f>
        <v>71.84</v>
      </c>
    </row>
    <row r="27" spans="2:6" x14ac:dyDescent="0.2">
      <c r="B27" s="20">
        <f t="shared" si="0"/>
        <v>2040</v>
      </c>
      <c r="C27" s="21">
        <f>VLOOKUP($B27,'OFPC Source'!$W$8:$AA$34,2,FALSE)</f>
        <v>63.86</v>
      </c>
      <c r="D27" s="21">
        <f>VLOOKUP($B27,'OFPC Source'!$W$8:$AA$34,3,FALSE)</f>
        <v>71.47</v>
      </c>
      <c r="E27" s="21">
        <f>VLOOKUP($B27,'OFPC Source'!$W$8:$AA$34,4,FALSE)</f>
        <v>59.91</v>
      </c>
      <c r="F27" s="21">
        <f>VLOOKUP($B27,'OFPC Source'!$W$8:$AA$34,5,FALSE)</f>
        <v>74.540000000000006</v>
      </c>
    </row>
    <row r="28" spans="2:6" x14ac:dyDescent="0.2">
      <c r="B28" s="20">
        <f t="shared" si="0"/>
        <v>2041</v>
      </c>
      <c r="C28" s="21">
        <f>VLOOKUP($B28,'OFPC Source'!$W$8:$AA$34,2,FALSE)</f>
        <v>64.010000000000005</v>
      </c>
      <c r="D28" s="21">
        <f>VLOOKUP($B28,'OFPC Source'!$W$8:$AA$34,3,FALSE)</f>
        <v>73.55</v>
      </c>
      <c r="E28" s="21">
        <f>VLOOKUP($B28,'OFPC Source'!$W$8:$AA$34,4,FALSE)</f>
        <v>61.88</v>
      </c>
      <c r="F28" s="21">
        <f>VLOOKUP($B28,'OFPC Source'!$W$8:$AA$34,5,FALSE)</f>
        <v>76.959999999999994</v>
      </c>
    </row>
    <row r="29" spans="2:6" x14ac:dyDescent="0.2">
      <c r="B29" s="20">
        <f t="shared" si="0"/>
        <v>2042</v>
      </c>
      <c r="C29" s="21">
        <f>VLOOKUP($B29,'OFPC Source'!$W$8:$AA$34,2,FALSE)</f>
        <v>69.88</v>
      </c>
      <c r="D29" s="21">
        <f>VLOOKUP($B29,'OFPC Source'!$W$8:$AA$34,3,FALSE)</f>
        <v>78.510000000000005</v>
      </c>
      <c r="E29" s="21">
        <f>VLOOKUP($B29,'OFPC Source'!$W$8:$AA$34,4,FALSE)</f>
        <v>58.33</v>
      </c>
      <c r="F29" s="21">
        <f>VLOOKUP($B29,'OFPC Source'!$W$8:$AA$34,5,FALSE)</f>
        <v>76.02</v>
      </c>
    </row>
    <row r="30" spans="2:6" x14ac:dyDescent="0.2">
      <c r="B30" s="20"/>
      <c r="C30" s="21"/>
      <c r="D30" s="21"/>
      <c r="E30" s="21"/>
      <c r="F30" s="21"/>
    </row>
    <row r="32" spans="2:6" x14ac:dyDescent="0.2">
      <c r="B32" s="14" t="s">
        <v>15</v>
      </c>
    </row>
    <row r="33" spans="2:6" ht="25.5" customHeight="1" x14ac:dyDescent="0.2">
      <c r="B33" s="324" t="str">
        <f>'Table 4 Gas Price'!B33:D33</f>
        <v>Official Forward Price Curve dated March 31 2023</v>
      </c>
      <c r="C33" s="324"/>
      <c r="D33" s="324"/>
      <c r="E33" s="324"/>
      <c r="F33" s="324"/>
    </row>
    <row r="36" spans="2:6" x14ac:dyDescent="0.2">
      <c r="B36" s="22"/>
    </row>
    <row r="37" spans="2:6" x14ac:dyDescent="0.2">
      <c r="B37" s="22"/>
    </row>
    <row r="51" ht="24.75" customHeight="1" x14ac:dyDescent="0.2"/>
  </sheetData>
  <mergeCells count="1">
    <mergeCell ref="B33:F33"/>
  </mergeCells>
  <printOptions horizontalCentered="1"/>
  <pageMargins left="0.25" right="0.25" top="0.75" bottom="0.75" header="0.3" footer="0.3"/>
  <pageSetup orientation="portrait" r:id="rId1"/>
  <headerFooter alignWithMargins="0">
    <oddFooter>&amp;L&amp;8NPC Group - &amp;F   ( &amp;A )&amp;C &amp;R &amp;8&amp;D 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0">
    <pageSetUpPr fitToPage="1"/>
  </sheetPr>
  <dimension ref="B1:N33"/>
  <sheetViews>
    <sheetView view="pageBreakPreview" zoomScale="70" zoomScaleNormal="80" zoomScaleSheetLayoutView="70" workbookViewId="0">
      <selection activeCell="D18" sqref="D18"/>
    </sheetView>
  </sheetViews>
  <sheetFormatPr defaultColWidth="9.33203125" defaultRowHeight="12.75" x14ac:dyDescent="0.2"/>
  <cols>
    <col min="1" max="1" width="1.5" style="134" customWidth="1"/>
    <col min="2" max="2" width="15.33203125" style="134" customWidth="1"/>
    <col min="3" max="3" width="26.6640625" style="134" customWidth="1"/>
    <col min="4" max="4" width="29" style="134" customWidth="1"/>
    <col min="5" max="5" width="3" style="134" customWidth="1"/>
    <col min="6" max="6" width="14.6640625" style="134" customWidth="1"/>
    <col min="7" max="7" width="10.5" style="134" customWidth="1"/>
    <col min="8" max="9" width="9.33203125" style="134"/>
    <col min="10" max="10" width="9.83203125" style="134" customWidth="1"/>
    <col min="11" max="11" width="21.5" style="134" customWidth="1"/>
    <col min="12" max="12" width="19" style="134" customWidth="1"/>
    <col min="13" max="16384" width="9.33203125" style="134"/>
  </cols>
  <sheetData>
    <row r="1" spans="2:14" ht="15.75" x14ac:dyDescent="0.25">
      <c r="B1" s="325" t="s">
        <v>74</v>
      </c>
      <c r="C1" s="325"/>
      <c r="D1" s="325"/>
      <c r="E1" s="325"/>
      <c r="F1" s="325"/>
      <c r="G1" s="325"/>
    </row>
    <row r="2" spans="2:14" ht="15.75" x14ac:dyDescent="0.25">
      <c r="B2" s="7" t="s">
        <v>32</v>
      </c>
      <c r="C2" s="133"/>
      <c r="D2" s="133"/>
      <c r="E2" s="133"/>
      <c r="F2" s="133"/>
      <c r="G2" s="133"/>
    </row>
    <row r="3" spans="2:14" ht="15.75" x14ac:dyDescent="0.25">
      <c r="B3" s="7" t="s">
        <v>7</v>
      </c>
      <c r="C3" s="133"/>
      <c r="D3" s="133"/>
      <c r="E3" s="133"/>
      <c r="F3" s="133"/>
      <c r="G3" s="133"/>
    </row>
    <row r="4" spans="2:14" x14ac:dyDescent="0.2">
      <c r="B4" s="132"/>
      <c r="C4" s="133"/>
    </row>
    <row r="5" spans="2:14" x14ac:dyDescent="0.2">
      <c r="B5" s="133"/>
      <c r="C5" s="221"/>
      <c r="D5" s="221"/>
    </row>
    <row r="6" spans="2:14" ht="89.25" customHeight="1" x14ac:dyDescent="0.2">
      <c r="B6" s="135" t="s">
        <v>0</v>
      </c>
      <c r="C6" s="136" t="s">
        <v>151</v>
      </c>
      <c r="D6" s="136" t="s">
        <v>152</v>
      </c>
      <c r="F6"/>
      <c r="G6"/>
      <c r="I6" s="42"/>
      <c r="M6" s="42"/>
      <c r="N6" s="42"/>
    </row>
    <row r="7" spans="2:14" ht="27" customHeight="1" x14ac:dyDescent="0.2">
      <c r="B7" s="137"/>
      <c r="C7" s="138" t="s">
        <v>26</v>
      </c>
      <c r="D7" s="138" t="s">
        <v>26</v>
      </c>
      <c r="F7"/>
      <c r="G7"/>
      <c r="I7" s="42"/>
      <c r="M7" s="42"/>
      <c r="N7" s="42"/>
    </row>
    <row r="8" spans="2:14" x14ac:dyDescent="0.2">
      <c r="C8" s="139"/>
      <c r="F8"/>
      <c r="G8"/>
      <c r="I8" s="42"/>
      <c r="M8" s="222"/>
    </row>
    <row r="9" spans="2:14" x14ac:dyDescent="0.2">
      <c r="B9" s="140">
        <v>2022</v>
      </c>
      <c r="C9" s="141">
        <v>0.26521788978115668</v>
      </c>
      <c r="D9" s="141">
        <v>0.21588441264934433</v>
      </c>
      <c r="F9"/>
      <c r="G9"/>
      <c r="I9" s="42"/>
      <c r="J9" s="42"/>
      <c r="K9" s="42"/>
      <c r="L9" s="42"/>
    </row>
    <row r="10" spans="2:14" x14ac:dyDescent="0.2">
      <c r="B10" s="140">
        <f t="shared" ref="B10:B29" si="0">B9+1</f>
        <v>2023</v>
      </c>
      <c r="C10" s="309">
        <v>2.3492273456020167</v>
      </c>
      <c r="D10" s="309">
        <v>6.0697413405614018</v>
      </c>
      <c r="F10"/>
      <c r="G10"/>
      <c r="I10" s="42"/>
      <c r="J10" s="42"/>
      <c r="K10" s="42"/>
      <c r="L10" s="42"/>
    </row>
    <row r="11" spans="2:14" x14ac:dyDescent="0.2">
      <c r="B11" s="140">
        <f t="shared" si="0"/>
        <v>2024</v>
      </c>
      <c r="C11" s="309">
        <v>2.0253231680280233</v>
      </c>
      <c r="D11" s="309">
        <v>1.921229360613343</v>
      </c>
      <c r="F11"/>
      <c r="G11"/>
      <c r="I11" s="42"/>
      <c r="J11" s="42"/>
      <c r="K11" s="42"/>
      <c r="L11" s="42"/>
    </row>
    <row r="12" spans="2:14" x14ac:dyDescent="0.2">
      <c r="B12" s="140">
        <f t="shared" si="0"/>
        <v>2025</v>
      </c>
      <c r="C12" s="309">
        <v>2.7167488888448013</v>
      </c>
      <c r="D12" s="309">
        <v>1.2174339530491534</v>
      </c>
      <c r="F12"/>
      <c r="G12"/>
      <c r="I12" s="42"/>
      <c r="J12" s="42"/>
      <c r="K12" s="42"/>
      <c r="L12" s="42"/>
    </row>
    <row r="13" spans="2:14" x14ac:dyDescent="0.2">
      <c r="B13" s="140">
        <f t="shared" si="0"/>
        <v>2026</v>
      </c>
      <c r="C13" s="309">
        <v>2.8777996216025543</v>
      </c>
      <c r="D13" s="309">
        <v>0.91276591166633181</v>
      </c>
      <c r="F13"/>
      <c r="G13"/>
      <c r="I13" s="42"/>
      <c r="J13" s="42"/>
      <c r="K13" s="42"/>
      <c r="L13" s="42"/>
    </row>
    <row r="14" spans="2:14" x14ac:dyDescent="0.2">
      <c r="B14" s="140">
        <f t="shared" si="0"/>
        <v>2027</v>
      </c>
      <c r="C14" s="309">
        <v>3.2796133388942095</v>
      </c>
      <c r="D14" s="309">
        <v>2.3703825092023694</v>
      </c>
      <c r="F14"/>
      <c r="G14"/>
      <c r="I14" s="43"/>
      <c r="J14" s="42"/>
      <c r="K14" s="42"/>
      <c r="L14" s="42"/>
    </row>
    <row r="15" spans="2:14" x14ac:dyDescent="0.2">
      <c r="B15" s="140">
        <f t="shared" si="0"/>
        <v>2028</v>
      </c>
      <c r="C15" s="309">
        <v>3.439350241235116</v>
      </c>
      <c r="D15" s="309">
        <v>2.323486472705794</v>
      </c>
      <c r="F15"/>
      <c r="G15"/>
      <c r="I15" s="43"/>
      <c r="J15" s="42"/>
      <c r="K15" s="42"/>
      <c r="L15" s="42"/>
    </row>
    <row r="16" spans="2:14" x14ac:dyDescent="0.2">
      <c r="B16" s="140">
        <f t="shared" si="0"/>
        <v>2029</v>
      </c>
      <c r="C16" s="309">
        <v>1.7981748724531614</v>
      </c>
      <c r="D16" s="309">
        <v>0.39908886513878433</v>
      </c>
      <c r="F16"/>
      <c r="G16"/>
    </row>
    <row r="17" spans="2:10" x14ac:dyDescent="0.2">
      <c r="B17" s="140">
        <f t="shared" si="0"/>
        <v>2030</v>
      </c>
      <c r="C17" s="309">
        <v>1.6492028069018589</v>
      </c>
      <c r="D17" s="309">
        <v>0.54320120160484764</v>
      </c>
      <c r="F17"/>
      <c r="G17"/>
    </row>
    <row r="18" spans="2:10" x14ac:dyDescent="0.2">
      <c r="B18" s="140">
        <f t="shared" si="0"/>
        <v>2031</v>
      </c>
      <c r="C18" s="309">
        <v>0.49668813626283759</v>
      </c>
      <c r="D18" s="309">
        <v>0.20333623244357069</v>
      </c>
      <c r="F18"/>
      <c r="G18"/>
    </row>
    <row r="19" spans="2:10" x14ac:dyDescent="0.2">
      <c r="B19" s="140">
        <f t="shared" si="0"/>
        <v>2032</v>
      </c>
      <c r="C19" s="309">
        <v>0.65628490288989527</v>
      </c>
      <c r="D19" s="309">
        <v>0.26777701114236585</v>
      </c>
      <c r="F19"/>
      <c r="G19"/>
    </row>
    <row r="20" spans="2:10" x14ac:dyDescent="0.2">
      <c r="B20" s="140">
        <f t="shared" si="0"/>
        <v>2033</v>
      </c>
      <c r="C20" s="309">
        <v>0.17589533658691367</v>
      </c>
      <c r="D20" s="309">
        <v>0.11559477579826567</v>
      </c>
      <c r="F20"/>
      <c r="G20"/>
      <c r="I20" s="142"/>
    </row>
    <row r="21" spans="2:10" x14ac:dyDescent="0.2">
      <c r="B21" s="140">
        <f t="shared" si="0"/>
        <v>2034</v>
      </c>
      <c r="C21" s="309">
        <v>0.12894027104083028</v>
      </c>
      <c r="D21" s="309">
        <v>0.11571003139097054</v>
      </c>
      <c r="F21"/>
      <c r="G21"/>
      <c r="I21" s="142"/>
    </row>
    <row r="22" spans="2:10" x14ac:dyDescent="0.2">
      <c r="B22" s="140">
        <f t="shared" si="0"/>
        <v>2035</v>
      </c>
      <c r="C22" s="309">
        <v>0.17271540358688844</v>
      </c>
      <c r="D22" s="309">
        <v>0.13022140944328695</v>
      </c>
      <c r="F22"/>
      <c r="G22"/>
      <c r="I22" s="143"/>
    </row>
    <row r="23" spans="2:10" x14ac:dyDescent="0.2">
      <c r="B23" s="140">
        <f t="shared" si="0"/>
        <v>2036</v>
      </c>
      <c r="C23" s="309">
        <v>0.14864264669746666</v>
      </c>
      <c r="D23" s="309">
        <v>0.12045160154575105</v>
      </c>
      <c r="F23"/>
      <c r="G23"/>
    </row>
    <row r="24" spans="2:10" x14ac:dyDescent="0.2">
      <c r="B24" s="140">
        <f t="shared" si="0"/>
        <v>2037</v>
      </c>
      <c r="C24" s="309">
        <v>3.3116424447450082E-2</v>
      </c>
      <c r="D24" s="309">
        <v>4.7554866692976844E-2</v>
      </c>
      <c r="F24"/>
      <c r="G24"/>
      <c r="J24" s="144"/>
    </row>
    <row r="25" spans="2:10" x14ac:dyDescent="0.2">
      <c r="B25" s="140">
        <f t="shared" si="0"/>
        <v>2038</v>
      </c>
      <c r="C25" s="309">
        <v>3.1130664913518614E-2</v>
      </c>
      <c r="D25" s="309">
        <v>4.618908398217593E-2</v>
      </c>
      <c r="F25"/>
      <c r="G25"/>
    </row>
    <row r="26" spans="2:10" x14ac:dyDescent="0.2">
      <c r="B26" s="140">
        <f t="shared" si="0"/>
        <v>2039</v>
      </c>
      <c r="C26" s="309">
        <v>3.3350167824736821E-2</v>
      </c>
      <c r="D26" s="309">
        <v>4.8060153623239496E-2</v>
      </c>
      <c r="F26"/>
      <c r="G26"/>
    </row>
    <row r="27" spans="2:10" x14ac:dyDescent="0.2">
      <c r="B27" s="140">
        <f t="shared" si="0"/>
        <v>2040</v>
      </c>
      <c r="C27" s="309">
        <v>0.14199341904899868</v>
      </c>
      <c r="D27" s="309">
        <v>0.34724723176965139</v>
      </c>
      <c r="F27"/>
      <c r="G27"/>
    </row>
    <row r="28" spans="2:10" x14ac:dyDescent="0.2">
      <c r="B28" s="140">
        <f t="shared" si="0"/>
        <v>2041</v>
      </c>
      <c r="C28" s="223">
        <f>C27*(1+$B$33)</f>
        <v>0.14505337722950459</v>
      </c>
      <c r="D28" s="223">
        <f t="shared" ref="D28:D29" si="1">D27*(1+$B$33)</f>
        <v>0.35473040961428737</v>
      </c>
      <c r="F28"/>
      <c r="G28"/>
    </row>
    <row r="29" spans="2:10" x14ac:dyDescent="0.2">
      <c r="B29" s="140">
        <f t="shared" si="0"/>
        <v>2042</v>
      </c>
      <c r="C29" s="223">
        <f t="shared" ref="C29" si="2">C28*(1+$B$33)</f>
        <v>0.14817927750880042</v>
      </c>
      <c r="D29" s="223">
        <f t="shared" si="1"/>
        <v>0.36237484994147523</v>
      </c>
      <c r="F29"/>
      <c r="G29"/>
    </row>
    <row r="30" spans="2:10" x14ac:dyDescent="0.2">
      <c r="B30" s="145"/>
      <c r="C30" s="146"/>
      <c r="F30" s="122"/>
      <c r="G30" s="121"/>
    </row>
    <row r="31" spans="2:10" x14ac:dyDescent="0.2">
      <c r="B31" s="145" t="s">
        <v>284</v>
      </c>
      <c r="C31" s="146"/>
      <c r="F31" s="122"/>
      <c r="G31" s="121"/>
    </row>
    <row r="32" spans="2:10" x14ac:dyDescent="0.2">
      <c r="B32" t="s">
        <v>112</v>
      </c>
      <c r="C32" s="146"/>
      <c r="F32" s="122"/>
      <c r="G32" s="121"/>
    </row>
    <row r="33" spans="2:3" x14ac:dyDescent="0.2">
      <c r="B33" s="310">
        <v>2.155E-2</v>
      </c>
      <c r="C33" s="42" t="s">
        <v>287</v>
      </c>
    </row>
  </sheetData>
  <mergeCells count="1">
    <mergeCell ref="B1:G1"/>
  </mergeCells>
  <printOptions horizontalCentered="1"/>
  <pageMargins left="0.3" right="0.3" top="0.8" bottom="0.4" header="0.5" footer="0.2"/>
  <pageSetup paperSize="9" scale="97" orientation="landscape" r:id="rId1"/>
  <headerFooter alignWithMargins="0">
    <oddFooter>&amp;L&amp;8NPC Group - &amp;F   ( &amp;A )&amp;C &amp;R 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"/>
  <sheetViews>
    <sheetView workbookViewId="0">
      <selection activeCell="D76" sqref="D76"/>
    </sheetView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rgb="FFFF0000"/>
    <pageSetUpPr fitToPage="1"/>
  </sheetPr>
  <dimension ref="A1:N41"/>
  <sheetViews>
    <sheetView showGridLines="0" view="pageBreakPreview" topLeftCell="A6" zoomScale="80" zoomScaleNormal="80" zoomScaleSheetLayoutView="80" workbookViewId="0">
      <selection activeCell="I32" sqref="I32"/>
    </sheetView>
  </sheetViews>
  <sheetFormatPr defaultColWidth="9.33203125" defaultRowHeight="12" x14ac:dyDescent="0.2"/>
  <cols>
    <col min="1" max="1" width="2.83203125" style="25" customWidth="1"/>
    <col min="2" max="2" width="16.5" style="25" customWidth="1"/>
    <col min="3" max="6" width="18.83203125" style="25" customWidth="1"/>
    <col min="7" max="7" width="17" style="25" customWidth="1"/>
    <col min="8" max="8" width="9.33203125" style="25"/>
    <col min="9" max="9" width="19" style="25" customWidth="1"/>
    <col min="10" max="10" width="20.1640625" style="25" customWidth="1"/>
    <col min="11" max="11" width="19" style="25" customWidth="1"/>
    <col min="12" max="12" width="26.83203125" style="25" customWidth="1"/>
    <col min="13" max="13" width="12.83203125" style="25" customWidth="1"/>
    <col min="14" max="14" width="16.6640625" style="25" customWidth="1"/>
    <col min="15" max="16384" width="9.33203125" style="25"/>
  </cols>
  <sheetData>
    <row r="1" spans="1:14" x14ac:dyDescent="0.2">
      <c r="A1" s="2"/>
      <c r="B1" s="2"/>
      <c r="C1" s="2"/>
      <c r="D1" s="2"/>
      <c r="E1" s="2"/>
      <c r="F1" s="2"/>
      <c r="G1" s="2"/>
    </row>
    <row r="2" spans="1:14" x14ac:dyDescent="0.2">
      <c r="A2" s="2"/>
      <c r="B2" s="2" t="s">
        <v>18</v>
      </c>
      <c r="C2" s="2"/>
      <c r="D2" s="2"/>
      <c r="E2" s="2"/>
      <c r="F2" s="2"/>
      <c r="G2" s="2"/>
      <c r="I2" s="2"/>
      <c r="J2" s="2"/>
      <c r="K2" s="2"/>
      <c r="L2" s="2"/>
      <c r="M2" s="2"/>
      <c r="N2" s="2"/>
    </row>
    <row r="3" spans="1:14" x14ac:dyDescent="0.2">
      <c r="B3" s="44" t="s">
        <v>35</v>
      </c>
      <c r="I3" s="2"/>
      <c r="J3" s="2"/>
      <c r="K3" s="2"/>
      <c r="L3" s="2"/>
      <c r="M3" s="2"/>
      <c r="N3" s="2"/>
    </row>
    <row r="4" spans="1:14" x14ac:dyDescent="0.2">
      <c r="A4" s="26"/>
      <c r="C4" s="26"/>
      <c r="D4" s="26"/>
      <c r="E4" s="26"/>
      <c r="F4" s="26"/>
      <c r="G4" s="26"/>
      <c r="L4" s="114" t="s">
        <v>60</v>
      </c>
      <c r="M4" s="114"/>
    </row>
    <row r="5" spans="1:14" x14ac:dyDescent="0.2">
      <c r="A5" s="26"/>
      <c r="B5" s="26"/>
    </row>
    <row r="6" spans="1:14" x14ac:dyDescent="0.2">
      <c r="A6" s="26"/>
      <c r="B6" s="26" t="s">
        <v>29</v>
      </c>
      <c r="C6" s="27" t="s">
        <v>104</v>
      </c>
      <c r="D6" s="27"/>
      <c r="E6" s="45" t="s">
        <v>28</v>
      </c>
      <c r="F6" s="27"/>
      <c r="G6" s="27"/>
    </row>
    <row r="7" spans="1:14" ht="14.25" x14ac:dyDescent="0.35">
      <c r="A7" s="26"/>
      <c r="B7" s="26" t="s">
        <v>27</v>
      </c>
      <c r="C7" s="28" t="s">
        <v>9</v>
      </c>
      <c r="D7" s="28" t="s">
        <v>10</v>
      </c>
      <c r="E7" s="28" t="s">
        <v>9</v>
      </c>
      <c r="F7" s="28" t="s">
        <v>10</v>
      </c>
      <c r="G7" s="28"/>
    </row>
    <row r="8" spans="1:14" x14ac:dyDescent="0.2">
      <c r="A8" s="29"/>
      <c r="B8" s="30"/>
      <c r="C8" s="31"/>
      <c r="D8" s="31"/>
      <c r="E8" s="31"/>
      <c r="F8" s="31"/>
      <c r="G8" s="31"/>
    </row>
    <row r="9" spans="1:14" hidden="1" x14ac:dyDescent="0.2">
      <c r="A9" s="29"/>
      <c r="B9" s="30"/>
      <c r="C9" s="31"/>
      <c r="D9" s="31"/>
      <c r="E9" s="31"/>
      <c r="F9" s="31"/>
      <c r="G9" s="31"/>
      <c r="H9" s="51"/>
    </row>
    <row r="10" spans="1:14" x14ac:dyDescent="0.2">
      <c r="A10" s="29"/>
      <c r="B10" s="30">
        <f>[21]SourceEnergy!$R$20</f>
        <v>2023</v>
      </c>
      <c r="C10" s="31">
        <f>INDEX([21]SourceEnergy!$S$20:$T$40,MATCH($B10,[21]SourceEnergy!$R$20:$R$40,0),MATCH(C$7,[21]SourceEnergy!$S$12:$T$12,0))/10</f>
        <v>5.8848401278401914</v>
      </c>
      <c r="D10" s="31">
        <f>INDEX([21]SourceEnergy!$S$20:$T$40,MATCH($B10,[21]SourceEnergy!$R$20:$R$40,0),MATCH(D$7,[21]SourceEnergy!$S$12:$T$12,0))/10</f>
        <v>11.20576328882397</v>
      </c>
      <c r="E10" s="31">
        <f>INDEX([21]SourceEnergy!$U$20:$V$40,MATCH($B10,[21]SourceEnergy!$R$20:$R$40,0),MATCH(E$7,[21]SourceEnergy!$U$12:$V$12,0))/10</f>
        <v>5.7506453633823345</v>
      </c>
      <c r="F10" s="31">
        <f>INDEX([21]SourceEnergy!$U$20:$V$40,MATCH($B10,[21]SourceEnergy!$R$20:$R$40,0),MATCH(F$7,[21]SourceEnergy!$U$12:$V$12,0))/10</f>
        <v>5.3177927257899293</v>
      </c>
      <c r="G10" s="31"/>
      <c r="H10" s="51"/>
    </row>
    <row r="11" spans="1:14" x14ac:dyDescent="0.2">
      <c r="A11" s="29"/>
      <c r="B11" s="30">
        <f t="shared" ref="B11:B30" si="0">B10+1</f>
        <v>2024</v>
      </c>
      <c r="C11" s="31">
        <f>INDEX([21]SourceEnergy!$S$20:$T$45,MATCH($B11,[21]SourceEnergy!$R$20:$R$45,0),MATCH(C$7,[21]SourceEnergy!$S$12:$T$12,0))/10</f>
        <v>6.2121304256512122</v>
      </c>
      <c r="D11" s="31">
        <f>INDEX([21]SourceEnergy!$S$20:$T$45,MATCH($B11,[21]SourceEnergy!$R$20:$R$45,0),MATCH(D$7,[21]SourceEnergy!$S$12:$T$12,0))/10</f>
        <v>13.747812470335978</v>
      </c>
      <c r="E11" s="31">
        <f>INDEX([21]SourceEnergy!$U$20:$V$45,MATCH($B11,[21]SourceEnergy!$R$20:$R$45,0),MATCH(E$7,[21]SourceEnergy!$U$12:$V$12,0))/10</f>
        <v>6.339210302338449</v>
      </c>
      <c r="F11" s="31">
        <f>INDEX([21]SourceEnergy!$U$20:$V$45,MATCH($B11,[21]SourceEnergy!$R$20:$R$45,0),MATCH(F$7,[21]SourceEnergy!$U$12:$V$12,0))/10</f>
        <v>5.9421283520602133</v>
      </c>
      <c r="G11" s="31"/>
      <c r="H11" s="51"/>
    </row>
    <row r="12" spans="1:14" x14ac:dyDescent="0.2">
      <c r="A12" s="29"/>
      <c r="B12" s="30">
        <f t="shared" si="0"/>
        <v>2025</v>
      </c>
      <c r="C12" s="31">
        <f>INDEX([21]SourceEnergy!$S$20:$T$45,MATCH($B12,[21]SourceEnergy!$R$20:$R$45,0),MATCH(C$7,[21]SourceEnergy!$S$12:$T$12,0))/10</f>
        <v>3.9497977107001341</v>
      </c>
      <c r="D12" s="31">
        <f>INDEX([21]SourceEnergy!$S$20:$T$45,MATCH($B12,[21]SourceEnergy!$R$20:$R$45,0),MATCH(D$7,[21]SourceEnergy!$S$12:$T$12,0))/10</f>
        <v>11.135824579143527</v>
      </c>
      <c r="E12" s="31">
        <f>INDEX([21]SourceEnergy!$U$20:$V$45,MATCH($B12,[21]SourceEnergy!$R$20:$R$45,0),MATCH(E$7,[21]SourceEnergy!$U$12:$V$12,0))/10</f>
        <v>4.3477204593315504</v>
      </c>
      <c r="F12" s="31">
        <f>INDEX([21]SourceEnergy!$U$20:$V$45,MATCH($B12,[21]SourceEnergy!$R$20:$R$45,0),MATCH(F$7,[21]SourceEnergy!$U$12:$V$12,0))/10</f>
        <v>6.0317686376669188</v>
      </c>
      <c r="G12" s="31"/>
      <c r="H12" s="51"/>
    </row>
    <row r="13" spans="1:14" x14ac:dyDescent="0.2">
      <c r="A13" s="29"/>
      <c r="B13" s="30">
        <f t="shared" si="0"/>
        <v>2026</v>
      </c>
      <c r="C13" s="31">
        <f>INDEX([21]SourceEnergy!$S$20:$T$45,MATCH($B13,[21]SourceEnergy!$R$20:$R$45,0),MATCH(C$7,[21]SourceEnergy!$S$12:$T$12,0))/10</f>
        <v>4.9165732172254559</v>
      </c>
      <c r="D13" s="31">
        <f>INDEX([21]SourceEnergy!$S$20:$T$45,MATCH($B13,[21]SourceEnergy!$R$20:$R$45,0),MATCH(D$7,[21]SourceEnergy!$S$12:$T$12,0))/10</f>
        <v>8.1195592866067159</v>
      </c>
      <c r="E13" s="31">
        <f>INDEX([21]SourceEnergy!$U$20:$V$45,MATCH($B13,[21]SourceEnergy!$R$20:$R$45,0),MATCH(E$7,[21]SourceEnergy!$U$12:$V$12,0))/10</f>
        <v>5.0965330496816588</v>
      </c>
      <c r="F13" s="31">
        <f>INDEX([21]SourceEnergy!$U$20:$V$45,MATCH($B13,[21]SourceEnergy!$R$20:$R$45,0),MATCH(F$7,[21]SourceEnergy!$U$12:$V$12,0))/10</f>
        <v>5.4152258976934808</v>
      </c>
      <c r="G13" s="31"/>
      <c r="H13" s="51"/>
    </row>
    <row r="14" spans="1:14" x14ac:dyDescent="0.2">
      <c r="A14" s="29"/>
      <c r="B14" s="30">
        <f t="shared" si="0"/>
        <v>2027</v>
      </c>
      <c r="C14" s="31">
        <f>INDEX([21]SourceEnergy!$S$20:$T$45,MATCH($B14,[21]SourceEnergy!$R$20:$R$45,0),MATCH(C$7,[21]SourceEnergy!$S$12:$T$12,0))/10</f>
        <v>4.4655166366404515</v>
      </c>
      <c r="D14" s="31">
        <f>INDEX([21]SourceEnergy!$S$20:$T$45,MATCH($B14,[21]SourceEnergy!$R$20:$R$45,0),MATCH(D$7,[21]SourceEnergy!$S$12:$T$12,0))/10</f>
        <v>5.0850538704003911</v>
      </c>
      <c r="E14" s="31">
        <f>INDEX([21]SourceEnergy!$U$20:$V$45,MATCH($B14,[21]SourceEnergy!$R$20:$R$45,0),MATCH(E$7,[21]SourceEnergy!$U$12:$V$12,0))/10</f>
        <v>4.6040433018593232</v>
      </c>
      <c r="F14" s="31">
        <f>INDEX([21]SourceEnergy!$U$20:$V$45,MATCH($B14,[21]SourceEnergy!$R$20:$R$45,0),MATCH(F$7,[21]SourceEnergy!$U$12:$V$12,0))/10</f>
        <v>4.7629818603036291</v>
      </c>
      <c r="G14" s="31"/>
      <c r="H14" s="51"/>
    </row>
    <row r="15" spans="1:14" x14ac:dyDescent="0.2">
      <c r="A15" s="29"/>
      <c r="B15" s="30">
        <f t="shared" si="0"/>
        <v>2028</v>
      </c>
      <c r="C15" s="31">
        <f>INDEX([21]SourceEnergy!$S$20:$T$45,MATCH($B15,[21]SourceEnergy!$R$20:$R$45,0),MATCH(C$7,[21]SourceEnergy!$S$12:$T$12,0))/10</f>
        <v>4.2155835226115226</v>
      </c>
      <c r="D15" s="31">
        <f>INDEX([21]SourceEnergy!$S$20:$T$45,MATCH($B15,[21]SourceEnergy!$R$20:$R$45,0),MATCH(D$7,[21]SourceEnergy!$S$12:$T$12,0))/10</f>
        <v>5.3237031961349164</v>
      </c>
      <c r="E15" s="31">
        <f>INDEX([21]SourceEnergy!$U$20:$V$45,MATCH($B15,[21]SourceEnergy!$R$20:$R$45,0),MATCH(E$7,[21]SourceEnergy!$U$12:$V$12,0))/10</f>
        <v>4.3951023231623161</v>
      </c>
      <c r="F15" s="31">
        <f>INDEX([21]SourceEnergy!$U$20:$V$45,MATCH($B15,[21]SourceEnergy!$R$20:$R$45,0),MATCH(F$7,[21]SourceEnergy!$U$12:$V$12,0))/10</f>
        <v>5.0847622495861602</v>
      </c>
      <c r="G15" s="31"/>
      <c r="H15" s="51"/>
    </row>
    <row r="16" spans="1:14" x14ac:dyDescent="0.2">
      <c r="A16" s="29"/>
      <c r="B16" s="30">
        <f t="shared" si="0"/>
        <v>2029</v>
      </c>
      <c r="C16" s="31">
        <f>INDEX([21]SourceEnergy!$S$20:$T$45,MATCH($B16,[21]SourceEnergy!$R$20:$R$45,0),MATCH(C$7,[21]SourceEnergy!$S$12:$T$12,0))/10</f>
        <v>4.3070611991269967</v>
      </c>
      <c r="D16" s="31">
        <f>INDEX([21]SourceEnergy!$S$20:$T$45,MATCH($B16,[21]SourceEnergy!$R$20:$R$45,0),MATCH(D$7,[21]SourceEnergy!$S$12:$T$12,0))/10</f>
        <v>5.2540165046202691</v>
      </c>
      <c r="E16" s="31">
        <f>INDEX([21]SourceEnergy!$U$20:$V$45,MATCH($B16,[21]SourceEnergy!$R$20:$R$45,0),MATCH(E$7,[21]SourceEnergy!$U$12:$V$12,0))/10</f>
        <v>4.7043320327683587</v>
      </c>
      <c r="F16" s="31">
        <f>INDEX([21]SourceEnergy!$U$20:$V$45,MATCH($B16,[21]SourceEnergy!$R$20:$R$45,0),MATCH(F$7,[21]SourceEnergy!$U$12:$V$12,0))/10</f>
        <v>5.0554019066281928</v>
      </c>
      <c r="G16" s="31"/>
      <c r="H16" s="51"/>
    </row>
    <row r="17" spans="1:14" x14ac:dyDescent="0.2">
      <c r="A17" s="29"/>
      <c r="B17" s="30">
        <f t="shared" si="0"/>
        <v>2030</v>
      </c>
      <c r="C17" s="31">
        <f>INDEX([21]SourceEnergy!$S$20:$T$45,MATCH($B17,[21]SourceEnergy!$R$20:$R$45,0),MATCH(C$7,[21]SourceEnergy!$S$12:$T$12,0))/10</f>
        <v>4.3662127472556076</v>
      </c>
      <c r="D17" s="31">
        <f>INDEX([21]SourceEnergy!$S$20:$T$45,MATCH($B17,[21]SourceEnergy!$R$20:$R$45,0),MATCH(D$7,[21]SourceEnergy!$S$12:$T$12,0))/10</f>
        <v>5.3054780721668608</v>
      </c>
      <c r="E17" s="31">
        <f>INDEX([21]SourceEnergy!$U$20:$V$45,MATCH($B17,[21]SourceEnergy!$R$20:$R$45,0),MATCH(E$7,[21]SourceEnergy!$U$12:$V$12,0))/10</f>
        <v>4.9101576378729073</v>
      </c>
      <c r="F17" s="31">
        <f>INDEX([21]SourceEnergy!$U$20:$V$45,MATCH($B17,[21]SourceEnergy!$R$20:$R$45,0),MATCH(F$7,[21]SourceEnergy!$U$12:$V$12,0))/10</f>
        <v>5.1627058431399711</v>
      </c>
      <c r="G17" s="31"/>
      <c r="H17" s="51"/>
    </row>
    <row r="18" spans="1:14" x14ac:dyDescent="0.2">
      <c r="A18" s="29"/>
      <c r="B18" s="30">
        <f t="shared" si="0"/>
        <v>2031</v>
      </c>
      <c r="C18" s="31">
        <f>INDEX([21]SourceEnergy!$S$20:$T$45,MATCH($B18,[21]SourceEnergy!$R$20:$R$45,0),MATCH(C$7,[21]SourceEnergy!$S$12:$T$12,0))/10</f>
        <v>5.6314102075336159</v>
      </c>
      <c r="D18" s="31">
        <f>INDEX([21]SourceEnergy!$S$20:$T$45,MATCH($B18,[21]SourceEnergy!$R$20:$R$45,0),MATCH(D$7,[21]SourceEnergy!$S$12:$T$12,0))/10</f>
        <v>6.7141664463970896</v>
      </c>
      <c r="E18" s="31">
        <f>INDEX([21]SourceEnergy!$U$20:$V$45,MATCH($B18,[21]SourceEnergy!$R$20:$R$45,0),MATCH(E$7,[21]SourceEnergy!$U$12:$V$12,0))/10</f>
        <v>6.3175651346227948</v>
      </c>
      <c r="F18" s="31">
        <f>INDEX([21]SourceEnergy!$U$20:$V$45,MATCH($B18,[21]SourceEnergy!$R$20:$R$45,0),MATCH(F$7,[21]SourceEnergy!$U$12:$V$12,0))/10</f>
        <v>6.5937768082197481</v>
      </c>
      <c r="G18" s="31"/>
      <c r="H18" s="51"/>
    </row>
    <row r="19" spans="1:14" x14ac:dyDescent="0.2">
      <c r="A19" s="29"/>
      <c r="B19" s="30">
        <f t="shared" si="0"/>
        <v>2032</v>
      </c>
      <c r="C19" s="31">
        <f>INDEX([21]SourceEnergy!$S$20:$T$45,MATCH($B19,[21]SourceEnergy!$R$20:$R$45,0),MATCH(C$7,[21]SourceEnergy!$S$12:$T$12,0))/10</f>
        <v>5.3587594515612</v>
      </c>
      <c r="D19" s="31">
        <f>INDEX([21]SourceEnergy!$S$20:$T$45,MATCH($B19,[21]SourceEnergy!$R$20:$R$45,0),MATCH(D$7,[21]SourceEnergy!$S$12:$T$12,0))/10</f>
        <v>6.3705538728805653</v>
      </c>
      <c r="E19" s="31">
        <f>INDEX([21]SourceEnergy!$U$20:$V$45,MATCH($B19,[21]SourceEnergy!$R$20:$R$45,0),MATCH(E$7,[21]SourceEnergy!$U$12:$V$12,0))/10</f>
        <v>6.0926149297717025</v>
      </c>
      <c r="F19" s="31">
        <f>INDEX([21]SourceEnergy!$U$20:$V$45,MATCH($B19,[21]SourceEnergy!$R$20:$R$45,0),MATCH(F$7,[21]SourceEnergy!$U$12:$V$12,0))/10</f>
        <v>6.5930869378403241</v>
      </c>
      <c r="G19" s="31"/>
      <c r="H19" s="51"/>
    </row>
    <row r="20" spans="1:14" x14ac:dyDescent="0.2">
      <c r="A20" s="29"/>
      <c r="B20" s="30">
        <f t="shared" si="0"/>
        <v>2033</v>
      </c>
      <c r="C20" s="31">
        <f>INDEX([21]SourceEnergy!$S$20:$T$45,MATCH($B20,[21]SourceEnergy!$R$20:$R$45,0),MATCH(C$7,[21]SourceEnergy!$S$12:$T$12,0))/10</f>
        <v>4.8430965683709051</v>
      </c>
      <c r="D20" s="31">
        <f>INDEX([21]SourceEnergy!$S$20:$T$45,MATCH($B20,[21]SourceEnergy!$R$20:$R$45,0),MATCH(D$7,[21]SourceEnergy!$S$12:$T$12,0))/10</f>
        <v>5.4757360237361272</v>
      </c>
      <c r="E20" s="31">
        <f>INDEX([21]SourceEnergy!$U$20:$V$45,MATCH($B20,[21]SourceEnergy!$R$20:$R$45,0),MATCH(E$7,[21]SourceEnergy!$U$12:$V$12,0))/10</f>
        <v>5.6506035975524664</v>
      </c>
      <c r="F20" s="31">
        <f>INDEX([21]SourceEnergy!$U$20:$V$45,MATCH($B20,[21]SourceEnergy!$R$20:$R$45,0),MATCH(F$7,[21]SourceEnergy!$U$12:$V$12,0))/10</f>
        <v>6.4731871634389702</v>
      </c>
      <c r="G20" s="31"/>
      <c r="H20" s="51"/>
    </row>
    <row r="21" spans="1:14" x14ac:dyDescent="0.2">
      <c r="A21" s="29"/>
      <c r="B21" s="30">
        <f t="shared" si="0"/>
        <v>2034</v>
      </c>
      <c r="C21" s="31">
        <f>INDEX([21]SourceEnergy!$S$20:$T$45,MATCH($B21,[21]SourceEnergy!$R$20:$R$45,0),MATCH(C$7,[21]SourceEnergy!$S$12:$T$12,0))/10</f>
        <v>4.8078777550360039</v>
      </c>
      <c r="D21" s="31">
        <f>INDEX([21]SourceEnergy!$S$20:$T$45,MATCH($B21,[21]SourceEnergy!$R$20:$R$45,0),MATCH(D$7,[21]SourceEnergy!$S$12:$T$12,0))/10</f>
        <v>5.7172858441753451</v>
      </c>
      <c r="E21" s="31">
        <f>INDEX([21]SourceEnergy!$U$20:$V$45,MATCH($B21,[21]SourceEnergy!$R$20:$R$45,0),MATCH(E$7,[21]SourceEnergy!$U$12:$V$12,0))/10</f>
        <v>5.6661688030127131</v>
      </c>
      <c r="F21" s="31">
        <f>INDEX([21]SourceEnergy!$U$20:$V$45,MATCH($B21,[21]SourceEnergy!$R$20:$R$45,0),MATCH(F$7,[21]SourceEnergy!$U$12:$V$12,0))/10</f>
        <v>6.7085510591622066</v>
      </c>
      <c r="G21" s="31"/>
      <c r="H21" s="51"/>
    </row>
    <row r="22" spans="1:14" x14ac:dyDescent="0.2">
      <c r="A22" s="29"/>
      <c r="B22" s="30">
        <f t="shared" si="0"/>
        <v>2035</v>
      </c>
      <c r="C22" s="31">
        <f>INDEX([21]SourceEnergy!$S$20:$T$45,MATCH($B22,[21]SourceEnergy!$R$20:$R$45,0),MATCH(C$7,[21]SourceEnergy!$S$12:$T$12,0))/10</f>
        <v>5.0843938765255832</v>
      </c>
      <c r="D22" s="31">
        <f>INDEX([21]SourceEnergy!$S$20:$T$45,MATCH($B22,[21]SourceEnergy!$R$20:$R$45,0),MATCH(D$7,[21]SourceEnergy!$S$12:$T$12,0))/10</f>
        <v>5.9439034522634255</v>
      </c>
      <c r="E22" s="31">
        <f>INDEX([21]SourceEnergy!$U$20:$V$45,MATCH($B22,[21]SourceEnergy!$R$20:$R$45,0),MATCH(E$7,[21]SourceEnergy!$U$12:$V$12,0))/10</f>
        <v>5.8099591705333244</v>
      </c>
      <c r="F22" s="31">
        <f>INDEX([21]SourceEnergy!$U$20:$V$45,MATCH($B22,[21]SourceEnergy!$R$20:$R$45,0),MATCH(F$7,[21]SourceEnergy!$U$12:$V$12,0))/10</f>
        <v>6.415865546945005</v>
      </c>
      <c r="G22" s="31"/>
      <c r="H22" s="51"/>
    </row>
    <row r="23" spans="1:14" x14ac:dyDescent="0.2">
      <c r="A23" s="29"/>
      <c r="B23" s="30">
        <f t="shared" si="0"/>
        <v>2036</v>
      </c>
      <c r="C23" s="31">
        <f>INDEX([21]SourceEnergy!$S$20:$T$45,MATCH($B23,[21]SourceEnergy!$R$20:$R$45,0),MATCH(C$7,[21]SourceEnergy!$S$12:$T$12,0))/10</f>
        <v>5.2272339778102443</v>
      </c>
      <c r="D23" s="31">
        <f>INDEX([21]SourceEnergy!$S$20:$T$45,MATCH($B23,[21]SourceEnergy!$R$20:$R$45,0),MATCH(D$7,[21]SourceEnergy!$S$12:$T$12,0))/10</f>
        <v>6.5734334751506767</v>
      </c>
      <c r="E23" s="31">
        <f>INDEX([21]SourceEnergy!$U$20:$V$45,MATCH($B23,[21]SourceEnergy!$R$20:$R$45,0),MATCH(E$7,[21]SourceEnergy!$U$12:$V$12,0))/10</f>
        <v>5.718736889865661</v>
      </c>
      <c r="F23" s="31">
        <f>INDEX([21]SourceEnergy!$U$20:$V$45,MATCH($B23,[21]SourceEnergy!$R$20:$R$45,0),MATCH(F$7,[21]SourceEnergy!$U$12:$V$12,0))/10</f>
        <v>6.8668133646330229</v>
      </c>
      <c r="G23" s="31"/>
      <c r="H23" s="51"/>
    </row>
    <row r="24" spans="1:14" x14ac:dyDescent="0.2">
      <c r="A24" s="29"/>
      <c r="B24" s="30">
        <f t="shared" si="0"/>
        <v>2037</v>
      </c>
      <c r="C24" s="31">
        <f>INDEX([21]SourceEnergy!$S$20:$T$45,MATCH($B24,[21]SourceEnergy!$R$20:$R$45,0),MATCH(C$7,[21]SourceEnergy!$S$12:$T$12,0))/10</f>
        <v>5.2893802133599026</v>
      </c>
      <c r="D24" s="31">
        <f>INDEX([21]SourceEnergy!$S$20:$T$45,MATCH($B24,[21]SourceEnergy!$R$20:$R$45,0),MATCH(D$7,[21]SourceEnergy!$S$12:$T$12,0))/10</f>
        <v>6.6908073865760214</v>
      </c>
      <c r="E24" s="31">
        <f>INDEX([21]SourceEnergy!$U$20:$V$45,MATCH($B24,[21]SourceEnergy!$R$20:$R$45,0),MATCH(E$7,[21]SourceEnergy!$U$12:$V$12,0))/10</f>
        <v>5.6967739296456346</v>
      </c>
      <c r="F24" s="31">
        <f>INDEX([21]SourceEnergy!$U$20:$V$45,MATCH($B24,[21]SourceEnergy!$R$20:$R$45,0),MATCH(F$7,[21]SourceEnergy!$U$12:$V$12,0))/10</f>
        <v>7.2159430392770201</v>
      </c>
      <c r="G24" s="31"/>
      <c r="H24" s="51"/>
    </row>
    <row r="25" spans="1:14" x14ac:dyDescent="0.2">
      <c r="A25" s="29"/>
      <c r="B25" s="30">
        <f t="shared" si="0"/>
        <v>2038</v>
      </c>
      <c r="C25" s="31">
        <f>INDEX([21]SourceEnergy!$S$20:$T$45,MATCH($B25,[21]SourceEnergy!$R$20:$R$45,0),MATCH(C$7,[21]SourceEnergy!$S$12:$T$12,0))/10</f>
        <v>5.3681770184915045</v>
      </c>
      <c r="D25" s="31">
        <f>INDEX([21]SourceEnergy!$S$20:$T$45,MATCH($B25,[21]SourceEnergy!$R$20:$R$45,0),MATCH(D$7,[21]SourceEnergy!$S$12:$T$12,0))/10</f>
        <v>6.9622727814092453</v>
      </c>
      <c r="E25" s="31">
        <f>INDEX([21]SourceEnergy!$U$20:$V$45,MATCH($B25,[21]SourceEnergy!$R$20:$R$45,0),MATCH(E$7,[21]SourceEnergy!$U$12:$V$12,0))/10</f>
        <v>6.0400565286204797</v>
      </c>
      <c r="F25" s="31">
        <f>INDEX([21]SourceEnergy!$U$20:$V$45,MATCH($B25,[21]SourceEnergy!$R$20:$R$45,0),MATCH(F$7,[21]SourceEnergy!$U$12:$V$12,0))/10</f>
        <v>7.5478762498615692</v>
      </c>
      <c r="G25" s="31"/>
      <c r="H25" s="51"/>
    </row>
    <row r="26" spans="1:14" x14ac:dyDescent="0.2">
      <c r="A26" s="29"/>
      <c r="B26" s="30">
        <f t="shared" si="0"/>
        <v>2039</v>
      </c>
      <c r="C26" s="31">
        <f>INDEX([21]SourceEnergy!$S$20:$T$45,MATCH($B26,[21]SourceEnergy!$R$20:$R$45,0),MATCH(C$7,[21]SourceEnergy!$S$12:$T$12,0))/10</f>
        <v>5.814181233856341</v>
      </c>
      <c r="D26" s="31">
        <f>INDEX([21]SourceEnergy!$S$20:$T$45,MATCH($B26,[21]SourceEnergy!$R$20:$R$45,0),MATCH(D$7,[21]SourceEnergy!$S$12:$T$12,0))/10</f>
        <v>6.8800797065999317</v>
      </c>
      <c r="E26" s="31">
        <f>INDEX([21]SourceEnergy!$U$20:$V$45,MATCH($B26,[21]SourceEnergy!$R$20:$R$45,0),MATCH(E$7,[21]SourceEnergy!$U$12:$V$12,0))/10</f>
        <v>6.2845855906751957</v>
      </c>
      <c r="F26" s="31">
        <f>INDEX([21]SourceEnergy!$U$20:$V$45,MATCH($B26,[21]SourceEnergy!$R$20:$R$45,0),MATCH(F$7,[21]SourceEnergy!$U$12:$V$12,0))/10</f>
        <v>7.6377374975000665</v>
      </c>
      <c r="G26" s="31"/>
      <c r="H26" s="51"/>
    </row>
    <row r="27" spans="1:14" x14ac:dyDescent="0.2">
      <c r="A27" s="29"/>
      <c r="B27" s="30">
        <f t="shared" si="0"/>
        <v>2040</v>
      </c>
      <c r="C27" s="31">
        <f>INDEX([21]SourceEnergy!$S$20:$T$45,MATCH($B27,[21]SourceEnergy!$R$20:$R$45,0),MATCH(C$7,[21]SourceEnergy!$S$12:$T$12,0))/10</f>
        <v>6.2168563195668209</v>
      </c>
      <c r="D27" s="31">
        <f>INDEX([21]SourceEnergy!$S$20:$T$45,MATCH($B27,[21]SourceEnergy!$R$20:$R$45,0),MATCH(D$7,[21]SourceEnergy!$S$12:$T$12,0))/10</f>
        <v>7.4433640396679053</v>
      </c>
      <c r="E27" s="31">
        <f>INDEX([21]SourceEnergy!$U$20:$V$45,MATCH($B27,[21]SourceEnergy!$R$20:$R$45,0),MATCH(E$7,[21]SourceEnergy!$U$12:$V$12,0))/10</f>
        <v>6.429541377790204</v>
      </c>
      <c r="F27" s="31">
        <f>INDEX([21]SourceEnergy!$U$20:$V$45,MATCH($B27,[21]SourceEnergy!$R$20:$R$45,0),MATCH(F$7,[21]SourceEnergy!$U$12:$V$12,0))/10</f>
        <v>8.0369937622477483</v>
      </c>
      <c r="G27" s="31"/>
      <c r="H27" s="51"/>
    </row>
    <row r="28" spans="1:14" x14ac:dyDescent="0.2">
      <c r="A28" s="29"/>
      <c r="B28" s="30">
        <f t="shared" si="0"/>
        <v>2041</v>
      </c>
      <c r="C28" s="31">
        <f>INDEX([21]SourceEnergy!$S$20:$T$45,MATCH($B28,[21]SourceEnergy!$R$20:$R$45,0),MATCH(C$7,[21]SourceEnergy!$S$12:$T$12,0))/10</f>
        <v>6.3566706186918207</v>
      </c>
      <c r="D28" s="31">
        <f>INDEX([21]SourceEnergy!$S$20:$T$45,MATCH($B28,[21]SourceEnergy!$R$20:$R$45,0),MATCH(D$7,[21]SourceEnergy!$S$12:$T$12,0))/10</f>
        <v>7.5811011766399456</v>
      </c>
      <c r="E28" s="31">
        <f>INDEX([21]SourceEnergy!$U$20:$V$45,MATCH($B28,[21]SourceEnergy!$R$20:$R$45,0),MATCH(E$7,[21]SourceEnergy!$U$12:$V$12,0))/10</f>
        <v>6.5651114194682147</v>
      </c>
      <c r="F28" s="31">
        <f>INDEX([21]SourceEnergy!$U$20:$V$45,MATCH($B28,[21]SourceEnergy!$R$20:$R$45,0),MATCH(F$7,[21]SourceEnergy!$U$12:$V$12,0))/10</f>
        <v>8.2436100896952738</v>
      </c>
      <c r="G28" s="31"/>
      <c r="H28" s="51"/>
    </row>
    <row r="29" spans="1:14" x14ac:dyDescent="0.2">
      <c r="A29" s="29"/>
      <c r="B29" s="30">
        <f t="shared" si="0"/>
        <v>2042</v>
      </c>
      <c r="C29" s="31">
        <f>INDEX([21]SourceEnergy!$S$20:$T$45,MATCH($B29,[21]SourceEnergy!$R$20:$R$45,0),MATCH(C$7,[21]SourceEnergy!$S$12:$T$12,0))/10</f>
        <v>6.718414413503643</v>
      </c>
      <c r="D29" s="31">
        <f>INDEX([21]SourceEnergy!$S$20:$T$45,MATCH($B29,[21]SourceEnergy!$R$20:$R$45,0),MATCH(D$7,[21]SourceEnergy!$S$12:$T$12,0))/10</f>
        <v>7.9665088410579683</v>
      </c>
      <c r="E29" s="31">
        <f>INDEX([21]SourceEnergy!$U$20:$V$45,MATCH($B29,[21]SourceEnergy!$R$20:$R$45,0),MATCH(E$7,[21]SourceEnergy!$U$12:$V$12,0))/10</f>
        <v>6.4203413319703744</v>
      </c>
      <c r="F29" s="31">
        <f>INDEX([21]SourceEnergy!$U$20:$V$45,MATCH($B29,[21]SourceEnergy!$R$20:$R$45,0),MATCH(F$7,[21]SourceEnergy!$U$12:$V$12,0))/10</f>
        <v>8.137629322408312</v>
      </c>
      <c r="G29" s="31"/>
      <c r="H29" s="51"/>
    </row>
    <row r="30" spans="1:14" hidden="1" x14ac:dyDescent="0.2">
      <c r="A30" s="29"/>
      <c r="B30" s="30">
        <f t="shared" si="0"/>
        <v>2043</v>
      </c>
      <c r="C30" s="31">
        <f>INDEX([21]SourceEnergy!$S$20:$T$45,MATCH($B30,[21]SourceEnergy!$R$20:$R$45,0),MATCH(C$7,[21]SourceEnergy!$S$12:$T$12,0))/10</f>
        <v>0</v>
      </c>
      <c r="D30" s="31">
        <f>INDEX([21]SourceEnergy!$S$20:$T$45,MATCH($B30,[21]SourceEnergy!$R$20:$R$45,0),MATCH(D$7,[21]SourceEnergy!$S$12:$T$12,0))/10</f>
        <v>0</v>
      </c>
      <c r="E30" s="31">
        <f>INDEX([21]SourceEnergy!$U$20:$V$45,MATCH($B30,[21]SourceEnergy!$R$20:$R$45,0),MATCH(E$7,[21]SourceEnergy!$U$12:$V$12,0))/10</f>
        <v>0</v>
      </c>
      <c r="F30" s="31">
        <f>INDEX([21]SourceEnergy!$U$20:$V$45,MATCH($B30,[21]SourceEnergy!$R$20:$R$45,0),MATCH(F$7,[21]SourceEnergy!$U$12:$V$12,0))/10</f>
        <v>0</v>
      </c>
      <c r="G30" s="31"/>
      <c r="H30" s="51"/>
    </row>
    <row r="31" spans="1:14" x14ac:dyDescent="0.2">
      <c r="A31" s="29"/>
      <c r="B31" s="30"/>
      <c r="C31" s="29"/>
      <c r="D31" s="29"/>
      <c r="E31" s="29"/>
      <c r="F31" s="29"/>
      <c r="G31" s="29"/>
      <c r="H31" s="51"/>
      <c r="I31" s="30"/>
      <c r="J31" s="30"/>
      <c r="K31" s="30"/>
      <c r="L31" s="115"/>
      <c r="M31" s="115"/>
      <c r="N31" s="115"/>
    </row>
    <row r="32" spans="1:14" x14ac:dyDescent="0.2">
      <c r="A32" s="29"/>
      <c r="C32" s="27" t="s">
        <v>104</v>
      </c>
      <c r="D32" s="27"/>
      <c r="E32" s="45" t="s">
        <v>28</v>
      </c>
      <c r="F32" s="45"/>
      <c r="G32" s="27"/>
      <c r="H32" s="51"/>
      <c r="I32" s="30"/>
      <c r="J32" s="30"/>
      <c r="K32" s="30"/>
      <c r="M32" s="115"/>
      <c r="N32" s="29"/>
    </row>
    <row r="33" spans="1:14" ht="14.25" x14ac:dyDescent="0.35">
      <c r="A33" s="29"/>
      <c r="B33" s="34"/>
      <c r="C33" s="28" t="s">
        <v>9</v>
      </c>
      <c r="D33" s="28" t="s">
        <v>10</v>
      </c>
      <c r="E33" s="28" t="s">
        <v>9</v>
      </c>
      <c r="F33" s="28" t="s">
        <v>10</v>
      </c>
      <c r="G33" s="28"/>
      <c r="H33" s="51"/>
      <c r="L33" s="115"/>
      <c r="M33" s="115"/>
      <c r="N33" s="29"/>
    </row>
    <row r="34" spans="1:14" ht="36" customHeight="1" x14ac:dyDescent="0.2">
      <c r="B34" s="35" t="str">
        <f ca="1">"15-year ("&amp;INDEX($B:$B,MID(_xlfn.FORMULATEXT(C34),FIND("(C",_xlfn.FORMULATEXT(C34))+2,2),1)&amp;"-"&amp;INDEX($B:$B,MID(_xlfn.FORMULATEXT(C34),FIND("),",_xlfn.FORMULATEXT(C34))-2,2),1)&amp;") Nominal Levelized"</f>
        <v>15-year (2023-2037) Nominal Levelized</v>
      </c>
      <c r="C34" s="36">
        <f>-PMT('Table 3 Comparison'!$P$37,COUNT(C10:C24),NPV('Table 3 Comparison'!$P$37,C10:C24))</f>
        <v>4.9835971445840741</v>
      </c>
      <c r="D34" s="36">
        <f>-PMT('Table 3 Comparison'!$P$37,COUNT(D10:D24),NPV('Table 3 Comparison'!$P$37,D10:D24))</f>
        <v>7.7606944307894246</v>
      </c>
      <c r="E34" s="36">
        <f>-PMT('Table 3 Comparison'!$P$37,COUNT(E10:E24),NPV('Table 3 Comparison'!$P$37,E10:E24))</f>
        <v>5.3558504264374971</v>
      </c>
      <c r="F34" s="36">
        <f>-PMT('Table 3 Comparison'!$P$37,COUNT(F10:F24),NPV('Table 3 Comparison'!$P$37,F10:F24))</f>
        <v>5.8306517948335301</v>
      </c>
      <c r="G34" s="36"/>
    </row>
    <row r="35" spans="1:14" ht="28.5" hidden="1" customHeight="1" x14ac:dyDescent="0.2">
      <c r="A35" s="34"/>
      <c r="B35" s="35" t="s">
        <v>293</v>
      </c>
      <c r="C35" s="36">
        <f>-PMT('Table 3 Comparison'!$P$37,COUNT(C11:C25),NPV('Table 3 Comparison'!$P$37,C11:C25))</f>
        <v>4.900840415453767</v>
      </c>
      <c r="D35" s="36">
        <f>-PMT('Table 3 Comparison'!$P$37,COUNT(D11:D25),NPV('Table 3 Comparison'!$P$37,D11:D25))</f>
        <v>7.3532385121980086</v>
      </c>
      <c r="E35" s="36">
        <f>-PMT('Table 3 Comparison'!$P$37,COUNT(E11:E25),NPV('Table 3 Comparison'!$P$37,E11:E25))</f>
        <v>5.340312419474035</v>
      </c>
      <c r="F35" s="36">
        <f>-PMT('Table 3 Comparison'!$P$37,COUNT(F11:F25),NPV('Table 3 Comparison'!$P$37,F11:F25))</f>
        <v>5.9555053781673237</v>
      </c>
    </row>
    <row r="36" spans="1:14" ht="24.75" hidden="1" customHeight="1" x14ac:dyDescent="0.2">
      <c r="A36" s="38"/>
      <c r="B36" s="35" t="s">
        <v>294</v>
      </c>
      <c r="C36" s="36">
        <f>-PMT('Table 3 Comparison'!$P$37,COUNT(C12:C26),NPV('Table 3 Comparison'!$P$37,C12:C26))</f>
        <v>4.794640466259346</v>
      </c>
      <c r="D36" s="36">
        <f>-PMT('Table 3 Comparison'!$P$37,COUNT(D12:D26),NPV('Table 3 Comparison'!$P$37,D12:D26))</f>
        <v>6.6374568065283022</v>
      </c>
      <c r="E36" s="36">
        <f>-PMT('Table 3 Comparison'!$P$37,COUNT(E12:E26),NPV('Table 3 Comparison'!$P$37,E12:E26))</f>
        <v>5.2693943029969326</v>
      </c>
      <c r="F36" s="36">
        <f>-PMT('Table 3 Comparison'!$P$37,COUNT(F12:F26),NPV('Table 3 Comparison'!$P$37,F12:F26))</f>
        <v>6.0245280148049583</v>
      </c>
    </row>
    <row r="37" spans="1:14" ht="12.75" x14ac:dyDescent="0.2">
      <c r="A37" s="38"/>
      <c r="B37"/>
      <c r="C37"/>
      <c r="D37"/>
      <c r="E37"/>
      <c r="F37" s="39"/>
      <c r="G37" s="39"/>
      <c r="I37" s="26"/>
      <c r="J37" s="26"/>
      <c r="K37" s="26"/>
      <c r="M37" s="38"/>
      <c r="N37" s="38"/>
    </row>
    <row r="38" spans="1:14" ht="12.75" x14ac:dyDescent="0.2">
      <c r="A38" s="38"/>
      <c r="B38"/>
      <c r="C38"/>
      <c r="D38" s="41"/>
      <c r="E38" s="41"/>
      <c r="F38" s="39"/>
      <c r="G38" s="39"/>
      <c r="I38" s="26"/>
      <c r="J38" s="26"/>
      <c r="K38" s="26"/>
      <c r="M38" s="38"/>
      <c r="N38" s="38"/>
    </row>
    <row r="39" spans="1:14" ht="12.75" x14ac:dyDescent="0.2">
      <c r="A39" s="29"/>
      <c r="B39"/>
      <c r="C39"/>
      <c r="D39" s="41"/>
      <c r="E39" s="41"/>
      <c r="F39" s="29"/>
      <c r="G39" s="29"/>
      <c r="I39" s="34"/>
      <c r="J39" s="34"/>
      <c r="K39" s="34"/>
      <c r="L39" s="29"/>
      <c r="M39" s="29"/>
      <c r="N39" s="29"/>
    </row>
    <row r="40" spans="1:14" ht="12.75" x14ac:dyDescent="0.2">
      <c r="A40" s="37"/>
      <c r="B40"/>
      <c r="C40"/>
      <c r="D40" s="41"/>
      <c r="E40" s="41"/>
      <c r="L40" s="115"/>
      <c r="N40" s="37"/>
    </row>
    <row r="41" spans="1:14" ht="12.75" x14ac:dyDescent="0.2">
      <c r="A41" s="37"/>
      <c r="B41"/>
      <c r="C41"/>
      <c r="D41" s="41"/>
      <c r="E41" s="41"/>
      <c r="N41" s="37"/>
    </row>
  </sheetData>
  <printOptions horizontalCentered="1"/>
  <pageMargins left="0.25" right="0.25" top="0.75" bottom="0.75" header="0.3" footer="0.3"/>
  <pageSetup orientation="landscape" copies="3" r:id="rId1"/>
  <headerFooter alignWithMargins="0">
    <oddFooter>&amp;L&amp;8NPC Group - &amp;F   ( &amp;A )&amp;C &amp;R &amp;8&amp;D 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3">
    <tabColor rgb="FFFF0000"/>
  </sheetPr>
  <dimension ref="A1:V43"/>
  <sheetViews>
    <sheetView showGridLines="0" view="pageBreakPreview" zoomScale="85" zoomScaleNormal="90" zoomScaleSheetLayoutView="85" workbookViewId="0">
      <pane xSplit="2" ySplit="7" topLeftCell="C17" activePane="bottomRight" state="frozen"/>
      <selection pane="topRight" activeCell="C1" sqref="C1"/>
      <selection pane="bottomLeft" activeCell="A8" sqref="A8"/>
      <selection pane="bottomRight" activeCell="B32" sqref="B32:F34"/>
    </sheetView>
  </sheetViews>
  <sheetFormatPr defaultColWidth="9.33203125" defaultRowHeight="12" x14ac:dyDescent="0.2"/>
  <cols>
    <col min="1" max="1" width="2.83203125" style="25" customWidth="1"/>
    <col min="2" max="2" width="22.6640625" style="25" customWidth="1"/>
    <col min="3" max="6" width="18.83203125" style="25" customWidth="1"/>
    <col min="7" max="7" width="17" style="25" customWidth="1"/>
    <col min="8" max="8" width="9.33203125" style="25"/>
    <col min="9" max="9" width="11.6640625" style="177" customWidth="1"/>
    <col min="10" max="10" width="3.5" style="177" customWidth="1"/>
    <col min="11" max="11" width="17.1640625" style="177" customWidth="1"/>
    <col min="12" max="12" width="12.5" style="177" customWidth="1"/>
    <col min="13" max="13" width="11" style="177" customWidth="1"/>
    <col min="14" max="14" width="3.83203125" style="177" customWidth="1"/>
    <col min="15" max="16" width="12.5" style="177" customWidth="1"/>
    <col min="17" max="17" width="3.83203125" style="177" customWidth="1"/>
    <col min="18" max="19" width="12.5" style="177" customWidth="1"/>
    <col min="20" max="20" width="3.33203125" style="177" customWidth="1"/>
    <col min="21" max="22" width="12.5" style="177" customWidth="1"/>
    <col min="23" max="16384" width="9.33203125" style="25"/>
  </cols>
  <sheetData>
    <row r="1" spans="1:22" x14ac:dyDescent="0.2">
      <c r="A1" s="2"/>
      <c r="B1" s="2"/>
      <c r="C1" s="2"/>
      <c r="D1" s="2"/>
      <c r="E1" s="2"/>
      <c r="F1" s="2"/>
      <c r="G1" s="2"/>
      <c r="I1" s="176"/>
      <c r="J1" s="176"/>
    </row>
    <row r="2" spans="1:22" x14ac:dyDescent="0.2">
      <c r="A2" s="2"/>
      <c r="B2" s="2" t="s">
        <v>18</v>
      </c>
      <c r="C2" s="2"/>
      <c r="D2" s="2"/>
      <c r="E2" s="2"/>
      <c r="F2" s="2"/>
      <c r="G2" s="2"/>
      <c r="I2" s="176"/>
      <c r="J2" s="176"/>
    </row>
    <row r="3" spans="1:22" x14ac:dyDescent="0.2">
      <c r="B3" s="44"/>
      <c r="I3" s="176"/>
      <c r="J3" s="176"/>
    </row>
    <row r="4" spans="1:22" x14ac:dyDescent="0.2">
      <c r="A4" s="26"/>
      <c r="B4" s="25" t="s">
        <v>39</v>
      </c>
      <c r="C4" s="26"/>
      <c r="D4" s="26"/>
      <c r="E4" s="26"/>
      <c r="F4" s="26"/>
      <c r="G4" s="26"/>
      <c r="I4" s="178"/>
      <c r="J4" s="178"/>
      <c r="L4" s="179"/>
      <c r="O4" s="179"/>
      <c r="R4" s="179"/>
      <c r="U4" s="179"/>
    </row>
    <row r="5" spans="1:22" x14ac:dyDescent="0.2">
      <c r="A5" s="26"/>
      <c r="B5" s="26"/>
    </row>
    <row r="6" spans="1:22" x14ac:dyDescent="0.2">
      <c r="A6" s="26"/>
      <c r="B6" s="26" t="s">
        <v>29</v>
      </c>
      <c r="C6" s="27" t="s">
        <v>296</v>
      </c>
      <c r="D6" s="27"/>
      <c r="E6" s="45" t="s">
        <v>78</v>
      </c>
      <c r="F6" s="27"/>
      <c r="G6" s="27"/>
      <c r="J6" s="180"/>
      <c r="L6" s="177" t="s">
        <v>105</v>
      </c>
      <c r="O6" s="177" t="s">
        <v>106</v>
      </c>
      <c r="R6" s="177" t="s">
        <v>107</v>
      </c>
      <c r="U6" s="177" t="s">
        <v>108</v>
      </c>
    </row>
    <row r="7" spans="1:22" ht="14.25" x14ac:dyDescent="0.35">
      <c r="A7" s="26"/>
      <c r="B7" s="26" t="s">
        <v>27</v>
      </c>
      <c r="C7" s="28" t="s">
        <v>9</v>
      </c>
      <c r="D7" s="28" t="s">
        <v>10</v>
      </c>
      <c r="E7" s="28" t="s">
        <v>9</v>
      </c>
      <c r="F7" s="28" t="s">
        <v>10</v>
      </c>
      <c r="G7" s="28"/>
      <c r="I7" s="181" t="s">
        <v>110</v>
      </c>
      <c r="J7" s="182"/>
      <c r="K7" s="183"/>
      <c r="L7" s="183" t="s">
        <v>109</v>
      </c>
      <c r="M7" s="183"/>
      <c r="O7" s="183" t="s">
        <v>109</v>
      </c>
      <c r="R7" s="183" t="s">
        <v>109</v>
      </c>
      <c r="U7" s="183" t="s">
        <v>109</v>
      </c>
    </row>
    <row r="8" spans="1:22" x14ac:dyDescent="0.2">
      <c r="A8" s="29"/>
      <c r="B8" s="30"/>
      <c r="C8" s="31"/>
      <c r="D8" s="31"/>
      <c r="E8" s="31"/>
      <c r="F8" s="31"/>
      <c r="G8" s="31"/>
      <c r="I8" s="184"/>
      <c r="J8" s="185"/>
      <c r="L8" s="186"/>
      <c r="O8" s="186"/>
      <c r="R8" s="186"/>
      <c r="U8" s="186"/>
    </row>
    <row r="9" spans="1:22" hidden="1" x14ac:dyDescent="0.2">
      <c r="A9" s="29"/>
      <c r="B9" s="30"/>
      <c r="C9" s="31"/>
      <c r="D9" s="31"/>
      <c r="E9" s="31"/>
      <c r="F9" s="31"/>
      <c r="G9" s="31"/>
      <c r="H9" s="51"/>
      <c r="I9" s="184"/>
      <c r="J9" s="185"/>
      <c r="L9" s="186"/>
      <c r="O9" s="186"/>
      <c r="R9" s="186"/>
      <c r="U9" s="186"/>
    </row>
    <row r="10" spans="1:22" x14ac:dyDescent="0.2">
      <c r="A10" s="29"/>
      <c r="B10" s="30">
        <f>[22]SourceEnergy!$R$20</f>
        <v>2023</v>
      </c>
      <c r="C10" s="31">
        <f>INDEX([23]SourceEnergy!$S$20:$T$40,MATCH($B10,[23]SourceEnergy!$R$20:$R$40,0),MATCH(C$7,[23]SourceEnergy!$S$12:$T$12,0))/10</f>
        <v>2.9478511479418961</v>
      </c>
      <c r="D10" s="31">
        <f>INDEX([23]SourceEnergy!$S$20:$T$40,MATCH($B10,[23]SourceEnergy!$R$20:$R$40,0),MATCH(D$7,[23]SourceEnergy!$S$12:$T$12,0))/10</f>
        <v>5.7342272400495071</v>
      </c>
      <c r="E10" s="31">
        <f>INDEX([23]SourceEnergy!$U$20:$V$40,MATCH($B10,[23]SourceEnergy!$R$20:$R$40,0),MATCH(E$7,[23]SourceEnergy!$U$12:$V$12,0))/10</f>
        <v>2.9087520111148164</v>
      </c>
      <c r="F10" s="31">
        <f>INDEX([23]SourceEnergy!$U$20:$V$40,MATCH($B10,[23]SourceEnergy!$R$20:$R$40,0),MATCH(F$7,[23]SourceEnergy!$U$12:$V$12,0))/10</f>
        <v>2.7940522688457272</v>
      </c>
      <c r="G10" s="31"/>
      <c r="H10" s="51"/>
      <c r="I10" s="184">
        <v>1</v>
      </c>
      <c r="J10" s="185"/>
      <c r="L10" s="200">
        <f>C10*1*$I10</f>
        <v>2.9478511479418961</v>
      </c>
      <c r="M10" s="201">
        <f t="shared" ref="M10" si="0">M$34*$I10</f>
        <v>3.4077638328342825</v>
      </c>
      <c r="O10" s="200">
        <f>D10*1*$I10</f>
        <v>5.7342272400495071</v>
      </c>
      <c r="P10" s="201">
        <f t="shared" ref="P10" si="1">P$34*$I10</f>
        <v>4.4772553740718317</v>
      </c>
      <c r="R10" s="200">
        <f>E10*1*$I10</f>
        <v>2.9087520111148164</v>
      </c>
      <c r="S10" s="201">
        <f t="shared" ref="S10" si="2">S$34*$I10</f>
        <v>3.7492419452300756</v>
      </c>
      <c r="U10" s="200">
        <f>F10*1*$I10</f>
        <v>2.7940522688457272</v>
      </c>
      <c r="V10" s="201">
        <f t="shared" ref="V10" si="3">V$34*$I10</f>
        <v>3.5657714408256043</v>
      </c>
    </row>
    <row r="11" spans="1:22" x14ac:dyDescent="0.2">
      <c r="A11" s="29"/>
      <c r="B11" s="30">
        <f t="shared" ref="B11:B27" si="4">B10+1</f>
        <v>2024</v>
      </c>
      <c r="C11" s="31">
        <f>INDEX([23]SourceEnergy!$S$20:$T$45,MATCH($B11,[23]SourceEnergy!$R$20:$R$45,0),MATCH(C$7,[23]SourceEnergy!$S$12:$T$12,0))/10</f>
        <v>2.9522221482467059</v>
      </c>
      <c r="D11" s="31">
        <f>INDEX([23]SourceEnergy!$S$20:$T$45,MATCH($B11,[23]SourceEnergy!$R$20:$R$45,0),MATCH(D$7,[23]SourceEnergy!$S$12:$T$12,0))/10</f>
        <v>6.5222104005633099</v>
      </c>
      <c r="E11" s="31">
        <f>INDEX([23]SourceEnergy!$U$20:$V$45,MATCH($B11,[23]SourceEnergy!$R$20:$R$45,0),MATCH(E$7,[23]SourceEnergy!$U$12:$V$12,0))/10</f>
        <v>3.0295804237892039</v>
      </c>
      <c r="F11" s="31">
        <f>INDEX([23]SourceEnergy!$U$20:$V$45,MATCH($B11,[23]SourceEnergy!$R$20:$R$45,0),MATCH(F$7,[23]SourceEnergy!$U$12:$V$12,0))/10</f>
        <v>2.7449218878430246</v>
      </c>
      <c r="G11" s="31"/>
      <c r="H11" s="51"/>
      <c r="I11" s="185">
        <f>I10-0.005</f>
        <v>0.995</v>
      </c>
      <c r="J11" s="185"/>
      <c r="L11" s="200">
        <f t="shared" ref="L11:L27" si="5">C11*1*$I11</f>
        <v>2.9374610375054724</v>
      </c>
      <c r="M11" s="201">
        <f>M$34*$I11</f>
        <v>3.390725013670111</v>
      </c>
      <c r="O11" s="200">
        <f t="shared" ref="O11:O27" si="6">D11*1*$I11</f>
        <v>6.4895993485604935</v>
      </c>
      <c r="P11" s="201">
        <f>P$34*$I11</f>
        <v>4.4548690972014722</v>
      </c>
      <c r="R11" s="200">
        <f t="shared" ref="R11:R27" si="7">E11*1*$I11</f>
        <v>3.0144325216702579</v>
      </c>
      <c r="S11" s="201">
        <f>S$34*$I11</f>
        <v>3.7304957355039252</v>
      </c>
      <c r="U11" s="200">
        <f t="shared" ref="U11:U27" si="8">F11*1*$I11</f>
        <v>2.7311972784038097</v>
      </c>
      <c r="V11" s="201">
        <f>V$34*$I11</f>
        <v>3.5479425836214764</v>
      </c>
    </row>
    <row r="12" spans="1:22" x14ac:dyDescent="0.2">
      <c r="A12" s="29"/>
      <c r="B12" s="30">
        <f t="shared" si="4"/>
        <v>2025</v>
      </c>
      <c r="C12" s="31">
        <f>INDEX([23]SourceEnergy!$S$20:$T$45,MATCH($B12,[23]SourceEnergy!$R$20:$R$45,0),MATCH(C$7,[23]SourceEnergy!$S$12:$T$12,0))/10</f>
        <v>1.6602314556787132</v>
      </c>
      <c r="D12" s="31">
        <f>INDEX([23]SourceEnergy!$S$20:$T$45,MATCH($B12,[23]SourceEnergy!$R$20:$R$45,0),MATCH(D$7,[23]SourceEnergy!$S$12:$T$12,0))/10</f>
        <v>5.0669635769671277</v>
      </c>
      <c r="E12" s="31">
        <f>INDEX([23]SourceEnergy!$U$20:$V$45,MATCH($B12,[23]SourceEnergy!$R$20:$R$45,0),MATCH(E$7,[23]SourceEnergy!$U$12:$V$12,0))/10</f>
        <v>1.8923834533554171</v>
      </c>
      <c r="F12" s="31">
        <f>INDEX([23]SourceEnergy!$U$20:$V$45,MATCH($B12,[23]SourceEnergy!$R$20:$R$45,0),MATCH(F$7,[23]SourceEnergy!$U$12:$V$12,0))/10</f>
        <v>2.7620500585566021</v>
      </c>
      <c r="G12" s="31"/>
      <c r="H12" s="51"/>
      <c r="I12" s="185">
        <f t="shared" ref="I12:I27" si="9">I11-0.005</f>
        <v>0.99</v>
      </c>
      <c r="J12" s="185"/>
      <c r="L12" s="200">
        <f t="shared" si="5"/>
        <v>1.6436291411219262</v>
      </c>
      <c r="M12" s="201">
        <f t="shared" ref="M12:M27" si="10">M$34*$I12</f>
        <v>3.3736861945059395</v>
      </c>
      <c r="O12" s="200">
        <f t="shared" si="6"/>
        <v>5.0162939411974561</v>
      </c>
      <c r="P12" s="201">
        <f t="shared" ref="P12:P27" si="11">P$34*$I12</f>
        <v>4.4324828203311135</v>
      </c>
      <c r="R12" s="200">
        <f t="shared" si="7"/>
        <v>1.8734596188218628</v>
      </c>
      <c r="S12" s="201">
        <f t="shared" ref="S12:S27" si="12">S$34*$I12</f>
        <v>3.7117495257777748</v>
      </c>
      <c r="U12" s="200">
        <f t="shared" si="8"/>
        <v>2.734429557971036</v>
      </c>
      <c r="V12" s="201">
        <f t="shared" ref="V12:V27" si="13">V$34*$I12</f>
        <v>3.5301137264173481</v>
      </c>
    </row>
    <row r="13" spans="1:22" x14ac:dyDescent="0.2">
      <c r="A13" s="29"/>
      <c r="B13" s="313">
        <f t="shared" si="4"/>
        <v>2026</v>
      </c>
      <c r="C13" s="31">
        <f>INDEX([23]SourceEnergy!$S$20:$T$45,MATCH($B13,[23]SourceEnergy!$R$20:$R$45,0),MATCH(C$7,[23]SourceEnergy!$S$12:$T$12,0))/10</f>
        <v>2.9946314096331346</v>
      </c>
      <c r="D13" s="31">
        <f>INDEX([23]SourceEnergy!$S$20:$T$45,MATCH($B13,[23]SourceEnergy!$R$20:$R$45,0),MATCH(D$7,[23]SourceEnergy!$S$12:$T$12,0))/10</f>
        <v>3.8027113643124011</v>
      </c>
      <c r="E13" s="31">
        <f>INDEX([23]SourceEnergy!$U$20:$V$45,MATCH($B13,[23]SourceEnergy!$R$20:$R$45,0),MATCH(E$7,[23]SourceEnergy!$U$12:$V$12,0))/10</f>
        <v>3.1947901728023949</v>
      </c>
      <c r="F13" s="31">
        <f>INDEX([23]SourceEnergy!$U$20:$V$45,MATCH($B13,[23]SourceEnergy!$R$20:$R$45,0),MATCH(F$7,[23]SourceEnergy!$U$12:$V$12,0))/10</f>
        <v>2.6084070782939444</v>
      </c>
      <c r="G13" s="31"/>
      <c r="H13" s="51"/>
      <c r="I13" s="185">
        <f t="shared" si="9"/>
        <v>0.98499999999999999</v>
      </c>
      <c r="J13" s="185"/>
      <c r="L13" s="200">
        <f t="shared" si="5"/>
        <v>2.9497119384886377</v>
      </c>
      <c r="M13" s="201">
        <f t="shared" si="10"/>
        <v>3.356647375341768</v>
      </c>
      <c r="O13" s="200">
        <f t="shared" si="6"/>
        <v>3.7456706938477149</v>
      </c>
      <c r="P13" s="201">
        <f t="shared" si="11"/>
        <v>4.410096543460754</v>
      </c>
      <c r="R13" s="200">
        <f t="shared" si="7"/>
        <v>3.1468683202103587</v>
      </c>
      <c r="S13" s="201">
        <f t="shared" si="12"/>
        <v>3.6930033160516245</v>
      </c>
      <c r="U13" s="200">
        <f t="shared" si="8"/>
        <v>2.5692809721195351</v>
      </c>
      <c r="V13" s="201">
        <f t="shared" si="13"/>
        <v>3.5122848692132203</v>
      </c>
    </row>
    <row r="14" spans="1:22" x14ac:dyDescent="0.2">
      <c r="A14" s="29"/>
      <c r="B14" s="30">
        <f t="shared" si="4"/>
        <v>2027</v>
      </c>
      <c r="C14" s="31">
        <f>INDEX([23]SourceEnergy!$S$20:$T$45,MATCH($B14,[23]SourceEnergy!$R$20:$R$45,0),MATCH(C$7,[23]SourceEnergy!$S$12:$T$12,0))/10</f>
        <v>3.2583668106507582</v>
      </c>
      <c r="D14" s="31">
        <f>INDEX([23]SourceEnergy!$S$20:$T$45,MATCH($B14,[23]SourceEnergy!$R$20:$R$45,0),MATCH(D$7,[23]SourceEnergy!$S$12:$T$12,0))/10</f>
        <v>3.5173160155238259</v>
      </c>
      <c r="E14" s="31">
        <f>INDEX([23]SourceEnergy!$U$20:$V$45,MATCH($B14,[23]SourceEnergy!$R$20:$R$45,0),MATCH(E$7,[23]SourceEnergy!$U$12:$V$12,0))/10</f>
        <v>3.390265491977579</v>
      </c>
      <c r="F14" s="31">
        <f>INDEX([23]SourceEnergy!$U$20:$V$45,MATCH($B14,[23]SourceEnergy!$R$20:$R$45,0),MATCH(F$7,[23]SourceEnergy!$U$12:$V$12,0))/10</f>
        <v>3.3449022107731352</v>
      </c>
      <c r="G14" s="31"/>
      <c r="H14" s="51"/>
      <c r="I14" s="185">
        <f t="shared" si="9"/>
        <v>0.98</v>
      </c>
      <c r="J14" s="185"/>
      <c r="L14" s="200">
        <f t="shared" si="5"/>
        <v>3.1931994744377428</v>
      </c>
      <c r="M14" s="201">
        <f t="shared" si="10"/>
        <v>3.339608556177597</v>
      </c>
      <c r="O14" s="200">
        <f t="shared" si="6"/>
        <v>3.4469696952133493</v>
      </c>
      <c r="P14" s="201">
        <f t="shared" si="11"/>
        <v>4.3877102665903953</v>
      </c>
      <c r="R14" s="200">
        <f t="shared" si="7"/>
        <v>3.3224601821380273</v>
      </c>
      <c r="S14" s="201">
        <f t="shared" si="12"/>
        <v>3.6742571063254741</v>
      </c>
      <c r="U14" s="200">
        <f t="shared" si="8"/>
        <v>3.2780041665576722</v>
      </c>
      <c r="V14" s="201">
        <f t="shared" si="13"/>
        <v>3.4944560120090919</v>
      </c>
    </row>
    <row r="15" spans="1:22" x14ac:dyDescent="0.2">
      <c r="A15" s="29"/>
      <c r="B15" s="30">
        <f t="shared" si="4"/>
        <v>2028</v>
      </c>
      <c r="C15" s="31">
        <f>INDEX([23]SourceEnergy!$S$20:$T$45,MATCH($B15,[23]SourceEnergy!$R$20:$R$45,0),MATCH(C$7,[23]SourceEnergy!$S$12:$T$12,0))/10</f>
        <v>3.6006572470929958</v>
      </c>
      <c r="D15" s="31">
        <f>INDEX([23]SourceEnergy!$S$20:$T$45,MATCH($B15,[23]SourceEnergy!$R$20:$R$45,0),MATCH(D$7,[23]SourceEnergy!$S$12:$T$12,0))/10</f>
        <v>3.8252312765406926</v>
      </c>
      <c r="E15" s="31">
        <f>INDEX([23]SourceEnergy!$U$20:$V$45,MATCH($B15,[23]SourceEnergy!$R$20:$R$45,0),MATCH(E$7,[23]SourceEnergy!$U$12:$V$12,0))/10</f>
        <v>3.8409857588437681</v>
      </c>
      <c r="F15" s="31">
        <f>INDEX([23]SourceEnergy!$U$20:$V$45,MATCH($B15,[23]SourceEnergy!$R$20:$R$45,0),MATCH(F$7,[23]SourceEnergy!$U$12:$V$12,0))/10</f>
        <v>3.6613102946987395</v>
      </c>
      <c r="G15" s="31"/>
      <c r="H15" s="51"/>
      <c r="I15" s="185">
        <f t="shared" si="9"/>
        <v>0.97499999999999998</v>
      </c>
      <c r="J15" s="185"/>
      <c r="L15" s="200">
        <f t="shared" si="5"/>
        <v>3.510640815915671</v>
      </c>
      <c r="M15" s="201">
        <f t="shared" si="10"/>
        <v>3.3225697370134255</v>
      </c>
      <c r="O15" s="200">
        <f t="shared" si="6"/>
        <v>3.7296004946271752</v>
      </c>
      <c r="P15" s="201">
        <f t="shared" si="11"/>
        <v>4.3653239897200358</v>
      </c>
      <c r="R15" s="200">
        <f t="shared" si="7"/>
        <v>3.744961114872674</v>
      </c>
      <c r="S15" s="201">
        <f t="shared" si="12"/>
        <v>3.6555108965993237</v>
      </c>
      <c r="U15" s="200">
        <f t="shared" si="8"/>
        <v>3.5697775373312708</v>
      </c>
      <c r="V15" s="201">
        <f t="shared" si="13"/>
        <v>3.4766271548049641</v>
      </c>
    </row>
    <row r="16" spans="1:22" x14ac:dyDescent="0.2">
      <c r="A16" s="29"/>
      <c r="B16" s="30">
        <f t="shared" si="4"/>
        <v>2029</v>
      </c>
      <c r="C16" s="31">
        <f>INDEX([23]SourceEnergy!$S$20:$T$45,MATCH($B16,[23]SourceEnergy!$R$20:$R$45,0),MATCH(C$7,[23]SourceEnergy!$S$12:$T$12,0))/10</f>
        <v>3.8359360731264802</v>
      </c>
      <c r="D16" s="31">
        <f>INDEX([23]SourceEnergy!$S$20:$T$45,MATCH($B16,[23]SourceEnergy!$R$20:$R$45,0),MATCH(D$7,[23]SourceEnergy!$S$12:$T$12,0))/10</f>
        <v>3.9084208911578591</v>
      </c>
      <c r="E16" s="31">
        <f>INDEX([23]SourceEnergy!$U$20:$V$45,MATCH($B16,[23]SourceEnergy!$R$20:$R$45,0),MATCH(E$7,[23]SourceEnergy!$U$12:$V$12,0))/10</f>
        <v>4.2433400097348324</v>
      </c>
      <c r="F16" s="31">
        <f>INDEX([23]SourceEnergy!$U$20:$V$45,MATCH($B16,[23]SourceEnergy!$R$20:$R$45,0),MATCH(F$7,[23]SourceEnergy!$U$12:$V$12,0))/10</f>
        <v>3.7548228979611613</v>
      </c>
      <c r="G16" s="31"/>
      <c r="H16" s="51"/>
      <c r="I16" s="185">
        <f t="shared" si="9"/>
        <v>0.97</v>
      </c>
      <c r="J16" s="185"/>
      <c r="L16" s="200">
        <f t="shared" si="5"/>
        <v>3.7208579909326858</v>
      </c>
      <c r="M16" s="201">
        <f t="shared" si="10"/>
        <v>3.305530917849254</v>
      </c>
      <c r="O16" s="200">
        <f t="shared" si="6"/>
        <v>3.7911682644231233</v>
      </c>
      <c r="P16" s="201">
        <f t="shared" si="11"/>
        <v>4.3429377128496762</v>
      </c>
      <c r="R16" s="200">
        <f t="shared" si="7"/>
        <v>4.1160398094427872</v>
      </c>
      <c r="S16" s="201">
        <f t="shared" si="12"/>
        <v>3.6367646868731733</v>
      </c>
      <c r="U16" s="200">
        <f t="shared" si="8"/>
        <v>3.6421782110223262</v>
      </c>
      <c r="V16" s="201">
        <f t="shared" si="13"/>
        <v>3.4587982976008362</v>
      </c>
    </row>
    <row r="17" spans="1:22" x14ac:dyDescent="0.2">
      <c r="A17" s="29"/>
      <c r="B17" s="30">
        <f t="shared" si="4"/>
        <v>2030</v>
      </c>
      <c r="C17" s="31">
        <f>INDEX([23]SourceEnergy!$S$20:$T$45,MATCH($B17,[23]SourceEnergy!$R$20:$R$45,0),MATCH(C$7,[23]SourceEnergy!$S$12:$T$12,0))/10</f>
        <v>4.0093370840568685</v>
      </c>
      <c r="D17" s="31">
        <f>INDEX([23]SourceEnergy!$S$20:$T$45,MATCH($B17,[23]SourceEnergy!$R$20:$R$45,0),MATCH(D$7,[23]SourceEnergy!$S$12:$T$12,0))/10</f>
        <v>3.9534787075899445</v>
      </c>
      <c r="E17" s="31">
        <f>INDEX([23]SourceEnergy!$U$20:$V$45,MATCH($B17,[23]SourceEnergy!$R$20:$R$45,0),MATCH(E$7,[23]SourceEnergy!$U$12:$V$12,0))/10</f>
        <v>4.6159996116181023</v>
      </c>
      <c r="F17" s="31">
        <f>INDEX([23]SourceEnergy!$U$20:$V$45,MATCH($B17,[23]SourceEnergy!$R$20:$R$45,0),MATCH(F$7,[23]SourceEnergy!$U$12:$V$12,0))/10</f>
        <v>3.8119777861011728</v>
      </c>
      <c r="G17" s="31"/>
      <c r="H17" s="51"/>
      <c r="I17" s="185">
        <f t="shared" si="9"/>
        <v>0.96499999999999997</v>
      </c>
      <c r="J17" s="185"/>
      <c r="L17" s="200">
        <f t="shared" si="5"/>
        <v>3.8690102861148779</v>
      </c>
      <c r="M17" s="201">
        <f t="shared" si="10"/>
        <v>3.2884920986850825</v>
      </c>
      <c r="O17" s="200">
        <f t="shared" si="6"/>
        <v>3.8151069528242965</v>
      </c>
      <c r="P17" s="201">
        <f t="shared" si="11"/>
        <v>4.3205514359793176</v>
      </c>
      <c r="R17" s="200">
        <f t="shared" si="7"/>
        <v>4.4544396252114682</v>
      </c>
      <c r="S17" s="201">
        <f t="shared" si="12"/>
        <v>3.618018477147023</v>
      </c>
      <c r="U17" s="200">
        <f t="shared" si="8"/>
        <v>3.6785585635876314</v>
      </c>
      <c r="V17" s="201">
        <f t="shared" si="13"/>
        <v>3.4409694403967079</v>
      </c>
    </row>
    <row r="18" spans="1:22" x14ac:dyDescent="0.2">
      <c r="A18" s="29"/>
      <c r="B18" s="30">
        <f t="shared" si="4"/>
        <v>2031</v>
      </c>
      <c r="C18" s="31">
        <f>INDEX([23]SourceEnergy!$S$20:$T$45,MATCH($B18,[23]SourceEnergy!$R$20:$R$45,0),MATCH(C$7,[23]SourceEnergy!$S$12:$T$12,0))/10</f>
        <v>4.0713049209553276</v>
      </c>
      <c r="D18" s="31">
        <f>INDEX([23]SourceEnergy!$S$20:$T$45,MATCH($B18,[23]SourceEnergy!$R$20:$R$45,0),MATCH(D$7,[23]SourceEnergy!$S$12:$T$12,0))/10</f>
        <v>4.0333070333795122</v>
      </c>
      <c r="E18" s="31">
        <f>INDEX([23]SourceEnergy!$U$20:$V$45,MATCH($B18,[23]SourceEnergy!$R$20:$R$45,0),MATCH(E$7,[23]SourceEnergy!$U$12:$V$12,0))/10</f>
        <v>4.6817139039115441</v>
      </c>
      <c r="F18" s="31">
        <f>INDEX([23]SourceEnergy!$U$20:$V$45,MATCH($B18,[23]SourceEnergy!$R$20:$R$45,0),MATCH(F$7,[23]SourceEnergy!$U$12:$V$12,0))/10</f>
        <v>3.9923025118445081</v>
      </c>
      <c r="G18" s="31"/>
      <c r="H18" s="51"/>
      <c r="I18" s="185">
        <f t="shared" si="9"/>
        <v>0.96</v>
      </c>
      <c r="J18" s="185"/>
      <c r="L18" s="200">
        <f t="shared" si="5"/>
        <v>3.9084527241171143</v>
      </c>
      <c r="M18" s="201">
        <f t="shared" si="10"/>
        <v>3.271453279520911</v>
      </c>
      <c r="O18" s="200">
        <f t="shared" si="6"/>
        <v>3.8719747520443315</v>
      </c>
      <c r="P18" s="201">
        <f t="shared" si="11"/>
        <v>4.298165159108958</v>
      </c>
      <c r="R18" s="200">
        <f t="shared" si="7"/>
        <v>4.4944453477550823</v>
      </c>
      <c r="S18" s="201">
        <f t="shared" si="12"/>
        <v>3.5992722674208726</v>
      </c>
      <c r="U18" s="200">
        <f t="shared" si="8"/>
        <v>3.8326104113707276</v>
      </c>
      <c r="V18" s="201">
        <f t="shared" si="13"/>
        <v>3.4231405831925801</v>
      </c>
    </row>
    <row r="19" spans="1:22" x14ac:dyDescent="0.2">
      <c r="A19" s="29"/>
      <c r="B19" s="30">
        <f t="shared" si="4"/>
        <v>2032</v>
      </c>
      <c r="C19" s="31">
        <f>INDEX([23]SourceEnergy!$S$20:$T$45,MATCH($B19,[23]SourceEnergy!$R$20:$R$45,0),MATCH(C$7,[23]SourceEnergy!$S$12:$T$12,0))/10</f>
        <v>3.5492189352407792</v>
      </c>
      <c r="D19" s="31">
        <f>INDEX([23]SourceEnergy!$S$20:$T$45,MATCH($B19,[23]SourceEnergy!$R$20:$R$45,0),MATCH(D$7,[23]SourceEnergy!$S$12:$T$12,0))/10</f>
        <v>3.6977153694661715</v>
      </c>
      <c r="E19" s="31">
        <f>INDEX([23]SourceEnergy!$U$20:$V$45,MATCH($B19,[23]SourceEnergy!$R$20:$R$45,0),MATCH(E$7,[23]SourceEnergy!$U$12:$V$12,0))/10</f>
        <v>4.028587396361031</v>
      </c>
      <c r="F19" s="31">
        <f>INDEX([23]SourceEnergy!$U$20:$V$45,MATCH($B19,[23]SourceEnergy!$R$20:$R$45,0),MATCH(F$7,[23]SourceEnergy!$U$12:$V$12,0))/10</f>
        <v>3.8967083310732313</v>
      </c>
      <c r="G19" s="31"/>
      <c r="H19" s="51"/>
      <c r="I19" s="185">
        <f t="shared" si="9"/>
        <v>0.95499999999999996</v>
      </c>
      <c r="J19" s="185"/>
      <c r="L19" s="200">
        <f t="shared" si="5"/>
        <v>3.3895040831549439</v>
      </c>
      <c r="M19" s="201">
        <f t="shared" si="10"/>
        <v>3.2544144603567395</v>
      </c>
      <c r="O19" s="200">
        <f t="shared" si="6"/>
        <v>3.5313181778401939</v>
      </c>
      <c r="P19" s="201">
        <f t="shared" si="11"/>
        <v>4.2757788822385994</v>
      </c>
      <c r="R19" s="200">
        <f t="shared" si="7"/>
        <v>3.8473009635247846</v>
      </c>
      <c r="S19" s="201">
        <f t="shared" si="12"/>
        <v>3.5805260576947222</v>
      </c>
      <c r="U19" s="200">
        <f t="shared" si="8"/>
        <v>3.7213564561749357</v>
      </c>
      <c r="V19" s="201">
        <f t="shared" si="13"/>
        <v>3.4053117259884518</v>
      </c>
    </row>
    <row r="20" spans="1:22" x14ac:dyDescent="0.2">
      <c r="A20" s="29"/>
      <c r="B20" s="30">
        <f t="shared" si="4"/>
        <v>2033</v>
      </c>
      <c r="C20" s="31">
        <f>INDEX([23]SourceEnergy!$S$20:$T$45,MATCH($B20,[23]SourceEnergy!$R$20:$R$45,0),MATCH(C$7,[23]SourceEnergy!$S$12:$T$12,0))/10</f>
        <v>3.8350819128566052</v>
      </c>
      <c r="D20" s="31">
        <f>INDEX([23]SourceEnergy!$S$20:$T$45,MATCH($B20,[23]SourceEnergy!$R$20:$R$45,0),MATCH(D$7,[23]SourceEnergy!$S$12:$T$12,0))/10</f>
        <v>3.73869656159341</v>
      </c>
      <c r="E20" s="31">
        <f>INDEX([23]SourceEnergy!$U$20:$V$45,MATCH($B20,[23]SourceEnergy!$R$20:$R$45,0),MATCH(E$7,[23]SourceEnergy!$U$12:$V$12,0))/10</f>
        <v>4.5818871304080435</v>
      </c>
      <c r="F20" s="31">
        <f>INDEX([23]SourceEnergy!$U$20:$V$45,MATCH($B20,[23]SourceEnergy!$R$20:$R$45,0),MATCH(F$7,[23]SourceEnergy!$U$12:$V$12,0))/10</f>
        <v>4.473513150106208</v>
      </c>
      <c r="G20" s="31"/>
      <c r="H20" s="51"/>
      <c r="I20" s="185">
        <f t="shared" si="9"/>
        <v>0.95</v>
      </c>
      <c r="J20" s="185"/>
      <c r="L20" s="200">
        <f t="shared" si="5"/>
        <v>3.6433278172137746</v>
      </c>
      <c r="M20" s="201">
        <f t="shared" si="10"/>
        <v>3.237375641192568</v>
      </c>
      <c r="O20" s="200">
        <f t="shared" si="6"/>
        <v>3.5517617335137395</v>
      </c>
      <c r="P20" s="201">
        <f t="shared" si="11"/>
        <v>4.2533926053682398</v>
      </c>
      <c r="R20" s="200">
        <f t="shared" si="7"/>
        <v>4.3527927738876411</v>
      </c>
      <c r="S20" s="201">
        <f t="shared" si="12"/>
        <v>3.5617798479685718</v>
      </c>
      <c r="U20" s="200">
        <f t="shared" si="8"/>
        <v>4.2498374926008973</v>
      </c>
      <c r="V20" s="201">
        <f t="shared" si="13"/>
        <v>3.3874828687843239</v>
      </c>
    </row>
    <row r="21" spans="1:22" x14ac:dyDescent="0.2">
      <c r="A21" s="29"/>
      <c r="B21" s="30">
        <f t="shared" si="4"/>
        <v>2034</v>
      </c>
      <c r="C21" s="31">
        <f>INDEX([23]SourceEnergy!$S$20:$T$45,MATCH($B21,[23]SourceEnergy!$R$20:$R$45,0),MATCH(C$7,[23]SourceEnergy!$S$12:$T$12,0))/10</f>
        <v>3.9352565903168015</v>
      </c>
      <c r="D21" s="31">
        <f>INDEX([23]SourceEnergy!$S$20:$T$45,MATCH($B21,[23]SourceEnergy!$R$20:$R$45,0),MATCH(D$7,[23]SourceEnergy!$S$12:$T$12,0))/10</f>
        <v>3.9772431156514791</v>
      </c>
      <c r="E21" s="31">
        <f>INDEX([23]SourceEnergy!$U$20:$V$45,MATCH($B21,[23]SourceEnergy!$R$20:$R$45,0),MATCH(E$7,[23]SourceEnergy!$U$12:$V$12,0))/10</f>
        <v>4.7018568248756356</v>
      </c>
      <c r="F21" s="31">
        <f>INDEX([23]SourceEnergy!$U$20:$V$45,MATCH($B21,[23]SourceEnergy!$R$20:$R$45,0),MATCH(F$7,[23]SourceEnergy!$U$12:$V$12,0))/10</f>
        <v>4.7216072562394524</v>
      </c>
      <c r="G21" s="31"/>
      <c r="H21" s="51"/>
      <c r="I21" s="185">
        <f t="shared" si="9"/>
        <v>0.94499999999999995</v>
      </c>
      <c r="J21" s="185"/>
      <c r="L21" s="200">
        <f t="shared" si="5"/>
        <v>3.7188174778493774</v>
      </c>
      <c r="M21" s="201">
        <f t="shared" si="10"/>
        <v>3.220336822028397</v>
      </c>
      <c r="O21" s="200">
        <f t="shared" si="6"/>
        <v>3.7584947442906476</v>
      </c>
      <c r="P21" s="201">
        <f t="shared" si="11"/>
        <v>4.2310063284978812</v>
      </c>
      <c r="R21" s="200">
        <f t="shared" si="7"/>
        <v>4.4432546995074755</v>
      </c>
      <c r="S21" s="201">
        <f t="shared" si="12"/>
        <v>3.5430336382424215</v>
      </c>
      <c r="U21" s="200">
        <f t="shared" si="8"/>
        <v>4.4619188571462827</v>
      </c>
      <c r="V21" s="201">
        <f t="shared" si="13"/>
        <v>3.3696540115801961</v>
      </c>
    </row>
    <row r="22" spans="1:22" x14ac:dyDescent="0.2">
      <c r="A22" s="29"/>
      <c r="B22" s="30">
        <f t="shared" si="4"/>
        <v>2035</v>
      </c>
      <c r="C22" s="31">
        <f>INDEX([23]SourceEnergy!$S$20:$T$45,MATCH($B22,[23]SourceEnergy!$R$20:$R$45,0),MATCH(C$7,[23]SourceEnergy!$S$12:$T$12,0))/10</f>
        <v>4.1557232634563315</v>
      </c>
      <c r="D22" s="31">
        <f>INDEX([23]SourceEnergy!$S$20:$T$45,MATCH($B22,[23]SourceEnergy!$R$20:$R$45,0),MATCH(D$7,[23]SourceEnergy!$S$12:$T$12,0))/10</f>
        <v>4.1553560867483315</v>
      </c>
      <c r="E22" s="31">
        <f>INDEX([23]SourceEnergy!$U$20:$V$45,MATCH($B22,[23]SourceEnergy!$R$20:$R$45,0),MATCH(E$7,[23]SourceEnergy!$U$12:$V$12,0))/10</f>
        <v>4.7626112978947335</v>
      </c>
      <c r="F22" s="31">
        <f>INDEX([23]SourceEnergy!$U$20:$V$45,MATCH($B22,[23]SourceEnergy!$R$20:$R$45,0),MATCH(F$7,[23]SourceEnergy!$U$12:$V$12,0))/10</f>
        <v>4.4971846274996983</v>
      </c>
      <c r="G22" s="31"/>
      <c r="H22" s="51"/>
      <c r="I22" s="185">
        <f t="shared" si="9"/>
        <v>0.94</v>
      </c>
      <c r="J22" s="185"/>
      <c r="L22" s="200">
        <f t="shared" si="5"/>
        <v>3.9063798676489512</v>
      </c>
      <c r="M22" s="201">
        <f t="shared" si="10"/>
        <v>3.2032980028642255</v>
      </c>
      <c r="O22" s="200">
        <f t="shared" si="6"/>
        <v>3.9060347215434312</v>
      </c>
      <c r="P22" s="201">
        <f t="shared" si="11"/>
        <v>4.2086200516275216</v>
      </c>
      <c r="R22" s="200">
        <f t="shared" si="7"/>
        <v>4.4768546200210491</v>
      </c>
      <c r="S22" s="201">
        <f t="shared" si="12"/>
        <v>3.5242874285162706</v>
      </c>
      <c r="U22" s="200">
        <f t="shared" si="8"/>
        <v>4.2273535498497159</v>
      </c>
      <c r="V22" s="201">
        <f t="shared" si="13"/>
        <v>3.3518251543760678</v>
      </c>
    </row>
    <row r="23" spans="1:22" x14ac:dyDescent="0.2">
      <c r="A23" s="29"/>
      <c r="B23" s="30">
        <f t="shared" si="4"/>
        <v>2036</v>
      </c>
      <c r="C23" s="31">
        <f>INDEX([23]SourceEnergy!$S$20:$T$45,MATCH($B23,[23]SourceEnergy!$R$20:$R$45,0),MATCH(C$7,[23]SourceEnergy!$S$12:$T$12,0))/10</f>
        <v>4.4319591953395534</v>
      </c>
      <c r="D23" s="31">
        <f>INDEX([23]SourceEnergy!$S$20:$T$45,MATCH($B23,[23]SourceEnergy!$R$20:$R$45,0),MATCH(D$7,[23]SourceEnergy!$S$12:$T$12,0))/10</f>
        <v>4.5532389587699829</v>
      </c>
      <c r="E23" s="31">
        <f>INDEX([23]SourceEnergy!$U$20:$V$45,MATCH($B23,[23]SourceEnergy!$R$20:$R$45,0),MATCH(E$7,[23]SourceEnergy!$U$12:$V$12,0))/10</f>
        <v>4.9776370743996612</v>
      </c>
      <c r="F23" s="31">
        <f>INDEX([23]SourceEnergy!$U$20:$V$45,MATCH($B23,[23]SourceEnergy!$R$20:$R$45,0),MATCH(F$7,[23]SourceEnergy!$U$12:$V$12,0))/10</f>
        <v>4.7840810798091864</v>
      </c>
      <c r="G23" s="31"/>
      <c r="H23" s="51"/>
      <c r="I23" s="185">
        <f t="shared" si="9"/>
        <v>0.93499999999999994</v>
      </c>
      <c r="J23" s="185"/>
      <c r="L23" s="200">
        <f t="shared" si="5"/>
        <v>4.1438818476424819</v>
      </c>
      <c r="M23" s="201">
        <f t="shared" si="10"/>
        <v>3.186259183700054</v>
      </c>
      <c r="O23" s="200">
        <f t="shared" si="6"/>
        <v>4.2572784264499335</v>
      </c>
      <c r="P23" s="201">
        <f t="shared" si="11"/>
        <v>4.1862337747571621</v>
      </c>
      <c r="R23" s="200">
        <f t="shared" si="7"/>
        <v>4.6540906645636833</v>
      </c>
      <c r="S23" s="201">
        <f t="shared" si="12"/>
        <v>3.5055412187901203</v>
      </c>
      <c r="U23" s="200">
        <f t="shared" si="8"/>
        <v>4.4731158096215893</v>
      </c>
      <c r="V23" s="201">
        <f t="shared" si="13"/>
        <v>3.3339962971719399</v>
      </c>
    </row>
    <row r="24" spans="1:22" x14ac:dyDescent="0.2">
      <c r="A24" s="29"/>
      <c r="B24" s="30">
        <f t="shared" si="4"/>
        <v>2037</v>
      </c>
      <c r="C24" s="31">
        <f>INDEX([23]SourceEnergy!$S$20:$T$45,MATCH($B24,[23]SourceEnergy!$R$20:$R$45,0),MATCH(C$7,[23]SourceEnergy!$S$12:$T$12,0))/10</f>
        <v>4.635341858810194</v>
      </c>
      <c r="D24" s="31">
        <f>INDEX([23]SourceEnergy!$S$20:$T$45,MATCH($B24,[23]SourceEnergy!$R$20:$R$45,0),MATCH(D$7,[23]SourceEnergy!$S$12:$T$12,0))/10</f>
        <v>4.7231589969212795</v>
      </c>
      <c r="E24" s="31">
        <f>INDEX([23]SourceEnergy!$U$20:$V$45,MATCH($B24,[23]SourceEnergy!$R$20:$R$45,0),MATCH(E$7,[23]SourceEnergy!$U$12:$V$12,0))/10</f>
        <v>5.1186883109329742</v>
      </c>
      <c r="F24" s="31">
        <f>INDEX([23]SourceEnergy!$U$20:$V$45,MATCH($B24,[23]SourceEnergy!$R$20:$R$45,0),MATCH(F$7,[23]SourceEnergy!$U$12:$V$12,0))/10</f>
        <v>5.1359186971928725</v>
      </c>
      <c r="G24" s="31"/>
      <c r="H24" s="51"/>
      <c r="I24" s="185">
        <f t="shared" si="9"/>
        <v>0.92999999999999994</v>
      </c>
      <c r="J24" s="185"/>
      <c r="L24" s="200">
        <f t="shared" si="5"/>
        <v>4.3108679286934803</v>
      </c>
      <c r="M24" s="201">
        <f t="shared" si="10"/>
        <v>3.1692203645358825</v>
      </c>
      <c r="O24" s="200">
        <f t="shared" si="6"/>
        <v>4.3925378671367898</v>
      </c>
      <c r="P24" s="201">
        <f t="shared" si="11"/>
        <v>4.1638474978868034</v>
      </c>
      <c r="R24" s="200">
        <f t="shared" si="7"/>
        <v>4.7603801291676655</v>
      </c>
      <c r="S24" s="201">
        <f t="shared" si="12"/>
        <v>3.4867950090639699</v>
      </c>
      <c r="U24" s="200">
        <f t="shared" si="8"/>
        <v>4.7764043883893708</v>
      </c>
      <c r="V24" s="201">
        <f t="shared" si="13"/>
        <v>3.3161674399678116</v>
      </c>
    </row>
    <row r="25" spans="1:22" x14ac:dyDescent="0.2">
      <c r="A25" s="29"/>
      <c r="B25" s="30">
        <f t="shared" si="4"/>
        <v>2038</v>
      </c>
      <c r="C25" s="31">
        <f>INDEX([23]SourceEnergy!$S$20:$T$45,MATCH($B25,[23]SourceEnergy!$R$20:$R$45,0),MATCH(C$7,[23]SourceEnergy!$S$12:$T$12,0))/10</f>
        <v>4.5062483069956754</v>
      </c>
      <c r="D25" s="31">
        <f>INDEX([23]SourceEnergy!$S$20:$T$45,MATCH($B25,[23]SourceEnergy!$R$20:$R$45,0),MATCH(D$7,[23]SourceEnergy!$S$12:$T$12,0))/10</f>
        <v>4.7760259577370636</v>
      </c>
      <c r="E25" s="31">
        <f>INDEX([23]SourceEnergy!$U$20:$V$45,MATCH($B25,[23]SourceEnergy!$R$20:$R$45,0),MATCH(E$7,[23]SourceEnergy!$U$12:$V$12,0))/10</f>
        <v>5.0336265153477369</v>
      </c>
      <c r="F25" s="31">
        <f>INDEX([23]SourceEnergy!$U$20:$V$45,MATCH($B25,[23]SourceEnergy!$R$20:$R$45,0),MATCH(F$7,[23]SourceEnergy!$U$12:$V$12,0))/10</f>
        <v>5.2050138168586306</v>
      </c>
      <c r="G25" s="31"/>
      <c r="H25" s="51"/>
      <c r="I25" s="185">
        <f t="shared" si="9"/>
        <v>0.92499999999999993</v>
      </c>
      <c r="J25" s="185"/>
      <c r="L25" s="200">
        <f t="shared" si="5"/>
        <v>4.168279683970999</v>
      </c>
      <c r="M25" s="201">
        <f t="shared" si="10"/>
        <v>3.152181545371711</v>
      </c>
      <c r="O25" s="200">
        <f t="shared" si="6"/>
        <v>4.4178240109067834</v>
      </c>
      <c r="P25" s="201">
        <f t="shared" si="11"/>
        <v>4.1414612210164439</v>
      </c>
      <c r="R25" s="200">
        <f t="shared" si="7"/>
        <v>4.6561045266966561</v>
      </c>
      <c r="S25" s="201">
        <f t="shared" si="12"/>
        <v>3.4680487993378195</v>
      </c>
      <c r="U25" s="200">
        <f t="shared" si="8"/>
        <v>4.8146377805942331</v>
      </c>
      <c r="V25" s="201">
        <f t="shared" si="13"/>
        <v>3.2983385827636837</v>
      </c>
    </row>
    <row r="26" spans="1:22" x14ac:dyDescent="0.2">
      <c r="A26" s="29"/>
      <c r="B26" s="30">
        <f t="shared" si="4"/>
        <v>2039</v>
      </c>
      <c r="C26" s="31">
        <f>INDEX([23]SourceEnergy!$S$20:$T$45,MATCH($B26,[23]SourceEnergy!$R$20:$R$45,0),MATCH(C$7,[23]SourceEnergy!$S$12:$T$12,0))/10</f>
        <v>4.790193625018949</v>
      </c>
      <c r="D26" s="31">
        <f>INDEX([23]SourceEnergy!$S$20:$T$45,MATCH($B26,[23]SourceEnergy!$R$20:$R$45,0),MATCH(D$7,[23]SourceEnergy!$S$12:$T$12,0))/10</f>
        <v>4.8044046680498003</v>
      </c>
      <c r="E26" s="31">
        <f>INDEX([23]SourceEnergy!$U$20:$V$45,MATCH($B26,[23]SourceEnergy!$R$20:$R$45,0),MATCH(E$7,[23]SourceEnergy!$U$12:$V$12,0))/10</f>
        <v>5.2596894842918864</v>
      </c>
      <c r="F26" s="31">
        <f>INDEX([23]SourceEnergy!$U$20:$V$45,MATCH($B26,[23]SourceEnergy!$R$20:$R$45,0),MATCH(F$7,[23]SourceEnergy!$U$12:$V$12,0))/10</f>
        <v>5.3492388262412396</v>
      </c>
      <c r="G26" s="31"/>
      <c r="H26" s="51"/>
      <c r="I26" s="185">
        <f t="shared" si="9"/>
        <v>0.91999999999999993</v>
      </c>
      <c r="J26" s="185"/>
      <c r="L26" s="200">
        <f t="shared" si="5"/>
        <v>4.4069781350174324</v>
      </c>
      <c r="M26" s="201">
        <f t="shared" si="10"/>
        <v>3.1351427262075395</v>
      </c>
      <c r="O26" s="200">
        <f t="shared" si="6"/>
        <v>4.4200522946058163</v>
      </c>
      <c r="P26" s="201">
        <f t="shared" si="11"/>
        <v>4.1190749441460852</v>
      </c>
      <c r="R26" s="200">
        <f t="shared" si="7"/>
        <v>4.8389143255485347</v>
      </c>
      <c r="S26" s="201">
        <f t="shared" si="12"/>
        <v>3.4493025896116691</v>
      </c>
      <c r="U26" s="200">
        <f t="shared" si="8"/>
        <v>4.9212997201419402</v>
      </c>
      <c r="V26" s="201">
        <f t="shared" si="13"/>
        <v>3.2805097255595559</v>
      </c>
    </row>
    <row r="27" spans="1:22" x14ac:dyDescent="0.2">
      <c r="A27" s="29"/>
      <c r="B27" s="30">
        <f t="shared" si="4"/>
        <v>2040</v>
      </c>
      <c r="C27" s="31">
        <f>INDEX([23]SourceEnergy!$S$20:$T$45,MATCH($B27,[23]SourceEnergy!$R$20:$R$45,0),MATCH(C$7,[23]SourceEnergy!$S$12:$T$12,0))/10</f>
        <v>4.9307430277680968</v>
      </c>
      <c r="D27" s="31">
        <f>INDEX([23]SourceEnergy!$S$20:$T$45,MATCH($B27,[23]SourceEnergy!$R$20:$R$45,0),MATCH(D$7,[23]SourceEnergy!$S$12:$T$12,0))/10</f>
        <v>5.1150754403192744</v>
      </c>
      <c r="E27" s="31">
        <f>INDEX([23]SourceEnergy!$U$20:$V$45,MATCH($B27,[23]SourceEnergy!$R$20:$R$45,0),MATCH(E$7,[23]SourceEnergy!$U$12:$V$12,0))/10</f>
        <v>5.1613508936005861</v>
      </c>
      <c r="F27" s="31">
        <f>INDEX([23]SourceEnergy!$U$20:$V$45,MATCH($B27,[23]SourceEnergy!$R$20:$R$45,0),MATCH(F$7,[23]SourceEnergy!$U$12:$V$12,0))/10</f>
        <v>5.5016812552685703</v>
      </c>
      <c r="G27" s="31"/>
      <c r="H27" s="51"/>
      <c r="I27" s="185">
        <f t="shared" si="9"/>
        <v>0.91499999999999992</v>
      </c>
      <c r="J27" s="185"/>
      <c r="L27" s="200">
        <f t="shared" si="5"/>
        <v>4.5116298704078082</v>
      </c>
      <c r="M27" s="201">
        <f t="shared" si="10"/>
        <v>3.118103907043368</v>
      </c>
      <c r="O27" s="200">
        <f t="shared" si="6"/>
        <v>4.6802940278921357</v>
      </c>
      <c r="P27" s="201">
        <f t="shared" si="11"/>
        <v>4.0966886672757257</v>
      </c>
      <c r="R27" s="200">
        <f t="shared" si="7"/>
        <v>4.7226360676445358</v>
      </c>
      <c r="S27" s="201">
        <f t="shared" si="12"/>
        <v>3.4305563798855188</v>
      </c>
      <c r="U27" s="200">
        <f t="shared" si="8"/>
        <v>5.0340383485707418</v>
      </c>
      <c r="V27" s="201">
        <f t="shared" si="13"/>
        <v>3.2626808683554276</v>
      </c>
    </row>
    <row r="28" spans="1:22" x14ac:dyDescent="0.2">
      <c r="A28" s="29"/>
      <c r="B28" s="30">
        <f t="shared" ref="B28" si="14">B27+1</f>
        <v>2041</v>
      </c>
      <c r="C28" s="31">
        <f>INDEX([23]SourceEnergy!$S$20:$T$45,MATCH($B28,[23]SourceEnergy!$R$20:$R$45,0),MATCH(C$7,[23]SourceEnergy!$S$12:$T$12,0))/10</f>
        <v>5.0431701749395348</v>
      </c>
      <c r="D28" s="31">
        <f>INDEX([23]SourceEnergy!$S$20:$T$45,MATCH($B28,[23]SourceEnergy!$R$20:$R$45,0),MATCH(D$7,[23]SourceEnergy!$S$12:$T$12,0))/10</f>
        <v>5.2160545697065217</v>
      </c>
      <c r="E28" s="31">
        <f>INDEX([23]SourceEnergy!$U$20:$V$45,MATCH($B28,[23]SourceEnergy!$R$20:$R$45,0),MATCH(E$7,[23]SourceEnergy!$U$12:$V$12,0))/10</f>
        <v>5.2955669389799471</v>
      </c>
      <c r="F28" s="31">
        <f>INDEX([23]SourceEnergy!$U$20:$V$45,MATCH($B28,[23]SourceEnergy!$R$20:$R$45,0),MATCH(F$7,[23]SourceEnergy!$U$12:$V$12,0))/10</f>
        <v>5.6692507978382345</v>
      </c>
      <c r="G28" s="31"/>
      <c r="H28" s="51"/>
      <c r="I28" s="185"/>
      <c r="J28" s="185"/>
      <c r="L28" s="186"/>
      <c r="O28" s="186"/>
      <c r="R28" s="186"/>
      <c r="U28" s="186"/>
    </row>
    <row r="29" spans="1:22" x14ac:dyDescent="0.2">
      <c r="A29" s="29"/>
      <c r="B29" s="30">
        <f t="shared" ref="B29:B30" si="15">B28+1</f>
        <v>2042</v>
      </c>
      <c r="C29" s="31">
        <f>INDEX([23]SourceEnergy!$S$20:$T$45,MATCH($B29,[23]SourceEnergy!$R$20:$R$45,0),MATCH(C$7,[23]SourceEnergy!$S$12:$T$12,0))/10</f>
        <v>5.2004392518731288</v>
      </c>
      <c r="D29" s="31">
        <f>INDEX([23]SourceEnergy!$S$20:$T$45,MATCH($B29,[23]SourceEnergy!$R$20:$R$45,0),MATCH(D$7,[23]SourceEnergy!$S$12:$T$12,0))/10</f>
        <v>5.387064800662257</v>
      </c>
      <c r="E29" s="31">
        <f>INDEX([23]SourceEnergy!$U$20:$V$45,MATCH($B29,[23]SourceEnergy!$R$20:$R$45,0),MATCH(E$7,[23]SourceEnergy!$U$12:$V$12,0))/10</f>
        <v>5.1649422240820329</v>
      </c>
      <c r="F29" s="31">
        <f>INDEX([23]SourceEnergy!$U$20:$V$45,MATCH($B29,[23]SourceEnergy!$R$20:$R$45,0),MATCH(F$7,[23]SourceEnergy!$U$12:$V$12,0))/10</f>
        <v>5.5066526965175679</v>
      </c>
      <c r="G29" s="31"/>
      <c r="H29" s="51"/>
      <c r="I29" s="185"/>
      <c r="J29" s="185"/>
      <c r="L29" s="186"/>
      <c r="O29" s="186"/>
      <c r="R29" s="186"/>
      <c r="U29" s="186"/>
    </row>
    <row r="30" spans="1:22" hidden="1" x14ac:dyDescent="0.2">
      <c r="A30" s="29"/>
      <c r="B30" s="30">
        <f t="shared" si="15"/>
        <v>2043</v>
      </c>
      <c r="C30" s="31">
        <f>INDEX([23]SourceEnergy!$S$20:$T$45,MATCH($B30,[23]SourceEnergy!$R$20:$R$45,0),MATCH(C$7,[23]SourceEnergy!$S$12:$T$12,0))/10</f>
        <v>0</v>
      </c>
      <c r="D30" s="31">
        <f>INDEX([23]SourceEnergy!$S$20:$T$45,MATCH($B30,[23]SourceEnergy!$R$20:$R$45,0),MATCH(D$7,[23]SourceEnergy!$S$12:$T$12,0))/10</f>
        <v>0</v>
      </c>
      <c r="E30" s="31">
        <f>INDEX([23]SourceEnergy!$U$20:$V$45,MATCH($B30,[23]SourceEnergy!$R$20:$R$45,0),MATCH(E$7,[23]SourceEnergy!$U$12:$V$12,0))/10</f>
        <v>0</v>
      </c>
      <c r="F30" s="31">
        <f>INDEX([23]SourceEnergy!$U$20:$V$45,MATCH($B30,[23]SourceEnergy!$R$20:$R$45,0),MATCH(F$7,[23]SourceEnergy!$U$12:$V$12,0))/10</f>
        <v>0</v>
      </c>
      <c r="G30" s="31"/>
      <c r="H30" s="51"/>
      <c r="I30" s="185"/>
      <c r="J30" s="185"/>
      <c r="L30" s="186"/>
      <c r="O30" s="186"/>
      <c r="R30" s="186"/>
      <c r="U30" s="186"/>
    </row>
    <row r="31" spans="1:22" x14ac:dyDescent="0.2">
      <c r="A31" s="29"/>
      <c r="B31" s="30"/>
      <c r="C31" s="29"/>
      <c r="D31" s="29"/>
      <c r="E31" s="29"/>
      <c r="F31" s="29"/>
      <c r="G31" s="29"/>
      <c r="H31" s="51"/>
      <c r="I31" s="185"/>
      <c r="J31" s="185"/>
      <c r="L31" s="186"/>
      <c r="O31" s="186"/>
      <c r="R31" s="186"/>
      <c r="U31" s="186"/>
    </row>
    <row r="32" spans="1:22" x14ac:dyDescent="0.2">
      <c r="A32" s="29"/>
      <c r="C32" s="27" t="s">
        <v>295</v>
      </c>
      <c r="D32" s="27"/>
      <c r="E32" s="45" t="s">
        <v>150</v>
      </c>
      <c r="F32" s="45"/>
      <c r="G32" s="27"/>
      <c r="H32" s="51"/>
      <c r="I32" s="185"/>
      <c r="J32" s="185"/>
      <c r="L32" s="186"/>
      <c r="O32" s="186"/>
      <c r="R32" s="186"/>
      <c r="U32" s="186"/>
    </row>
    <row r="33" spans="1:22" ht="14.25" x14ac:dyDescent="0.35">
      <c r="A33" s="29"/>
      <c r="B33" s="34"/>
      <c r="C33" s="28" t="s">
        <v>9</v>
      </c>
      <c r="D33" s="28" t="s">
        <v>10</v>
      </c>
      <c r="E33" s="28" t="s">
        <v>9</v>
      </c>
      <c r="F33" s="28" t="s">
        <v>10</v>
      </c>
      <c r="G33" s="28"/>
      <c r="H33" s="51"/>
      <c r="I33" s="185"/>
      <c r="J33" s="185"/>
      <c r="K33" s="197"/>
      <c r="L33" s="197"/>
      <c r="M33" s="197"/>
      <c r="O33" s="186"/>
      <c r="R33" s="186"/>
      <c r="U33" s="186"/>
    </row>
    <row r="34" spans="1:22" ht="36" customHeight="1" x14ac:dyDescent="0.2">
      <c r="B34" s="35" t="str">
        <f ca="1">"15-year ("&amp;INDEX($B:$B,MID(_xlfn.FORMULATEXT(L34),FIND("(L",_xlfn.FORMULATEXT(L34))+2,2),1)&amp;"-"&amp;INDEX($B:$B,MID(_xlfn.FORMULATEXT(L34),FIND("),",_xlfn.FORMULATEXT(L34))-2,2),1)&amp;") Nominal Levelized"</f>
        <v>15-year (2023-2037) Nominal Levelized</v>
      </c>
      <c r="C34" s="36">
        <f>M34</f>
        <v>3.4077638328342825</v>
      </c>
      <c r="D34" s="36">
        <f>P34</f>
        <v>4.4772553740718317</v>
      </c>
      <c r="E34" s="36">
        <f>S34</f>
        <v>3.7492419452300756</v>
      </c>
      <c r="F34" s="36">
        <f>V34</f>
        <v>3.5657714408256043</v>
      </c>
      <c r="G34" s="36"/>
      <c r="I34" s="199">
        <f>-PMT('Table 3 Comparison'!$P$37,COUNT(I10:I24),NPV('Table 3 Comparison'!$P$37,I10:I24))</f>
        <v>0.97110891617189654</v>
      </c>
      <c r="J34" s="189"/>
      <c r="K34" s="197"/>
      <c r="L34" s="199">
        <f>-PMT('Table 3 Comparison'!$P$37,COUNT(L10:L24),NPV('Table 3 Comparison'!$P$37,L10:L24))</f>
        <v>3.3093098422734881</v>
      </c>
      <c r="M34" s="198">
        <f>L34/$I34</f>
        <v>3.4077638328342825</v>
      </c>
      <c r="N34" s="192"/>
      <c r="O34" s="199">
        <f>-PMT('Table 3 Comparison'!$P$37,COUNT(O10:O24),NPV('Table 3 Comparison'!$P$37,O10:O24))</f>
        <v>4.3479026137396959</v>
      </c>
      <c r="P34" s="198">
        <f>O34/$I34</f>
        <v>4.4772553740718317</v>
      </c>
      <c r="Q34" s="192"/>
      <c r="R34" s="199">
        <f>-PMT('Table 3 Comparison'!$P$37,COUNT(R10:R24),NPV('Table 3 Comparison'!$P$37,R10:R24))</f>
        <v>3.6409222818985918</v>
      </c>
      <c r="S34" s="198">
        <f>R34/$I34</f>
        <v>3.7492419452300756</v>
      </c>
      <c r="T34" s="192"/>
      <c r="U34" s="199">
        <f>-PMT('Table 3 Comparison'!$P$37,COUNT(U10:U24),NPV('Table 3 Comparison'!$P$37,U10:U24))</f>
        <v>3.4627524392168545</v>
      </c>
      <c r="V34" s="198">
        <f>U34/$I34</f>
        <v>3.5657714408256043</v>
      </c>
    </row>
    <row r="35" spans="1:22" ht="28.5" hidden="1" customHeight="1" x14ac:dyDescent="0.2">
      <c r="A35" s="34"/>
      <c r="B35" s="35" t="s">
        <v>293</v>
      </c>
      <c r="C35" s="36">
        <f t="shared" ref="C35:C36" si="16">M35</f>
        <v>3.5018778200529663</v>
      </c>
      <c r="D35" s="36">
        <f t="shared" ref="D35:D36" si="17">P35</f>
        <v>4.3469752790045542</v>
      </c>
      <c r="E35" s="36">
        <f t="shared" ref="E35:E36" si="18">S35</f>
        <v>3.8934286258964512</v>
      </c>
      <c r="F35" s="36">
        <f t="shared" ref="F35:F36" si="19">V35</f>
        <v>3.7158477376695527</v>
      </c>
      <c r="I35" s="199">
        <f>-PMT('Table 3 Comparison'!$P$37,COUNT(I11:I25),NPV('Table 3 Comparison'!$P$37,I11:I25))</f>
        <v>0.96610891617189654</v>
      </c>
      <c r="J35" s="187"/>
      <c r="K35" s="188"/>
      <c r="L35" s="199">
        <f>-PMT('Table 3 Comparison'!$P$37,COUNT(L11:L25),NPV('Table 3 Comparison'!$P$37,L11:L25))</f>
        <v>3.3831953852977752</v>
      </c>
      <c r="M35" s="198">
        <f>L35/$I35</f>
        <v>3.5018778200529663</v>
      </c>
      <c r="N35" s="188"/>
      <c r="O35" s="199">
        <f>-PMT('Table 3 Comparison'!$P$37,COUNT(O11:O25),NPV('Table 3 Comparison'!$P$37,O11:O25))</f>
        <v>4.1996515754251176</v>
      </c>
      <c r="P35" s="198">
        <f>O35/$I35</f>
        <v>4.3469752790045542</v>
      </c>
      <c r="Q35" s="188"/>
      <c r="R35" s="199">
        <f>-PMT('Table 3 Comparison'!$P$37,COUNT(R11:R25),NPV('Table 3 Comparison'!$P$37,R11:R25))</f>
        <v>3.761476109957457</v>
      </c>
      <c r="S35" s="198">
        <f>R35/$I35</f>
        <v>3.8934286258964512</v>
      </c>
      <c r="T35" s="188"/>
      <c r="U35" s="199">
        <f>-PMT('Table 3 Comparison'!$P$37,COUNT(U11:U25),NPV('Table 3 Comparison'!$P$37,U11:U25))</f>
        <v>3.5899136304997254</v>
      </c>
      <c r="V35" s="198">
        <f>U35/$I35</f>
        <v>3.7158477376695527</v>
      </c>
    </row>
    <row r="36" spans="1:22" ht="24.75" hidden="1" customHeight="1" x14ac:dyDescent="0.2">
      <c r="A36" s="38"/>
      <c r="B36" s="35" t="s">
        <v>294</v>
      </c>
      <c r="C36" s="36">
        <f t="shared" si="16"/>
        <v>3.6134130128400419</v>
      </c>
      <c r="D36" s="36">
        <f t="shared" si="17"/>
        <v>4.1191814947954768</v>
      </c>
      <c r="E36" s="36">
        <f t="shared" si="18"/>
        <v>4.0434033758842194</v>
      </c>
      <c r="F36" s="36">
        <f t="shared" si="19"/>
        <v>3.8881716060880387</v>
      </c>
      <c r="I36" s="199">
        <f>-PMT('Table 3 Comparison'!$P$37,COUNT(I12:I26),NPV('Table 3 Comparison'!$P$37,I12:I26))</f>
        <v>0.96110891617189642</v>
      </c>
      <c r="J36" s="187"/>
      <c r="K36" s="188"/>
      <c r="L36" s="199">
        <f>-PMT('Table 3 Comparison'!$P$37,COUNT(L12:L26),NPV('Table 3 Comparison'!$P$37,L12:L26))</f>
        <v>3.4728834644521194</v>
      </c>
      <c r="M36" s="198">
        <f>L36/$I36</f>
        <v>3.6134130128400419</v>
      </c>
      <c r="N36" s="188"/>
      <c r="O36" s="199">
        <f>-PMT('Table 3 Comparison'!$P$37,COUNT(O12:O26),NPV('Table 3 Comparison'!$P$37,O12:O26))</f>
        <v>3.958982061978213</v>
      </c>
      <c r="P36" s="198">
        <f>O36/$I36</f>
        <v>4.1191814947954768</v>
      </c>
      <c r="Q36" s="188"/>
      <c r="R36" s="199">
        <f>-PMT('Table 3 Comparison'!$P$37,COUNT(R12:R26),NPV('Table 3 Comparison'!$P$37,R12:R26))</f>
        <v>3.886151036241869</v>
      </c>
      <c r="S36" s="198">
        <f>R36/$I36</f>
        <v>4.0434033758842194</v>
      </c>
      <c r="T36" s="188"/>
      <c r="U36" s="199">
        <f>-PMT('Table 3 Comparison'!$P$37,COUNT(U12:U26),NPV('Table 3 Comparison'!$P$37,U12:U26))</f>
        <v>3.7369563982176168</v>
      </c>
      <c r="V36" s="198">
        <f>U36/$I36</f>
        <v>3.8881716060880387</v>
      </c>
    </row>
    <row r="37" spans="1:22" hidden="1" x14ac:dyDescent="0.2">
      <c r="A37" s="38"/>
      <c r="B37" s="35"/>
      <c r="C37" s="36"/>
      <c r="D37" s="36"/>
      <c r="E37" s="36"/>
      <c r="F37" s="36"/>
      <c r="I37" s="189"/>
      <c r="J37" s="189"/>
      <c r="K37" s="190"/>
      <c r="L37" s="190"/>
      <c r="M37" s="191"/>
      <c r="N37" s="192"/>
      <c r="O37" s="190"/>
      <c r="P37" s="191"/>
      <c r="Q37" s="192"/>
      <c r="R37" s="190"/>
      <c r="S37" s="191"/>
      <c r="T37" s="192"/>
      <c r="U37" s="190"/>
      <c r="V37" s="191"/>
    </row>
    <row r="38" spans="1:22" ht="12.75" hidden="1" x14ac:dyDescent="0.2">
      <c r="A38" s="38"/>
      <c r="B38"/>
      <c r="C38"/>
      <c r="D38"/>
      <c r="E38"/>
      <c r="F38" s="39"/>
      <c r="G38" s="39"/>
      <c r="K38" s="193"/>
      <c r="L38" s="194"/>
      <c r="M38" s="195"/>
      <c r="O38" s="194"/>
      <c r="P38" s="195"/>
      <c r="R38" s="194"/>
      <c r="S38" s="195"/>
      <c r="U38" s="194"/>
      <c r="V38" s="195"/>
    </row>
    <row r="39" spans="1:22" ht="12.75" x14ac:dyDescent="0.2">
      <c r="A39" s="38"/>
      <c r="B39"/>
      <c r="C39"/>
      <c r="D39" s="41"/>
      <c r="E39" s="41"/>
      <c r="F39" s="39"/>
      <c r="G39" s="39"/>
      <c r="L39" s="196"/>
      <c r="O39" s="196"/>
      <c r="R39" s="196"/>
      <c r="U39" s="196"/>
    </row>
    <row r="40" spans="1:22" ht="12.75" x14ac:dyDescent="0.2">
      <c r="A40" s="29"/>
      <c r="B40"/>
      <c r="C40"/>
      <c r="D40" s="41"/>
      <c r="E40" s="41"/>
      <c r="F40" s="29"/>
      <c r="G40" s="29"/>
    </row>
    <row r="41" spans="1:22" ht="12.75" x14ac:dyDescent="0.2">
      <c r="A41" s="37"/>
      <c r="B41" t="s">
        <v>103</v>
      </c>
      <c r="C41"/>
      <c r="D41" s="41"/>
      <c r="E41" s="41"/>
      <c r="K41" s="177" t="str">
        <f ca="1">"NPV ("&amp;INDEX($B:$B,MID(_xlfn.FORMULATEXT(L34),FIND("(L",_xlfn.FORMULATEXT(L34))+2,2),1)&amp;"-"&amp;INDEX($B:$B,MID(_xlfn.FORMULATEXT(L34),FIND("),",_xlfn.FORMULATEXT(L34))-2,2),1)&amp;")"</f>
        <v>NPV (2023-2037)</v>
      </c>
      <c r="L41" s="184">
        <f>NPV('Table 3 Comparison'!$P$37,L10:L24)</f>
        <v>30.370695841588706</v>
      </c>
      <c r="M41" s="184">
        <f>NPV('Table 3 Comparison'!$P$37,M10:M24)</f>
        <v>30.370695841588699</v>
      </c>
      <c r="O41" s="184">
        <f>NPV('Table 3 Comparison'!$P$37,O10:O24)</f>
        <v>39.902225577046487</v>
      </c>
      <c r="P41" s="184">
        <f>NPV('Table 3 Comparison'!$P$37,P10:P24)</f>
        <v>39.902225577046465</v>
      </c>
      <c r="R41" s="184">
        <f>NPV('Table 3 Comparison'!$P$37,R10:R24)</f>
        <v>33.414019380681154</v>
      </c>
      <c r="S41" s="184">
        <f>NPV('Table 3 Comparison'!$P$37,S10:S24)</f>
        <v>33.414019380681154</v>
      </c>
      <c r="U41" s="184">
        <f>NPV('Table 3 Comparison'!$P$37,U10:U24)</f>
        <v>31.778892312460393</v>
      </c>
      <c r="V41" s="184">
        <f>NPV('Table 3 Comparison'!$P$37,V10:V24)</f>
        <v>31.778892312460393</v>
      </c>
    </row>
    <row r="42" spans="1:22" ht="12.75" x14ac:dyDescent="0.2">
      <c r="A42" s="37"/>
      <c r="B42" t="s">
        <v>149</v>
      </c>
      <c r="C42"/>
      <c r="D42" s="41"/>
      <c r="E42" s="41"/>
      <c r="K42" s="177" t="s">
        <v>111</v>
      </c>
      <c r="M42" s="177">
        <f>M41-L41</f>
        <v>0</v>
      </c>
      <c r="P42" s="177">
        <f>P41-O41</f>
        <v>0</v>
      </c>
      <c r="S42" s="177">
        <f>S41-R41</f>
        <v>0</v>
      </c>
      <c r="V42" s="177">
        <f>V41-U41</f>
        <v>0</v>
      </c>
    </row>
    <row r="43" spans="1:22" ht="12.75" x14ac:dyDescent="0.2">
      <c r="B43" t="s">
        <v>291</v>
      </c>
    </row>
  </sheetData>
  <printOptions horizontalCentered="1"/>
  <pageMargins left="0.25" right="0.25" top="0.75" bottom="0.75" header="0.3" footer="0.3"/>
  <pageSetup scale="82" orientation="landscape" copies="3" r:id="rId1"/>
  <headerFooter alignWithMargins="0">
    <oddFooter>&amp;L&amp;8NPC Group - &amp;F   ( &amp;A )&amp;C &amp;R &amp;8&amp;D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Table 1 Preferred Portfolio</vt:lpstr>
      <vt:lpstr>Table 2 QF Signed Queue</vt:lpstr>
      <vt:lpstr>Table 3 Comparison</vt:lpstr>
      <vt:lpstr>Table 4 Gas Price</vt:lpstr>
      <vt:lpstr> Table 5 Electric Price</vt:lpstr>
      <vt:lpstr>Table6 Integration</vt:lpstr>
      <vt:lpstr>--- Do Not Print ---&gt;</vt:lpstr>
      <vt:lpstr>Tariff Page</vt:lpstr>
      <vt:lpstr>Tariff Page Solar Fixed</vt:lpstr>
      <vt:lpstr>Tariff Page Solar Tracking</vt:lpstr>
      <vt:lpstr>Tariff Page Wind</vt:lpstr>
      <vt:lpstr>OFPC Source</vt:lpstr>
      <vt:lpstr>'Table 2 QF Signed Queue'!CC_OR_Solar</vt:lpstr>
      <vt:lpstr>'Table 2 QF Signed Queue'!CC_UT_Solar</vt:lpstr>
      <vt:lpstr>' Table 5 Electric Price'!Print_Area</vt:lpstr>
      <vt:lpstr>'Table 2 QF Signed Queue'!Print_Area</vt:lpstr>
      <vt:lpstr>'Table 3 Comparison'!Print_Area</vt:lpstr>
      <vt:lpstr>'Table 4 Gas Price'!Print_Area</vt:lpstr>
      <vt:lpstr>'Table6 Integration'!Print_Area</vt:lpstr>
      <vt:lpstr>'Tariff Page'!Print_Area</vt:lpstr>
      <vt:lpstr>'Tariff Page Solar Fixed'!Print_Area</vt:lpstr>
      <vt:lpstr>'Tariff Page Solar Tracking'!Print_Area</vt:lpstr>
      <vt:lpstr>'Tariff Page Wind'!Print_Area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Fred Nass</cp:lastModifiedBy>
  <cp:lastPrinted>2016-04-26T19:06:14Z</cp:lastPrinted>
  <dcterms:created xsi:type="dcterms:W3CDTF">2001-03-19T15:45:46Z</dcterms:created>
  <dcterms:modified xsi:type="dcterms:W3CDTF">2023-04-28T18:47:20Z</dcterms:modified>
</cp:coreProperties>
</file>