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filterPrivacy="1" defaultThemeVersion="166925"/>
  <xr:revisionPtr revIDLastSave="0" documentId="8_{BAC69478-93F6-43C0-B076-70F3C95BE370}" xr6:coauthVersionLast="47" xr6:coauthVersionMax="47" xr10:uidLastSave="{00000000-0000-0000-0000-000000000000}"/>
  <bookViews>
    <workbookView xWindow="1140" yWindow="375" windowWidth="22710" windowHeight="20505" firstSheet="1" activeTab="1" xr2:uid="{FBC234A2-B0E3-4B85-8003-AC5A49B207DF}"/>
  </bookViews>
  <sheets>
    <sheet name="Index" sheetId="1" r:id="rId1"/>
    <sheet name="RMP_(AJR-1)" sheetId="2" r:id="rId2"/>
    <sheet name="RMP_(AJR-2)" sheetId="3" r:id="rId3"/>
    <sheet name="Page 2.1" sheetId="4" r:id="rId4"/>
    <sheet name="Page 2.2" sheetId="5" r:id="rId5"/>
  </sheets>
  <definedNames>
    <definedName name="________________________OM1" hidden="1">{#N/A,#N/A,FALSE,"Summary";#N/A,#N/A,FALSE,"SmPlants";#N/A,#N/A,FALSE,"Utah";#N/A,#N/A,FALSE,"Idaho";#N/A,#N/A,FALSE,"Lewis River";#N/A,#N/A,FALSE,"NrthUmpq";#N/A,#N/A,FALSE,"KlamRog"}</definedName>
    <definedName name="______________________OM1" hidden="1">{#N/A,#N/A,FALSE,"Summary";#N/A,#N/A,FALSE,"SmPlants";#N/A,#N/A,FALSE,"Utah";#N/A,#N/A,FALSE,"Idaho";#N/A,#N/A,FALSE,"Lewis River";#N/A,#N/A,FALSE,"NrthUmpq";#N/A,#N/A,FALSE,"KlamRog"}</definedName>
    <definedName name="____________________OM1" hidden="1">{#N/A,#N/A,FALSE,"Summary";#N/A,#N/A,FALSE,"SmPlants";#N/A,#N/A,FALSE,"Utah";#N/A,#N/A,FALSE,"Idaho";#N/A,#N/A,FALSE,"Lewis River";#N/A,#N/A,FALSE,"NrthUmpq";#N/A,#N/A,FALSE,"KlamRog"}</definedName>
    <definedName name="___________________OM1" hidden="1">{#N/A,#N/A,FALSE,"Summary";#N/A,#N/A,FALSE,"SmPlants";#N/A,#N/A,FALSE,"Utah";#N/A,#N/A,FALSE,"Idaho";#N/A,#N/A,FALSE,"Lewis River";#N/A,#N/A,FALSE,"NrthUmpq";#N/A,#N/A,FALSE,"KlamRog"}</definedName>
    <definedName name="_________________OM1" hidden="1">{#N/A,#N/A,FALSE,"Summary";#N/A,#N/A,FALSE,"SmPlants";#N/A,#N/A,FALSE,"Utah";#N/A,#N/A,FALSE,"Idaho";#N/A,#N/A,FALSE,"Lewis River";#N/A,#N/A,FALSE,"NrthUmpq";#N/A,#N/A,FALSE,"KlamRog"}</definedName>
    <definedName name="______________OM1" hidden="1">{#N/A,#N/A,FALSE,"Summary";#N/A,#N/A,FALSE,"SmPlants";#N/A,#N/A,FALSE,"Utah";#N/A,#N/A,FALSE,"Idaho";#N/A,#N/A,FALSE,"Lewis River";#N/A,#N/A,FALSE,"NrthUmpq";#N/A,#N/A,FALSE,"KlamRog"}</definedName>
    <definedName name="____________OM1" hidden="1">{#N/A,#N/A,FALSE,"Summary";#N/A,#N/A,FALSE,"SmPlants";#N/A,#N/A,FALSE,"Utah";#N/A,#N/A,FALSE,"Idaho";#N/A,#N/A,FALSE,"Lewis River";#N/A,#N/A,FALSE,"NrthUmpq";#N/A,#N/A,FALSE,"KlamRog"}</definedName>
    <definedName name="___________OM1" hidden="1">{#N/A,#N/A,FALSE,"Summary";#N/A,#N/A,FALSE,"SmPlants";#N/A,#N/A,FALSE,"Utah";#N/A,#N/A,FALSE,"Idaho";#N/A,#N/A,FALSE,"Lewis River";#N/A,#N/A,FALSE,"NrthUmpq";#N/A,#N/A,FALSE,"KlamRog"}</definedName>
    <definedName name="_________j1" hidden="1">{"PRINT",#N/A,TRUE,"APPA";"PRINT",#N/A,TRUE,"APS";"PRINT",#N/A,TRUE,"BHPL";"PRINT",#N/A,TRUE,"BHPL2";"PRINT",#N/A,TRUE,"CDWR";"PRINT",#N/A,TRUE,"EWEB";"PRINT",#N/A,TRUE,"LADWP";"PRINT",#N/A,TRUE,"NEVBASE"}</definedName>
    <definedName name="_________j2" hidden="1">{"PRINT",#N/A,TRUE,"APPA";"PRINT",#N/A,TRUE,"APS";"PRINT",#N/A,TRUE,"BHPL";"PRINT",#N/A,TRUE,"BHPL2";"PRINT",#N/A,TRUE,"CDWR";"PRINT",#N/A,TRUE,"EWEB";"PRINT",#N/A,TRUE,"LADWP";"PRINT",#N/A,TRUE,"NEVBASE"}</definedName>
    <definedName name="_________j3" hidden="1">{"PRINT",#N/A,TRUE,"APPA";"PRINT",#N/A,TRUE,"APS";"PRINT",#N/A,TRUE,"BHPL";"PRINT",#N/A,TRUE,"BHPL2";"PRINT",#N/A,TRUE,"CDWR";"PRINT",#N/A,TRUE,"EWEB";"PRINT",#N/A,TRUE,"LADWP";"PRINT",#N/A,TRUE,"NEVBASE"}</definedName>
    <definedName name="_________j4" hidden="1">{"PRINT",#N/A,TRUE,"APPA";"PRINT",#N/A,TRUE,"APS";"PRINT",#N/A,TRUE,"BHPL";"PRINT",#N/A,TRUE,"BHPL2";"PRINT",#N/A,TRUE,"CDWR";"PRINT",#N/A,TRUE,"EWEB";"PRINT",#N/A,TRUE,"LADWP";"PRINT",#N/A,TRUE,"NEVBASE"}</definedName>
    <definedName name="_________j5" hidden="1">{"PRINT",#N/A,TRUE,"APPA";"PRINT",#N/A,TRUE,"APS";"PRINT",#N/A,TRUE,"BHPL";"PRINT",#N/A,TRUE,"BHPL2";"PRINT",#N/A,TRUE,"CDWR";"PRINT",#N/A,TRUE,"EWEB";"PRINT",#N/A,TRUE,"LADWP";"PRINT",#N/A,TRUE,"NEVBASE"}</definedName>
    <definedName name="_________OM1" hidden="1">{#N/A,#N/A,FALSE,"Summary";#N/A,#N/A,FALSE,"SmPlants";#N/A,#N/A,FALSE,"Utah";#N/A,#N/A,FALSE,"Idaho";#N/A,#N/A,FALSE,"Lewis River";#N/A,#N/A,FALSE,"NrthUmpq";#N/A,#N/A,FALSE,"KlamRog"}</definedName>
    <definedName name="_______j1" hidden="1">{"PRINT",#N/A,TRUE,"APPA";"PRINT",#N/A,TRUE,"APS";"PRINT",#N/A,TRUE,"BHPL";"PRINT",#N/A,TRUE,"BHPL2";"PRINT",#N/A,TRUE,"CDWR";"PRINT",#N/A,TRUE,"EWEB";"PRINT",#N/A,TRUE,"LADWP";"PRINT",#N/A,TRUE,"NEVBASE"}</definedName>
    <definedName name="_______j2" hidden="1">{"PRINT",#N/A,TRUE,"APPA";"PRINT",#N/A,TRUE,"APS";"PRINT",#N/A,TRUE,"BHPL";"PRINT",#N/A,TRUE,"BHPL2";"PRINT",#N/A,TRUE,"CDWR";"PRINT",#N/A,TRUE,"EWEB";"PRINT",#N/A,TRUE,"LADWP";"PRINT",#N/A,TRUE,"NEVBASE"}</definedName>
    <definedName name="_______j3" hidden="1">{"PRINT",#N/A,TRUE,"APPA";"PRINT",#N/A,TRUE,"APS";"PRINT",#N/A,TRUE,"BHPL";"PRINT",#N/A,TRUE,"BHPL2";"PRINT",#N/A,TRUE,"CDWR";"PRINT",#N/A,TRUE,"EWEB";"PRINT",#N/A,TRUE,"LADWP";"PRINT",#N/A,TRUE,"NEVBASE"}</definedName>
    <definedName name="_______j4" hidden="1">{"PRINT",#N/A,TRUE,"APPA";"PRINT",#N/A,TRUE,"APS";"PRINT",#N/A,TRUE,"BHPL";"PRINT",#N/A,TRUE,"BHPL2";"PRINT",#N/A,TRUE,"CDWR";"PRINT",#N/A,TRUE,"EWEB";"PRINT",#N/A,TRUE,"LADWP";"PRINT",#N/A,TRUE,"NEVBASE"}</definedName>
    <definedName name="_______j5" hidden="1">{"PRINT",#N/A,TRUE,"APPA";"PRINT",#N/A,TRUE,"APS";"PRINT",#N/A,TRUE,"BHPL";"PRINT",#N/A,TRUE,"BHPL2";"PRINT",#N/A,TRUE,"CDWR";"PRINT",#N/A,TRUE,"EWEB";"PRINT",#N/A,TRUE,"LADWP";"PRINT",#N/A,TRUE,"NEVBASE"}</definedName>
    <definedName name="_______OM1" hidden="1">{#N/A,#N/A,FALSE,"Summary";#N/A,#N/A,FALSE,"SmPlants";#N/A,#N/A,FALSE,"Utah";#N/A,#N/A,FALSE,"Idaho";#N/A,#N/A,FALSE,"Lewis River";#N/A,#N/A,FALSE,"NrthUmpq";#N/A,#N/A,FALSE,"KlamRog"}</definedName>
    <definedName name="______j1" hidden="1">{"PRINT",#N/A,TRUE,"APPA";"PRINT",#N/A,TRUE,"APS";"PRINT",#N/A,TRUE,"BHPL";"PRINT",#N/A,TRUE,"BHPL2";"PRINT",#N/A,TRUE,"CDWR";"PRINT",#N/A,TRUE,"EWEB";"PRINT",#N/A,TRUE,"LADWP";"PRINT",#N/A,TRUE,"NEVBASE"}</definedName>
    <definedName name="______j2" hidden="1">{"PRINT",#N/A,TRUE,"APPA";"PRINT",#N/A,TRUE,"APS";"PRINT",#N/A,TRUE,"BHPL";"PRINT",#N/A,TRUE,"BHPL2";"PRINT",#N/A,TRUE,"CDWR";"PRINT",#N/A,TRUE,"EWEB";"PRINT",#N/A,TRUE,"LADWP";"PRINT",#N/A,TRUE,"NEVBASE"}</definedName>
    <definedName name="______j3" hidden="1">{"PRINT",#N/A,TRUE,"APPA";"PRINT",#N/A,TRUE,"APS";"PRINT",#N/A,TRUE,"BHPL";"PRINT",#N/A,TRUE,"BHPL2";"PRINT",#N/A,TRUE,"CDWR";"PRINT",#N/A,TRUE,"EWEB";"PRINT",#N/A,TRUE,"LADWP";"PRINT",#N/A,TRUE,"NEVBASE"}</definedName>
    <definedName name="______j4" hidden="1">{"PRINT",#N/A,TRUE,"APPA";"PRINT",#N/A,TRUE,"APS";"PRINT",#N/A,TRUE,"BHPL";"PRINT",#N/A,TRUE,"BHPL2";"PRINT",#N/A,TRUE,"CDWR";"PRINT",#N/A,TRUE,"EWEB";"PRINT",#N/A,TRUE,"LADWP";"PRINT",#N/A,TRUE,"NEVBASE"}</definedName>
    <definedName name="______j5" hidden="1">{"PRINT",#N/A,TRUE,"APPA";"PRINT",#N/A,TRUE,"APS";"PRINT",#N/A,TRUE,"BHPL";"PRINT",#N/A,TRUE,"BHPL2";"PRINT",#N/A,TRUE,"CDWR";"PRINT",#N/A,TRUE,"EWEB";"PRINT",#N/A,TRUE,"LADWP";"PRINT",#N/A,TRUE,"NEVBASE"}</definedName>
    <definedName name="______OM1" hidden="1">{#N/A,#N/A,FALSE,"Summary";#N/A,#N/A,FALSE,"SmPlants";#N/A,#N/A,FALSE,"Utah";#N/A,#N/A,FALSE,"Idaho";#N/A,#N/A,FALSE,"Lewis River";#N/A,#N/A,FALSE,"NrthUmpq";#N/A,#N/A,FALSE,"KlamRog"}</definedName>
    <definedName name="_____j1" hidden="1">{"PRINT",#N/A,TRUE,"APPA";"PRINT",#N/A,TRUE,"APS";"PRINT",#N/A,TRUE,"BHPL";"PRINT",#N/A,TRUE,"BHPL2";"PRINT",#N/A,TRUE,"CDWR";"PRINT",#N/A,TRUE,"EWEB";"PRINT",#N/A,TRUE,"LADWP";"PRINT",#N/A,TRUE,"NEVBASE"}</definedName>
    <definedName name="_____j2" hidden="1">{"PRINT",#N/A,TRUE,"APPA";"PRINT",#N/A,TRUE,"APS";"PRINT",#N/A,TRUE,"BHPL";"PRINT",#N/A,TRUE,"BHPL2";"PRINT",#N/A,TRUE,"CDWR";"PRINT",#N/A,TRUE,"EWEB";"PRINT",#N/A,TRUE,"LADWP";"PRINT",#N/A,TRUE,"NEVBASE"}</definedName>
    <definedName name="_____j3" hidden="1">{"PRINT",#N/A,TRUE,"APPA";"PRINT",#N/A,TRUE,"APS";"PRINT",#N/A,TRUE,"BHPL";"PRINT",#N/A,TRUE,"BHPL2";"PRINT",#N/A,TRUE,"CDWR";"PRINT",#N/A,TRUE,"EWEB";"PRINT",#N/A,TRUE,"LADWP";"PRINT",#N/A,TRUE,"NEVBASE"}</definedName>
    <definedName name="_____j4" hidden="1">{"PRINT",#N/A,TRUE,"APPA";"PRINT",#N/A,TRUE,"APS";"PRINT",#N/A,TRUE,"BHPL";"PRINT",#N/A,TRUE,"BHPL2";"PRINT",#N/A,TRUE,"CDWR";"PRINT",#N/A,TRUE,"EWEB";"PRINT",#N/A,TRUE,"LADWP";"PRINT",#N/A,TRUE,"NEVBASE"}</definedName>
    <definedName name="_____j5" hidden="1">{"PRINT",#N/A,TRUE,"APPA";"PRINT",#N/A,TRUE,"APS";"PRINT",#N/A,TRUE,"BHPL";"PRINT",#N/A,TRUE,"BHPL2";"PRINT",#N/A,TRUE,"CDWR";"PRINT",#N/A,TRUE,"EWEB";"PRINT",#N/A,TRUE,"LADWP";"PRINT",#N/A,TRUE,"NEVBASE"}</definedName>
    <definedName name="_____OM1" hidden="1">{#N/A,#N/A,FALSE,"Summary";#N/A,#N/A,FALSE,"SmPlants";#N/A,#N/A,FALSE,"Utah";#N/A,#N/A,FALSE,"Idaho";#N/A,#N/A,FALSE,"Lewis River";#N/A,#N/A,FALSE,"NrthUmpq";#N/A,#N/A,FALSE,"KlamRog"}</definedName>
    <definedName name="____j1" hidden="1">{"PRINT",#N/A,TRUE,"APPA";"PRINT",#N/A,TRUE,"APS";"PRINT",#N/A,TRUE,"BHPL";"PRINT",#N/A,TRUE,"BHPL2";"PRINT",#N/A,TRUE,"CDWR";"PRINT",#N/A,TRUE,"EWEB";"PRINT",#N/A,TRUE,"LADWP";"PRINT",#N/A,TRUE,"NEVBASE"}</definedName>
    <definedName name="____j2" hidden="1">{"PRINT",#N/A,TRUE,"APPA";"PRINT",#N/A,TRUE,"APS";"PRINT",#N/A,TRUE,"BHPL";"PRINT",#N/A,TRUE,"BHPL2";"PRINT",#N/A,TRUE,"CDWR";"PRINT",#N/A,TRUE,"EWEB";"PRINT",#N/A,TRUE,"LADWP";"PRINT",#N/A,TRUE,"NEVBASE"}</definedName>
    <definedName name="____j3" hidden="1">{"PRINT",#N/A,TRUE,"APPA";"PRINT",#N/A,TRUE,"APS";"PRINT",#N/A,TRUE,"BHPL";"PRINT",#N/A,TRUE,"BHPL2";"PRINT",#N/A,TRUE,"CDWR";"PRINT",#N/A,TRUE,"EWEB";"PRINT",#N/A,TRUE,"LADWP";"PRINT",#N/A,TRUE,"NEVBASE"}</definedName>
    <definedName name="____j4" hidden="1">{"PRINT",#N/A,TRUE,"APPA";"PRINT",#N/A,TRUE,"APS";"PRINT",#N/A,TRUE,"BHPL";"PRINT",#N/A,TRUE,"BHPL2";"PRINT",#N/A,TRUE,"CDWR";"PRINT",#N/A,TRUE,"EWEB";"PRINT",#N/A,TRUE,"LADWP";"PRINT",#N/A,TRUE,"NEVBASE"}</definedName>
    <definedName name="____j5" hidden="1">{"PRINT",#N/A,TRUE,"APPA";"PRINT",#N/A,TRUE,"APS";"PRINT",#N/A,TRUE,"BHPL";"PRINT",#N/A,TRUE,"BHPL2";"PRINT",#N/A,TRUE,"CDWR";"PRINT",#N/A,TRUE,"EWEB";"PRINT",#N/A,TRUE,"LADWP";"PRINT",#N/A,TRUE,"NEVBASE"}</definedName>
    <definedName name="____OM1" hidden="1">{#N/A,#N/A,FALSE,"Summary";#N/A,#N/A,FALSE,"SmPlants";#N/A,#N/A,FALSE,"Utah";#N/A,#N/A,FALSE,"Idaho";#N/A,#N/A,FALSE,"Lewis River";#N/A,#N/A,FALSE,"NrthUmpq";#N/A,#N/A,FALSE,"KlamRog"}</definedName>
    <definedName name="___j1" localSheetId="0" hidden="1">{"PRINT",#N/A,TRUE,"APPA";"PRINT",#N/A,TRUE,"APS";"PRINT",#N/A,TRUE,"BHPL";"PRINT",#N/A,TRUE,"BHPL2";"PRINT",#N/A,TRUE,"CDWR";"PRINT",#N/A,TRUE,"EWEB";"PRINT",#N/A,TRUE,"LADWP";"PRINT",#N/A,TRUE,"NEVBASE"}</definedName>
    <definedName name="___j1" localSheetId="3" hidden="1">{"PRINT",#N/A,TRUE,"APPA";"PRINT",#N/A,TRUE,"APS";"PRINT",#N/A,TRUE,"BHPL";"PRINT",#N/A,TRUE,"BHPL2";"PRINT",#N/A,TRUE,"CDWR";"PRINT",#N/A,TRUE,"EWEB";"PRINT",#N/A,TRUE,"LADWP";"PRINT",#N/A,TRUE,"NEVBASE"}</definedName>
    <definedName name="___j1" hidden="1">{"PRINT",#N/A,TRUE,"APPA";"PRINT",#N/A,TRUE,"APS";"PRINT",#N/A,TRUE,"BHPL";"PRINT",#N/A,TRUE,"BHPL2";"PRINT",#N/A,TRUE,"CDWR";"PRINT",#N/A,TRUE,"EWEB";"PRINT",#N/A,TRUE,"LADWP";"PRINT",#N/A,TRUE,"NEVBASE"}</definedName>
    <definedName name="___j2" localSheetId="0" hidden="1">{"PRINT",#N/A,TRUE,"APPA";"PRINT",#N/A,TRUE,"APS";"PRINT",#N/A,TRUE,"BHPL";"PRINT",#N/A,TRUE,"BHPL2";"PRINT",#N/A,TRUE,"CDWR";"PRINT",#N/A,TRUE,"EWEB";"PRINT",#N/A,TRUE,"LADWP";"PRINT",#N/A,TRUE,"NEVBASE"}</definedName>
    <definedName name="___j2" localSheetId="3" hidden="1">{"PRINT",#N/A,TRUE,"APPA";"PRINT",#N/A,TRUE,"APS";"PRINT",#N/A,TRUE,"BHPL";"PRINT",#N/A,TRUE,"BHPL2";"PRINT",#N/A,TRUE,"CDWR";"PRINT",#N/A,TRUE,"EWEB";"PRINT",#N/A,TRUE,"LADWP";"PRINT",#N/A,TRUE,"NEVBASE"}</definedName>
    <definedName name="___j2" hidden="1">{"PRINT",#N/A,TRUE,"APPA";"PRINT",#N/A,TRUE,"APS";"PRINT",#N/A,TRUE,"BHPL";"PRINT",#N/A,TRUE,"BHPL2";"PRINT",#N/A,TRUE,"CDWR";"PRINT",#N/A,TRUE,"EWEB";"PRINT",#N/A,TRUE,"LADWP";"PRINT",#N/A,TRUE,"NEVBASE"}</definedName>
    <definedName name="___j3" localSheetId="0" hidden="1">{"PRINT",#N/A,TRUE,"APPA";"PRINT",#N/A,TRUE,"APS";"PRINT",#N/A,TRUE,"BHPL";"PRINT",#N/A,TRUE,"BHPL2";"PRINT",#N/A,TRUE,"CDWR";"PRINT",#N/A,TRUE,"EWEB";"PRINT",#N/A,TRUE,"LADWP";"PRINT",#N/A,TRUE,"NEVBASE"}</definedName>
    <definedName name="___j3" localSheetId="3" hidden="1">{"PRINT",#N/A,TRUE,"APPA";"PRINT",#N/A,TRUE,"APS";"PRINT",#N/A,TRUE,"BHPL";"PRINT",#N/A,TRUE,"BHPL2";"PRINT",#N/A,TRUE,"CDWR";"PRINT",#N/A,TRUE,"EWEB";"PRINT",#N/A,TRUE,"LADWP";"PRINT",#N/A,TRUE,"NEVBASE"}</definedName>
    <definedName name="___j3" hidden="1">{"PRINT",#N/A,TRUE,"APPA";"PRINT",#N/A,TRUE,"APS";"PRINT",#N/A,TRUE,"BHPL";"PRINT",#N/A,TRUE,"BHPL2";"PRINT",#N/A,TRUE,"CDWR";"PRINT",#N/A,TRUE,"EWEB";"PRINT",#N/A,TRUE,"LADWP";"PRINT",#N/A,TRUE,"NEVBASE"}</definedName>
    <definedName name="___j4" localSheetId="0" hidden="1">{"PRINT",#N/A,TRUE,"APPA";"PRINT",#N/A,TRUE,"APS";"PRINT",#N/A,TRUE,"BHPL";"PRINT",#N/A,TRUE,"BHPL2";"PRINT",#N/A,TRUE,"CDWR";"PRINT",#N/A,TRUE,"EWEB";"PRINT",#N/A,TRUE,"LADWP";"PRINT",#N/A,TRUE,"NEVBASE"}</definedName>
    <definedName name="___j4" localSheetId="3" hidden="1">{"PRINT",#N/A,TRUE,"APPA";"PRINT",#N/A,TRUE,"APS";"PRINT",#N/A,TRUE,"BHPL";"PRINT",#N/A,TRUE,"BHPL2";"PRINT",#N/A,TRUE,"CDWR";"PRINT",#N/A,TRUE,"EWEB";"PRINT",#N/A,TRUE,"LADWP";"PRINT",#N/A,TRUE,"NEVBASE"}</definedName>
    <definedName name="___j4" hidden="1">{"PRINT",#N/A,TRUE,"APPA";"PRINT",#N/A,TRUE,"APS";"PRINT",#N/A,TRUE,"BHPL";"PRINT",#N/A,TRUE,"BHPL2";"PRINT",#N/A,TRUE,"CDWR";"PRINT",#N/A,TRUE,"EWEB";"PRINT",#N/A,TRUE,"LADWP";"PRINT",#N/A,TRUE,"NEVBASE"}</definedName>
    <definedName name="___j5" localSheetId="0" hidden="1">{"PRINT",#N/A,TRUE,"APPA";"PRINT",#N/A,TRUE,"APS";"PRINT",#N/A,TRUE,"BHPL";"PRINT",#N/A,TRUE,"BHPL2";"PRINT",#N/A,TRUE,"CDWR";"PRINT",#N/A,TRUE,"EWEB";"PRINT",#N/A,TRUE,"LADWP";"PRINT",#N/A,TRUE,"NEVBASE"}</definedName>
    <definedName name="___j5" localSheetId="3" hidden="1">{"PRINT",#N/A,TRUE,"APPA";"PRINT",#N/A,TRUE,"APS";"PRINT",#N/A,TRUE,"BHPL";"PRINT",#N/A,TRUE,"BHPL2";"PRINT",#N/A,TRUE,"CDWR";"PRINT",#N/A,TRUE,"EWEB";"PRINT",#N/A,TRUE,"LADWP";"PRINT",#N/A,TRUE,"NEVBASE"}</definedName>
    <definedName name="___j5" hidden="1">{"PRINT",#N/A,TRUE,"APPA";"PRINT",#N/A,TRUE,"APS";"PRINT",#N/A,TRUE,"BHPL";"PRINT",#N/A,TRUE,"BHPL2";"PRINT",#N/A,TRUE,"CDWR";"PRINT",#N/A,TRUE,"EWEB";"PRINT",#N/A,TRUE,"LADWP";"PRINT",#N/A,TRUE,"NEVBASE"}</definedName>
    <definedName name="___OM1" localSheetId="0" hidden="1">{#N/A,#N/A,FALSE,"Summary";#N/A,#N/A,FALSE,"SmPlants";#N/A,#N/A,FALSE,"Utah";#N/A,#N/A,FALSE,"Idaho";#N/A,#N/A,FALSE,"Lewis River";#N/A,#N/A,FALSE,"NrthUmpq";#N/A,#N/A,FALSE,"KlamRog"}</definedName>
    <definedName name="___OM1" localSheetId="3" hidden="1">{#N/A,#N/A,FALSE,"Summary";#N/A,#N/A,FALSE,"SmPlants";#N/A,#N/A,FALSE,"Utah";#N/A,#N/A,FALSE,"Idaho";#N/A,#N/A,FALSE,"Lewis River";#N/A,#N/A,FALSE,"NrthUmpq";#N/A,#N/A,FALSE,"KlamRog"}</definedName>
    <definedName name="___OM1" hidden="1">{#N/A,#N/A,FALSE,"Summary";#N/A,#N/A,FALSE,"SmPlants";#N/A,#N/A,FALSE,"Utah";#N/A,#N/A,FALSE,"Idaho";#N/A,#N/A,FALSE,"Lewis River";#N/A,#N/A,FALSE,"NrthUmpq";#N/A,#N/A,FALSE,"KlamRog"}</definedName>
    <definedName name="__123Graph_A" localSheetId="0" hidden="1">#REF!</definedName>
    <definedName name="__123Graph_A" localSheetId="3" hidden="1">#REF!</definedName>
    <definedName name="__123Graph_A" localSheetId="1" hidden="1">#REF!</definedName>
    <definedName name="__123Graph_A" localSheetId="2" hidden="1">#REF!</definedName>
    <definedName name="__123Graph_A" hidden="1">#REF!</definedName>
    <definedName name="__123Graph_B" localSheetId="0" hidden="1">#REF!</definedName>
    <definedName name="__123Graph_B" localSheetId="3" hidden="1">#REF!</definedName>
    <definedName name="__123Graph_B" localSheetId="1" hidden="1">#REF!</definedName>
    <definedName name="__123Graph_B" localSheetId="2" hidden="1">#REF!</definedName>
    <definedName name="__123Graph_B" hidden="1">#REF!</definedName>
    <definedName name="__123Graph_D" localSheetId="0" hidden="1">#REF!</definedName>
    <definedName name="__123Graph_D" localSheetId="3" hidden="1">#REF!</definedName>
    <definedName name="__123Graph_D" localSheetId="1" hidden="1">#REF!</definedName>
    <definedName name="__123Graph_D" localSheetId="2" hidden="1">#REF!</definedName>
    <definedName name="__123Graph_D" hidden="1">#REF!</definedName>
    <definedName name="__123Graph_E" localSheetId="0" hidden="1">#REF!</definedName>
    <definedName name="__123Graph_E" hidden="1">#REF!</definedName>
    <definedName name="__123Graph_F" localSheetId="0" hidden="1">#REF!</definedName>
    <definedName name="__123Graph_F" hidden="1">#REF!</definedName>
    <definedName name="__j1" localSheetId="0" hidden="1">{"PRINT",#N/A,TRUE,"APPA";"PRINT",#N/A,TRUE,"APS";"PRINT",#N/A,TRUE,"BHPL";"PRINT",#N/A,TRUE,"BHPL2";"PRINT",#N/A,TRUE,"CDWR";"PRINT",#N/A,TRUE,"EWEB";"PRINT",#N/A,TRUE,"LADWP";"PRINT",#N/A,TRUE,"NEVBASE"}</definedName>
    <definedName name="__j1" localSheetId="3" hidden="1">{"PRINT",#N/A,TRUE,"APPA";"PRINT",#N/A,TRUE,"APS";"PRINT",#N/A,TRUE,"BHPL";"PRINT",#N/A,TRUE,"BHPL2";"PRINT",#N/A,TRUE,"CDWR";"PRINT",#N/A,TRUE,"EWEB";"PRINT",#N/A,TRUE,"LADWP";"PRINT",#N/A,TRUE,"NEVBASE"}</definedName>
    <definedName name="__j1" hidden="1">{"PRINT",#N/A,TRUE,"APPA";"PRINT",#N/A,TRUE,"APS";"PRINT",#N/A,TRUE,"BHPL";"PRINT",#N/A,TRUE,"BHPL2";"PRINT",#N/A,TRUE,"CDWR";"PRINT",#N/A,TRUE,"EWEB";"PRINT",#N/A,TRUE,"LADWP";"PRINT",#N/A,TRUE,"NEVBASE"}</definedName>
    <definedName name="__j2" localSheetId="0" hidden="1">{"PRINT",#N/A,TRUE,"APPA";"PRINT",#N/A,TRUE,"APS";"PRINT",#N/A,TRUE,"BHPL";"PRINT",#N/A,TRUE,"BHPL2";"PRINT",#N/A,TRUE,"CDWR";"PRINT",#N/A,TRUE,"EWEB";"PRINT",#N/A,TRUE,"LADWP";"PRINT",#N/A,TRUE,"NEVBASE"}</definedName>
    <definedName name="__j2" localSheetId="3" hidden="1">{"PRINT",#N/A,TRUE,"APPA";"PRINT",#N/A,TRUE,"APS";"PRINT",#N/A,TRUE,"BHPL";"PRINT",#N/A,TRUE,"BHPL2";"PRINT",#N/A,TRUE,"CDWR";"PRINT",#N/A,TRUE,"EWEB";"PRINT",#N/A,TRUE,"LADWP";"PRINT",#N/A,TRUE,"NEVBASE"}</definedName>
    <definedName name="__j2" hidden="1">{"PRINT",#N/A,TRUE,"APPA";"PRINT",#N/A,TRUE,"APS";"PRINT",#N/A,TRUE,"BHPL";"PRINT",#N/A,TRUE,"BHPL2";"PRINT",#N/A,TRUE,"CDWR";"PRINT",#N/A,TRUE,"EWEB";"PRINT",#N/A,TRUE,"LADWP";"PRINT",#N/A,TRUE,"NEVBASE"}</definedName>
    <definedName name="__j3" localSheetId="0" hidden="1">{"PRINT",#N/A,TRUE,"APPA";"PRINT",#N/A,TRUE,"APS";"PRINT",#N/A,TRUE,"BHPL";"PRINT",#N/A,TRUE,"BHPL2";"PRINT",#N/A,TRUE,"CDWR";"PRINT",#N/A,TRUE,"EWEB";"PRINT",#N/A,TRUE,"LADWP";"PRINT",#N/A,TRUE,"NEVBASE"}</definedName>
    <definedName name="__j3" localSheetId="3" hidden="1">{"PRINT",#N/A,TRUE,"APPA";"PRINT",#N/A,TRUE,"APS";"PRINT",#N/A,TRUE,"BHPL";"PRINT",#N/A,TRUE,"BHPL2";"PRINT",#N/A,TRUE,"CDWR";"PRINT",#N/A,TRUE,"EWEB";"PRINT",#N/A,TRUE,"LADWP";"PRINT",#N/A,TRUE,"NEVBASE"}</definedName>
    <definedName name="__j3" hidden="1">{"PRINT",#N/A,TRUE,"APPA";"PRINT",#N/A,TRUE,"APS";"PRINT",#N/A,TRUE,"BHPL";"PRINT",#N/A,TRUE,"BHPL2";"PRINT",#N/A,TRUE,"CDWR";"PRINT",#N/A,TRUE,"EWEB";"PRINT",#N/A,TRUE,"LADWP";"PRINT",#N/A,TRUE,"NEVBASE"}</definedName>
    <definedName name="__j4" localSheetId="0" hidden="1">{"PRINT",#N/A,TRUE,"APPA";"PRINT",#N/A,TRUE,"APS";"PRINT",#N/A,TRUE,"BHPL";"PRINT",#N/A,TRUE,"BHPL2";"PRINT",#N/A,TRUE,"CDWR";"PRINT",#N/A,TRUE,"EWEB";"PRINT",#N/A,TRUE,"LADWP";"PRINT",#N/A,TRUE,"NEVBASE"}</definedName>
    <definedName name="__j4" localSheetId="3" hidden="1">{"PRINT",#N/A,TRUE,"APPA";"PRINT",#N/A,TRUE,"APS";"PRINT",#N/A,TRUE,"BHPL";"PRINT",#N/A,TRUE,"BHPL2";"PRINT",#N/A,TRUE,"CDWR";"PRINT",#N/A,TRUE,"EWEB";"PRINT",#N/A,TRUE,"LADWP";"PRINT",#N/A,TRUE,"NEVBASE"}</definedName>
    <definedName name="__j4" hidden="1">{"PRINT",#N/A,TRUE,"APPA";"PRINT",#N/A,TRUE,"APS";"PRINT",#N/A,TRUE,"BHPL";"PRINT",#N/A,TRUE,"BHPL2";"PRINT",#N/A,TRUE,"CDWR";"PRINT",#N/A,TRUE,"EWEB";"PRINT",#N/A,TRUE,"LADWP";"PRINT",#N/A,TRUE,"NEVBASE"}</definedName>
    <definedName name="__j5" localSheetId="0" hidden="1">{"PRINT",#N/A,TRUE,"APPA";"PRINT",#N/A,TRUE,"APS";"PRINT",#N/A,TRUE,"BHPL";"PRINT",#N/A,TRUE,"BHPL2";"PRINT",#N/A,TRUE,"CDWR";"PRINT",#N/A,TRUE,"EWEB";"PRINT",#N/A,TRUE,"LADWP";"PRINT",#N/A,TRUE,"NEVBASE"}</definedName>
    <definedName name="__j5" localSheetId="3" hidden="1">{"PRINT",#N/A,TRUE,"APPA";"PRINT",#N/A,TRUE,"APS";"PRINT",#N/A,TRUE,"BHPL";"PRINT",#N/A,TRUE,"BHPL2";"PRINT",#N/A,TRUE,"CDWR";"PRINT",#N/A,TRUE,"EWEB";"PRINT",#N/A,TRUE,"LADWP";"PRINT",#N/A,TRUE,"NEVBASE"}</definedName>
    <definedName name="__j5" hidden="1">{"PRINT",#N/A,TRUE,"APPA";"PRINT",#N/A,TRUE,"APS";"PRINT",#N/A,TRUE,"BHPL";"PRINT",#N/A,TRUE,"BHPL2";"PRINT",#N/A,TRUE,"CDWR";"PRINT",#N/A,TRUE,"EWEB";"PRINT",#N/A,TRUE,"LADWP";"PRINT",#N/A,TRUE,"NEVBASE"}</definedName>
    <definedName name="__OM1" hidden="1">{#N/A,#N/A,FALSE,"Summary";#N/A,#N/A,FALSE,"SmPlants";#N/A,#N/A,FALSE,"Utah";#N/A,#N/A,FALSE,"Idaho";#N/A,#N/A,FALSE,"Lewis River";#N/A,#N/A,FALSE,"NrthUmpq";#N/A,#N/A,FALSE,"KlamRog"}</definedName>
    <definedName name="_Fill" localSheetId="0" hidden="1">#REF!</definedName>
    <definedName name="_Fill" localSheetId="3" hidden="1">#REF!</definedName>
    <definedName name="_Fill" localSheetId="1" hidden="1">#REF!</definedName>
    <definedName name="_Fill" localSheetId="2" hidden="1">#REF!</definedName>
    <definedName name="_Fill" hidden="1">#REF!</definedName>
    <definedName name="_xlnm._FilterDatabase" localSheetId="0" hidden="1">#REF!</definedName>
    <definedName name="_xlnm._FilterDatabase" localSheetId="3" hidden="1">#REF!</definedName>
    <definedName name="_xlnm._FilterDatabase" localSheetId="1" hidden="1">#REF!</definedName>
    <definedName name="_xlnm._FilterDatabase" localSheetId="2" hidden="1">#REF!</definedName>
    <definedName name="_xlnm._FilterDatabase" hidden="1">#REF!</definedName>
    <definedName name="_j1" localSheetId="0" hidden="1">{"PRINT",#N/A,TRUE,"APPA";"PRINT",#N/A,TRUE,"APS";"PRINT",#N/A,TRUE,"BHPL";"PRINT",#N/A,TRUE,"BHPL2";"PRINT",#N/A,TRUE,"CDWR";"PRINT",#N/A,TRUE,"EWEB";"PRINT",#N/A,TRUE,"LADWP";"PRINT",#N/A,TRUE,"NEVBASE"}</definedName>
    <definedName name="_j1" localSheetId="3"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localSheetId="3"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localSheetId="3"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localSheetId="3"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localSheetId="3"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localSheetId="0" hidden="1">#REF!</definedName>
    <definedName name="_Key1" localSheetId="3" hidden="1">#REF!</definedName>
    <definedName name="_Key1" localSheetId="1" hidden="1">#REF!</definedName>
    <definedName name="_Key1" localSheetId="2" hidden="1">#REF!</definedName>
    <definedName name="_Key1" hidden="1">#REF!</definedName>
    <definedName name="_Key2" localSheetId="0" hidden="1">#REF!</definedName>
    <definedName name="_Key2" localSheetId="3" hidden="1">#REF!</definedName>
    <definedName name="_Key2" localSheetId="1" hidden="1">#REF!</definedName>
    <definedName name="_Key2" localSheetId="2" hidden="1">#REF!</definedName>
    <definedName name="_Key2" hidden="1">#REF!</definedName>
    <definedName name="_OM1" localSheetId="0" hidden="1">{#N/A,#N/A,FALSE,"Summary";#N/A,#N/A,FALSE,"SmPlants";#N/A,#N/A,FALSE,"Utah";#N/A,#N/A,FALSE,"Idaho";#N/A,#N/A,FALSE,"Lewis River";#N/A,#N/A,FALSE,"NrthUmpq";#N/A,#N/A,FALSE,"KlamRog"}</definedName>
    <definedName name="_OM1" localSheetId="3" hidden="1">{#N/A,#N/A,FALSE,"Summary";#N/A,#N/A,FALSE,"SmPlants";#N/A,#N/A,FALSE,"Utah";#N/A,#N/A,FALSE,"Idaho";#N/A,#N/A,FALSE,"Lewis River";#N/A,#N/A,FALSE,"NrthUmpq";#N/A,#N/A,FALSE,"KlamRog"}</definedName>
    <definedName name="_OM1" hidden="1">{#N/A,#N/A,FALSE,"Summary";#N/A,#N/A,FALSE,"SmPlants";#N/A,#N/A,FALSE,"Utah";#N/A,#N/A,FALSE,"Idaho";#N/A,#N/A,FALSE,"Lewis River";#N/A,#N/A,FALSE,"NrthUmpq";#N/A,#N/A,FALSE,"KlamRog"}</definedName>
    <definedName name="_Order1" hidden="1">255</definedName>
    <definedName name="_Order2" localSheetId="0" hidden="1">0</definedName>
    <definedName name="_Order2" hidden="1">0</definedName>
    <definedName name="_Sort" localSheetId="0" hidden="1">#REF!</definedName>
    <definedName name="_Sort" localSheetId="3" hidden="1">#REF!</definedName>
    <definedName name="_Sort" localSheetId="1" hidden="1">#REF!</definedName>
    <definedName name="_Sort" localSheetId="2" hidden="1">#REF!</definedName>
    <definedName name="_Sort" hidden="1">#REF!</definedName>
    <definedName name="a" localSheetId="0" hidden="1">#REF!</definedName>
    <definedName name="Access_Button1" hidden="1">"Headcount_Workbook_Schedules_List"</definedName>
    <definedName name="AccessDatabase" hidden="1">"P:\HR\SharonPlummer\Headcount Workbook.mdb"</definedName>
    <definedName name="anscount" hidden="1">1</definedName>
    <definedName name="asa" localSheetId="0" hidden="1">{"Factors Pages 1-2",#N/A,FALSE,"Factors";"Factors Page 3",#N/A,FALSE,"Factors";"Factors Page 4",#N/A,FALSE,"Factors";"Factors Page 5",#N/A,FALSE,"Factors";"Factors Pages 8-27",#N/A,FALSE,"Factors"}</definedName>
    <definedName name="asa" localSheetId="3" hidden="1">{"Factors Pages 1-2",#N/A,FALSE,"Factors";"Factors Page 3",#N/A,FALSE,"Factors";"Factors Page 4",#N/A,FALSE,"Factors";"Factors Page 5",#N/A,FALSE,"Factors";"Factors Pages 8-27",#N/A,FALSE,"Factors"}</definedName>
    <definedName name="asa" hidden="1">{"Factors Pages 1-2",#N/A,FALSE,"Factors";"Factors Page 3",#N/A,FALSE,"Factors";"Factors Page 4",#N/A,FALSE,"Factors";"Factors Page 5",#N/A,FALSE,"Factors";"Factors Pages 8-27",#N/A,FALSE,"Factors"}</definedName>
    <definedName name="asdf" localSheetId="3" hidden="1">{#N/A,#N/A,FALSE,"Bgt";#N/A,#N/A,FALSE,"Act";#N/A,#N/A,FALSE,"Chrt Data";#N/A,#N/A,FALSE,"Bus Result";#N/A,#N/A,FALSE,"Main Charts";#N/A,#N/A,FALSE,"P&amp;L Ttl";#N/A,#N/A,FALSE,"P&amp;L C_Ttl";#N/A,#N/A,FALSE,"P&amp;L C_Oct";#N/A,#N/A,FALSE,"P&amp;L C_Sep";#N/A,#N/A,FALSE,"1996";#N/A,#N/A,FALSE,"Data"}</definedName>
    <definedName name="asdf" hidden="1">{#N/A,#N/A,FALSE,"Bgt";#N/A,#N/A,FALSE,"Act";#N/A,#N/A,FALSE,"Chrt Data";#N/A,#N/A,FALSE,"Bus Result";#N/A,#N/A,FALSE,"Main Charts";#N/A,#N/A,FALSE,"P&amp;L Ttl";#N/A,#N/A,FALSE,"P&amp;L C_Ttl";#N/A,#N/A,FALSE,"P&amp;L C_Oct";#N/A,#N/A,FALSE,"P&amp;L C_Sep";#N/A,#N/A,FALSE,"1996";#N/A,#N/A,FALSE,"Data"}</definedName>
    <definedName name="Camas" hidden="1">{#N/A,#N/A,FALSE,"Summary";#N/A,#N/A,FALSE,"SmPlants";#N/A,#N/A,FALSE,"Utah";#N/A,#N/A,FALSE,"Idaho";#N/A,#N/A,FALSE,"Lewis River";#N/A,#N/A,FALSE,"NrthUmpq";#N/A,#N/A,FALSE,"KlamRog"}</definedName>
    <definedName name="cgf" localSheetId="0" hidden="1">{"PRINT",#N/A,TRUE,"APPA";"PRINT",#N/A,TRUE,"APS";"PRINT",#N/A,TRUE,"BHPL";"PRINT",#N/A,TRUE,"BHPL2";"PRINT",#N/A,TRUE,"CDWR";"PRINT",#N/A,TRUE,"EWEB";"PRINT",#N/A,TRUE,"LADWP";"PRINT",#N/A,TRUE,"NEVBASE"}</definedName>
    <definedName name="cgf" localSheetId="3" hidden="1">{"PRINT",#N/A,TRUE,"APPA";"PRINT",#N/A,TRUE,"APS";"PRINT",#N/A,TRUE,"BHPL";"PRINT",#N/A,TRUE,"BHPL2";"PRINT",#N/A,TRUE,"CDWR";"PRINT",#N/A,TRUE,"EWEB";"PRINT",#N/A,TRUE,"LADWP";"PRINT",#N/A,TRUE,"NEVBASE"}</definedName>
    <definedName name="cgf" hidden="1">{"PRINT",#N/A,TRUE,"APPA";"PRINT",#N/A,TRUE,"APS";"PRINT",#N/A,TRUE,"BHPL";"PRINT",#N/A,TRUE,"BHPL2";"PRINT",#N/A,TRUE,"CDWR";"PRINT",#N/A,TRUE,"EWEB";"PRINT",#N/A,TRUE,"LADWP";"PRINT",#N/A,TRUE,"NEVBASE"}</definedName>
    <definedName name="combined1" localSheetId="0" hidden="1">{"YTD-Total",#N/A,TRUE,"Provision";"YTD-Utility",#N/A,TRUE,"Prov Utility";"YTD-NonUtility",#N/A,TRUE,"Prov NonUtility"}</definedName>
    <definedName name="combined1" localSheetId="3" hidden="1">{"YTD-Total",#N/A,TRUE,"Provision";"YTD-Utility",#N/A,TRUE,"Prov Utility";"YTD-NonUtility",#N/A,TRUE,"Prov NonUtility"}</definedName>
    <definedName name="combined1" hidden="1">{"YTD-Total",#N/A,TRUE,"Provision";"YTD-Utility",#N/A,TRUE,"Prov Utility";"YTD-NonUtility",#N/A,TRUE,"Prov NonUtility"}</definedName>
    <definedName name="DUDE" localSheetId="0" hidden="1">#REF!</definedName>
    <definedName name="DUDE" localSheetId="3" hidden="1">#REF!</definedName>
    <definedName name="DUDE" localSheetId="1" hidden="1">#REF!</definedName>
    <definedName name="DUDE" localSheetId="2" hidden="1">#REF!</definedName>
    <definedName name="DUDE" hidden="1">#REF!</definedName>
    <definedName name="enrgy" localSheetId="0" hidden="1">{#N/A,#N/A,FALSE,"Bgt";#N/A,#N/A,FALSE,"Act";#N/A,#N/A,FALSE,"Chrt Data";#N/A,#N/A,FALSE,"Bus Result";#N/A,#N/A,FALSE,"Main Charts";#N/A,#N/A,FALSE,"P&amp;L Ttl";#N/A,#N/A,FALSE,"P&amp;L C_Ttl";#N/A,#N/A,FALSE,"P&amp;L C_Oct";#N/A,#N/A,FALSE,"P&amp;L C_Sep";#N/A,#N/A,FALSE,"1996";#N/A,#N/A,FALSE,"Data"}</definedName>
    <definedName name="enrgy" localSheetId="3"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tra2" localSheetId="3" hidden="1">{#N/A,#N/A,FALSE,"Loans";#N/A,#N/A,FALSE,"Program Costs";#N/A,#N/A,FALSE,"Measures";#N/A,#N/A,FALSE,"Net Lost Rev";#N/A,#N/A,FALSE,"Incentive"}</definedName>
    <definedName name="extra2" hidden="1">{#N/A,#N/A,FALSE,"Loans";#N/A,#N/A,FALSE,"Program Costs";#N/A,#N/A,FALSE,"Measures";#N/A,#N/A,FALSE,"Net Lost Rev";#N/A,#N/A,FALSE,"Incentive"}</definedName>
    <definedName name="extra3" localSheetId="3" hidden="1">{#N/A,#N/A,FALSE,"Loans";#N/A,#N/A,FALSE,"Program Costs";#N/A,#N/A,FALSE,"Measures";#N/A,#N/A,FALSE,"Net Lost Rev";#N/A,#N/A,FALSE,"Incentive"}</definedName>
    <definedName name="extra3" hidden="1">{#N/A,#N/A,FALSE,"Loans";#N/A,#N/A,FALSE,"Program Costs";#N/A,#N/A,FALSE,"Measures";#N/A,#N/A,FALSE,"Net Lost Rev";#N/A,#N/A,FALSE,"Incentive"}</definedName>
    <definedName name="extra4" localSheetId="3" hidden="1">{#N/A,#N/A,FALSE,"Loans";#N/A,#N/A,FALSE,"Program Costs";#N/A,#N/A,FALSE,"Measures";#N/A,#N/A,FALSE,"Net Lost Rev";#N/A,#N/A,FALSE,"Incentive"}</definedName>
    <definedName name="extra4" hidden="1">{#N/A,#N/A,FALSE,"Loans";#N/A,#N/A,FALSE,"Program Costs";#N/A,#N/A,FALSE,"Measures";#N/A,#N/A,FALSE,"Net Lost Rev";#N/A,#N/A,FALSE,"Incentive"}</definedName>
    <definedName name="extra5" localSheetId="3" hidden="1">{#N/A,#N/A,FALSE,"Loans";#N/A,#N/A,FALSE,"Program Costs";#N/A,#N/A,FALSE,"Measures";#N/A,#N/A,FALSE,"Net Lost Rev";#N/A,#N/A,FALSE,"Incentive"}</definedName>
    <definedName name="extra5" hidden="1">{#N/A,#N/A,FALSE,"Loans";#N/A,#N/A,FALSE,"Program Costs";#N/A,#N/A,FALSE,"Measures";#N/A,#N/A,FALSE,"Net Lost Rev";#N/A,#N/A,FALSE,"Incentive"}</definedName>
    <definedName name="foo" localSheetId="0" hidden="1">{#N/A,#N/A,FALSE,"Bgt";#N/A,#N/A,FALSE,"Act";#N/A,#N/A,FALSE,"Chrt Data";#N/A,#N/A,FALSE,"Bus Result";#N/A,#N/A,FALSE,"Main Charts";#N/A,#N/A,FALSE,"P&amp;L Ttl";#N/A,#N/A,FALSE,"P&amp;L C_Ttl";#N/A,#N/A,FALSE,"P&amp;L C_Oct";#N/A,#N/A,FALSE,"P&amp;L C_Sep";#N/A,#N/A,FALSE,"1996";#N/A,#N/A,FALSE,"Data"}</definedName>
    <definedName name="foo" localSheetId="3"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iend" localSheetId="0" hidden="1">{"PRINT",#N/A,TRUE,"APPA";"PRINT",#N/A,TRUE,"APS";"PRINT",#N/A,TRUE,"BHPL";"PRINT",#N/A,TRUE,"BHPL2";"PRINT",#N/A,TRUE,"CDWR";"PRINT",#N/A,TRUE,"EWEB";"PRINT",#N/A,TRUE,"LADWP";"PRINT",#N/A,TRUE,"NEVBASE"}</definedName>
    <definedName name="friend" localSheetId="3" hidden="1">{"PRINT",#N/A,TRUE,"APPA";"PRINT",#N/A,TRUE,"APS";"PRINT",#N/A,TRUE,"BHPL";"PRINT",#N/A,TRUE,"BHPL2";"PRINT",#N/A,TRUE,"CDWR";"PRINT",#N/A,TRUE,"EWEB";"PRINT",#N/A,TRUE,"LADWP";"PRINT",#N/A,TRUE,"NEVBASE"}</definedName>
    <definedName name="friend" hidden="1">{"PRINT",#N/A,TRUE,"APPA";"PRINT",#N/A,TRUE,"APS";"PRINT",#N/A,TRUE,"BHPL";"PRINT",#N/A,TRUE,"BHPL2";"PRINT",#N/A,TRUE,"CDWR";"PRINT",#N/A,TRUE,"EWEB";"PRINT",#N/A,TRUE,"LADWP";"PRINT",#N/A,TRUE,"NEVBASE"}</definedName>
    <definedName name="HROptim" localSheetId="0" hidden="1">{#N/A,#N/A,FALSE,"Summary";#N/A,#N/A,FALSE,"SmPlants";#N/A,#N/A,FALSE,"Utah";#N/A,#N/A,FALSE,"Idaho";#N/A,#N/A,FALSE,"Lewis River";#N/A,#N/A,FALSE,"NrthUmpq";#N/A,#N/A,FALSE,"KlamRog"}</definedName>
    <definedName name="HROptim" localSheetId="3" hidden="1">{#N/A,#N/A,FALSE,"Summary";#N/A,#N/A,FALSE,"SmPlants";#N/A,#N/A,FALSE,"Utah";#N/A,#N/A,FALSE,"Idaho";#N/A,#N/A,FALSE,"Lewis River";#N/A,#N/A,FALSE,"NrthUmpq";#N/A,#N/A,FALSE,"KlamRog"}</definedName>
    <definedName name="HROptim" hidden="1">{#N/A,#N/A,FALSE,"Summary";#N/A,#N/A,FALSE,"SmPlants";#N/A,#N/A,FALSE,"Utah";#N/A,#N/A,FALSE,"Idaho";#N/A,#N/A,FALSE,"Lewis River";#N/A,#N/A,FALSE,"NrthUmpq";#N/A,#N/A,FALSE,"KlamRog"}</definedName>
    <definedName name="inventory" localSheetId="0" hidden="1">{#N/A,#N/A,FALSE,"Summary";#N/A,#N/A,FALSE,"SmPlants";#N/A,#N/A,FALSE,"Utah";#N/A,#N/A,FALSE,"Idaho";#N/A,#N/A,FALSE,"Lewis River";#N/A,#N/A,FALSE,"NrthUmpq";#N/A,#N/A,FALSE,"KlamRog"}</definedName>
    <definedName name="inventory" localSheetId="3" hidden="1">{#N/A,#N/A,FALSE,"Summary";#N/A,#N/A,FALSE,"SmPlants";#N/A,#N/A,FALSE,"Utah";#N/A,#N/A,FALSE,"Idaho";#N/A,#N/A,FALSE,"Lewis River";#N/A,#N/A,FALSE,"NrthUmpq";#N/A,#N/A,FALSE,"KlamRog"}</definedName>
    <definedName name="inventory" hidden="1">{#N/A,#N/A,FALSE,"Summary";#N/A,#N/A,FALSE,"SmPlants";#N/A,#N/A,FALSE,"Utah";#N/A,#N/A,FALSE,"Idaho";#N/A,#N/A,FALSE,"Lewis River";#N/A,#N/A,FALSE,"NrthUmpq";#N/A,#N/A,FALSE,"KlamRog"}</definedName>
    <definedName name="junk" localSheetId="0" hidden="1">{"PRINT",#N/A,TRUE,"APPA";"PRINT",#N/A,TRUE,"APS";"PRINT",#N/A,TRUE,"BHPL";"PRINT",#N/A,TRUE,"BHPL2";"PRINT",#N/A,TRUE,"CDWR";"PRINT",#N/A,TRUE,"EWEB";"PRINT",#N/A,TRUE,"LADWP";"PRINT",#N/A,TRUE,"NEVBASE"}</definedName>
    <definedName name="junk" localSheetId="3" hidden="1">{"PRINT",#N/A,TRUE,"APPA";"PRINT",#N/A,TRUE,"APS";"PRINT",#N/A,TRUE,"BHPL";"PRINT",#N/A,TRUE,"BHPL2";"PRINT",#N/A,TRUE,"CDWR";"PRINT",#N/A,TRUE,"EWEB";"PRINT",#N/A,TRUE,"LADWP";"PRINT",#N/A,TRUE,"NEVBASE"}</definedName>
    <definedName name="junk" hidden="1">{"PRINT",#N/A,TRUE,"APPA";"PRINT",#N/A,TRUE,"APS";"PRINT",#N/A,TRUE,"BHPL";"PRINT",#N/A,TRUE,"BHPL2";"PRINT",#N/A,TRUE,"CDWR";"PRINT",#N/A,TRUE,"EWEB";"PRINT",#N/A,TRUE,"LADWP";"PRINT",#N/A,TRUE,"NEVBASE"}</definedName>
    <definedName name="junk1" hidden="1">{"PRINT",#N/A,TRUE,"APPA";"PRINT",#N/A,TRUE,"APS";"PRINT",#N/A,TRUE,"BHPL";"PRINT",#N/A,TRUE,"BHPL2";"PRINT",#N/A,TRUE,"CDWR";"PRINT",#N/A,TRUE,"EWEB";"PRINT",#N/A,TRUE,"LADWP";"PRINT",#N/A,TRUE,"NEVBASE"}</definedName>
    <definedName name="junk2" localSheetId="0" hidden="1">{"PRINT",#N/A,TRUE,"APPA";"PRINT",#N/A,TRUE,"APS";"PRINT",#N/A,TRUE,"BHPL";"PRINT",#N/A,TRUE,"BHPL2";"PRINT",#N/A,TRUE,"CDWR";"PRINT",#N/A,TRUE,"EWEB";"PRINT",#N/A,TRUE,"LADWP";"PRINT",#N/A,TRUE,"NEVBASE"}</definedName>
    <definedName name="junk2" localSheetId="3" hidden="1">{"PRINT",#N/A,TRUE,"APPA";"PRINT",#N/A,TRUE,"APS";"PRINT",#N/A,TRUE,"BHPL";"PRINT",#N/A,TRUE,"BHPL2";"PRINT",#N/A,TRUE,"CDWR";"PRINT",#N/A,TRUE,"EWEB";"PRINT",#N/A,TRUE,"LADWP";"PRINT",#N/A,TRUE,"NEVBASE"}</definedName>
    <definedName name="junk2" hidden="1">{"PRINT",#N/A,TRUE,"APPA";"PRINT",#N/A,TRUE,"APS";"PRINT",#N/A,TRUE,"BHPL";"PRINT",#N/A,TRUE,"BHPL2";"PRINT",#N/A,TRUE,"CDWR";"PRINT",#N/A,TRUE,"EWEB";"PRINT",#N/A,TRUE,"LADWP";"PRINT",#N/A,TRUE,"NEVBASE"}</definedName>
    <definedName name="junk3" localSheetId="0" hidden="1">{"PRINT",#N/A,TRUE,"APPA";"PRINT",#N/A,TRUE,"APS";"PRINT",#N/A,TRUE,"BHPL";"PRINT",#N/A,TRUE,"BHPL2";"PRINT",#N/A,TRUE,"CDWR";"PRINT",#N/A,TRUE,"EWEB";"PRINT",#N/A,TRUE,"LADWP";"PRINT",#N/A,TRUE,"NEVBASE"}</definedName>
    <definedName name="junk3" localSheetId="3" hidden="1">{"PRINT",#N/A,TRUE,"APPA";"PRINT",#N/A,TRUE,"APS";"PRINT",#N/A,TRUE,"BHPL";"PRINT",#N/A,TRUE,"BHPL2";"PRINT",#N/A,TRUE,"CDWR";"PRINT",#N/A,TRUE,"EWEB";"PRINT",#N/A,TRUE,"LADWP";"PRINT",#N/A,TRUE,"NEVBASE"}</definedName>
    <definedName name="junk3" hidden="1">{"PRINT",#N/A,TRUE,"APPA";"PRINT",#N/A,TRUE,"APS";"PRINT",#N/A,TRUE,"BHPL";"PRINT",#N/A,TRUE,"BHPL2";"PRINT",#N/A,TRUE,"CDWR";"PRINT",#N/A,TRUE,"EWEB";"PRINT",#N/A,TRUE,"LADWP";"PRINT",#N/A,TRUE,"NEVBASE"}</definedName>
    <definedName name="junk4" localSheetId="0" hidden="1">{"PRINT",#N/A,TRUE,"APPA";"PRINT",#N/A,TRUE,"APS";"PRINT",#N/A,TRUE,"BHPL";"PRINT",#N/A,TRUE,"BHPL2";"PRINT",#N/A,TRUE,"CDWR";"PRINT",#N/A,TRUE,"EWEB";"PRINT",#N/A,TRUE,"LADWP";"PRINT",#N/A,TRUE,"NEVBASE"}</definedName>
    <definedName name="junk4" localSheetId="3" hidden="1">{"PRINT",#N/A,TRUE,"APPA";"PRINT",#N/A,TRUE,"APS";"PRINT",#N/A,TRUE,"BHPL";"PRINT",#N/A,TRUE,"BHPL2";"PRINT",#N/A,TRUE,"CDWR";"PRINT",#N/A,TRUE,"EWEB";"PRINT",#N/A,TRUE,"LADWP";"PRINT",#N/A,TRUE,"NEVBASE"}</definedName>
    <definedName name="junk4" hidden="1">{"PRINT",#N/A,TRUE,"APPA";"PRINT",#N/A,TRUE,"APS";"PRINT",#N/A,TRUE,"BHPL";"PRINT",#N/A,TRUE,"BHPL2";"PRINT",#N/A,TRUE,"CDWR";"PRINT",#N/A,TRUE,"EWEB";"PRINT",#N/A,TRUE,"LADWP";"PRINT",#N/A,TRUE,"NEVBASE"}</definedName>
    <definedName name="junk5" hidden="1">{"PRINT",#N/A,TRUE,"APPA";"PRINT",#N/A,TRUE,"APS";"PRINT",#N/A,TRUE,"BHPL";"PRINT",#N/A,TRUE,"BHPL2";"PRINT",#N/A,TRUE,"CDWR";"PRINT",#N/A,TRUE,"EWEB";"PRINT",#N/A,TRUE,"LADWP";"PRINT",#N/A,TRUE,"NEVBASE"}</definedName>
    <definedName name="Keep" localSheetId="0" hidden="1">{"PRINT",#N/A,TRUE,"APPA";"PRINT",#N/A,TRUE,"APS";"PRINT",#N/A,TRUE,"BHPL";"PRINT",#N/A,TRUE,"BHPL2";"PRINT",#N/A,TRUE,"CDWR";"PRINT",#N/A,TRUE,"EWEB";"PRINT",#N/A,TRUE,"LADWP";"PRINT",#N/A,TRUE,"NEVBASE"}</definedName>
    <definedName name="Keep" localSheetId="3"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localSheetId="3"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imcount" hidden="1">1</definedName>
    <definedName name="ListOffset" hidden="1">1</definedName>
    <definedName name="Master" localSheetId="0" hidden="1">{#N/A,#N/A,FALSE,"Actual";#N/A,#N/A,FALSE,"Normalized";#N/A,#N/A,FALSE,"Electric Actual";#N/A,#N/A,FALSE,"Electric Normalized"}</definedName>
    <definedName name="Master" localSheetId="3" hidden="1">{#N/A,#N/A,FALSE,"Actual";#N/A,#N/A,FALSE,"Normalized";#N/A,#N/A,FALSE,"Electric Actual";#N/A,#N/A,FALSE,"Electric Normalized"}</definedName>
    <definedName name="Master" hidden="1">{#N/A,#N/A,FALSE,"Actual";#N/A,#N/A,FALSE,"Normalized";#N/A,#N/A,FALSE,"Electric Actual";#N/A,#N/A,FALSE,"Electric Normalized"}</definedName>
    <definedName name="mmm" localSheetId="0" hidden="1">{"PRINT",#N/A,TRUE,"APPA";"PRINT",#N/A,TRUE,"APS";"PRINT",#N/A,TRUE,"BHPL";"PRINT",#N/A,TRUE,"BHPL2";"PRINT",#N/A,TRUE,"CDWR";"PRINT",#N/A,TRUE,"EWEB";"PRINT",#N/A,TRUE,"LADWP";"PRINT",#N/A,TRUE,"NEVBASE"}</definedName>
    <definedName name="mmm" localSheetId="3"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new" localSheetId="0" hidden="1">{#N/A,#N/A,TRUE,"Section6";#N/A,#N/A,TRUE,"OHcycles";#N/A,#N/A,TRUE,"OHtiming";#N/A,#N/A,TRUE,"OHcosts";#N/A,#N/A,TRUE,"GTdegradation";#N/A,#N/A,TRUE,"GTperformance";#N/A,#N/A,TRUE,"GraphEquip"}</definedName>
    <definedName name="new" localSheetId="3" hidden="1">{#N/A,#N/A,TRUE,"Section6";#N/A,#N/A,TRUE,"OHcycles";#N/A,#N/A,TRUE,"OHtiming";#N/A,#N/A,TRUE,"OHcosts";#N/A,#N/A,TRUE,"GTdegradation";#N/A,#N/A,TRUE,"GTperformance";#N/A,#N/A,TRUE,"GraphEquip"}</definedName>
    <definedName name="new" hidden="1">{#N/A,#N/A,TRUE,"Section6";#N/A,#N/A,TRUE,"OHcycles";#N/A,#N/A,TRUE,"OHtiming";#N/A,#N/A,TRUE,"OHcosts";#N/A,#N/A,TRUE,"GTdegradation";#N/A,#N/A,TRUE,"GTperformance";#N/A,#N/A,TRUE,"GraphEquip"}</definedName>
    <definedName name="OHSch10YR" localSheetId="0" hidden="1">{#N/A,#N/A,FALSE,"Summary";#N/A,#N/A,FALSE,"SmPlants";#N/A,#N/A,FALSE,"Utah";#N/A,#N/A,FALSE,"Idaho";#N/A,#N/A,FALSE,"Lewis River";#N/A,#N/A,FALSE,"NrthUmpq";#N/A,#N/A,FALSE,"KlamRog"}</definedName>
    <definedName name="OHSch10YR" localSheetId="3" hidden="1">{#N/A,#N/A,FALSE,"Summary";#N/A,#N/A,FALSE,"SmPlants";#N/A,#N/A,FALSE,"Utah";#N/A,#N/A,FALSE,"Idaho";#N/A,#N/A,FALSE,"Lewis River";#N/A,#N/A,FALSE,"NrthUmpq";#N/A,#N/A,FALSE,"KlamRog"}</definedName>
    <definedName name="OHSch10YR" hidden="1">{#N/A,#N/A,FALSE,"Summary";#N/A,#N/A,FALSE,"SmPlants";#N/A,#N/A,FALSE,"Utah";#N/A,#N/A,FALSE,"Idaho";#N/A,#N/A,FALSE,"Lewis River";#N/A,#N/A,FALSE,"NrthUmpq";#N/A,#N/A,FALSE,"KlamRog"}</definedName>
    <definedName name="om" localSheetId="0" hidden="1">{#N/A,#N/A,FALSE,"Summary";#N/A,#N/A,FALSE,"SmPlants";#N/A,#N/A,FALSE,"Utah";#N/A,#N/A,FALSE,"Idaho";#N/A,#N/A,FALSE,"Lewis River";#N/A,#N/A,FALSE,"NrthUmpq";#N/A,#N/A,FALSE,"KlamRog"}</definedName>
    <definedName name="om" localSheetId="3" hidden="1">{#N/A,#N/A,FALSE,"Summary";#N/A,#N/A,FALSE,"SmPlants";#N/A,#N/A,FALSE,"Utah";#N/A,#N/A,FALSE,"Idaho";#N/A,#N/A,FALSE,"Lewis River";#N/A,#N/A,FALSE,"NrthUmpq";#N/A,#N/A,FALSE,"KlamRog"}</definedName>
    <definedName name="om" hidden="1">{#N/A,#N/A,FALSE,"Summary";#N/A,#N/A,FALSE,"SmPlants";#N/A,#N/A,FALSE,"Utah";#N/A,#N/A,FALSE,"Idaho";#N/A,#N/A,FALSE,"Lewis River";#N/A,#N/A,FALSE,"NrthUmpq";#N/A,#N/A,FALSE,"KlamRog"}</definedName>
    <definedName name="others" localSheetId="0" hidden="1">{"Factors Pages 1-2",#N/A,FALSE,"Factors";"Factors Page 3",#N/A,FALSE,"Factors";"Factors Page 4",#N/A,FALSE,"Factors";"Factors Page 5",#N/A,FALSE,"Factors";"Factors Pages 8-27",#N/A,FALSE,"Factors"}</definedName>
    <definedName name="others" localSheetId="3"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pete" localSheetId="0" hidden="1">{#N/A,#N/A,FALSE,"Bgt";#N/A,#N/A,FALSE,"Act";#N/A,#N/A,FALSE,"Chrt Data";#N/A,#N/A,FALSE,"Bus Result";#N/A,#N/A,FALSE,"Main Charts";#N/A,#N/A,FALSE,"P&amp;L Ttl";#N/A,#N/A,FALSE,"P&amp;L C_Ttl";#N/A,#N/A,FALSE,"P&amp;L C_Oct";#N/A,#N/A,FALSE,"P&amp;L C_Sep";#N/A,#N/A,FALSE,"1996";#N/A,#N/A,FALSE,"Data"}</definedName>
    <definedName name="pete" localSheetId="3"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ricingInfo" localSheetId="0" hidden="1">#REF!</definedName>
    <definedName name="PricingInfo" localSheetId="3" hidden="1">#REF!</definedName>
    <definedName name="PricingInfo" localSheetId="1" hidden="1">#REF!</definedName>
    <definedName name="PricingInfo" localSheetId="2" hidden="1">#REF!</definedName>
    <definedName name="PricingInfo" hidden="1">#REF!</definedName>
    <definedName name="_xlnm.Print_Area" localSheetId="3">'Page 2.1'!$A$1:$M$93</definedName>
    <definedName name="_xlnm.Print_Area" localSheetId="1">'RMP_(AJR-1)'!$A$1:$G$22</definedName>
    <definedName name="_xlnm.Print_Area" localSheetId="2">'RMP_(AJR-2)'!$A$1:$P$82</definedName>
    <definedName name="retail" localSheetId="0" hidden="1">{#N/A,#N/A,FALSE,"Loans";#N/A,#N/A,FALSE,"Program Costs";#N/A,#N/A,FALSE,"Measures";#N/A,#N/A,FALSE,"Net Lost Rev";#N/A,#N/A,FALSE,"Incentive"}</definedName>
    <definedName name="retail" localSheetId="3"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localSheetId="3"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localSheetId="3" hidden="1">{#N/A,#N/A,FALSE,"Loans";#N/A,#N/A,FALSE,"Program Costs";#N/A,#N/A,FALSE,"Measures";#N/A,#N/A,FALSE,"Net Lost Rev";#N/A,#N/A,FALSE,"Incentive"}</definedName>
    <definedName name="retail_CC1" hidden="1">{#N/A,#N/A,FALSE,"Loans";#N/A,#N/A,FALSE,"Program Costs";#N/A,#N/A,FALSE,"Measures";#N/A,#N/A,FALSE,"Net Lost Rev";#N/A,#N/A,FALSE,"Incentive"}</definedName>
    <definedName name="rrr" localSheetId="0" hidden="1">{"PRINT",#N/A,TRUE,"APPA";"PRINT",#N/A,TRUE,"APS";"PRINT",#N/A,TRUE,"BHPL";"PRINT",#N/A,TRUE,"BHPL2";"PRINT",#N/A,TRUE,"CDWR";"PRINT",#N/A,TRUE,"EWEB";"PRINT",#N/A,TRUE,"LADWP";"PRINT",#N/A,TRUE,"NEVBASE"}</definedName>
    <definedName name="rrr" localSheetId="3" hidden="1">{"PRINT",#N/A,TRUE,"APPA";"PRINT",#N/A,TRUE,"APS";"PRINT",#N/A,TRUE,"BHPL";"PRINT",#N/A,TRUE,"BHPL2";"PRINT",#N/A,TRUE,"CDWR";"PRINT",#N/A,TRUE,"EWEB";"PRINT",#N/A,TRUE,"LADWP";"PRINT",#N/A,TRUE,"NEVBASE"}</definedName>
    <definedName name="rrr" hidden="1">{"PRINT",#N/A,TRUE,"APPA";"PRINT",#N/A,TRUE,"APS";"PRINT",#N/A,TRUE,"BHPL";"PRINT",#N/A,TRUE,"BHPL2";"PRINT",#N/A,TRUE,"CDWR";"PRINT",#N/A,TRUE,"EWEB";"PRINT",#N/A,TRUE,"LADWP";"PRINT",#N/A,TRUE,"NEVBASE"}</definedName>
    <definedName name="SAPBEXrevision" hidden="1">1</definedName>
    <definedName name="SAPBEXsysID" hidden="1">"BWP"</definedName>
    <definedName name="SAPBEXwbID" hidden="1">"45E0HSXTFNPZNJBTUASVO6FBF"</definedName>
    <definedName name="shit" localSheetId="0" hidden="1">{"PRINT",#N/A,TRUE,"APPA";"PRINT",#N/A,TRUE,"APS";"PRINT",#N/A,TRUE,"BHPL";"PRINT",#N/A,TRUE,"BHPL2";"PRINT",#N/A,TRUE,"CDWR";"PRINT",#N/A,TRUE,"EWEB";"PRINT",#N/A,TRUE,"LADWP";"PRINT",#N/A,TRUE,"NEVBASE"}</definedName>
    <definedName name="shit" localSheetId="3"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pecMaint" hidden="1">{#N/A,#N/A,FALSE,"Summary";#N/A,#N/A,FALSE,"SmPlants";#N/A,#N/A,FALSE,"Utah";#N/A,#N/A,FALSE,"Idaho";#N/A,#N/A,FALSE,"Lewis River";#N/A,#N/A,FALSE,"NrthUmpq";#N/A,#N/A,FALSE,"KlamRog"}</definedName>
    <definedName name="spippw" localSheetId="0" hidden="1">{#N/A,#N/A,FALSE,"Actual";#N/A,#N/A,FALSE,"Normalized";#N/A,#N/A,FALSE,"Electric Actual";#N/A,#N/A,FALSE,"Electric Normalized"}</definedName>
    <definedName name="spippw" localSheetId="3" hidden="1">{#N/A,#N/A,FALSE,"Actual";#N/A,#N/A,FALSE,"Normalized";#N/A,#N/A,FALSE,"Electric Actual";#N/A,#N/A,FALSE,"Electric Normalized"}</definedName>
    <definedName name="spippw" hidden="1">{#N/A,#N/A,FALSE,"Actual";#N/A,#N/A,FALSE,"Normalized";#N/A,#N/A,FALSE,"Electric Actual";#N/A,#N/A,FALSE,"Electric Normalized"}</definedName>
    <definedName name="ss" hidden="1">{"PRINT",#N/A,TRUE,"APPA";"PRINT",#N/A,TRUE,"APS";"PRINT",#N/A,TRUE,"BHPL";"PRINT",#N/A,TRUE,"BHPL2";"PRINT",#N/A,TRUE,"CDWR";"PRINT",#N/A,TRUE,"EWEB";"PRINT",#N/A,TRUE,"LADWP";"PRINT",#N/A,TRUE,"NEVBASE"}</definedName>
    <definedName name="standard1" localSheetId="0" hidden="1">{"YTD-Total",#N/A,FALSE,"Provision"}</definedName>
    <definedName name="standard1" localSheetId="3" hidden="1">{"YTD-Total",#N/A,FALSE,"Provision"}</definedName>
    <definedName name="standard1" hidden="1">{"YTD-Total",#N/A,FALSE,"Provision"}</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w" localSheetId="0" hidden="1">#REF!</definedName>
    <definedName name="w" localSheetId="3" hidden="1">#REF!</definedName>
    <definedName name="w" localSheetId="1" hidden="1">#REF!</definedName>
    <definedName name="w" localSheetId="2" hidden="1">#REF!</definedName>
    <definedName name="w" hidden="1">#REF!</definedName>
    <definedName name="wrn.1996._.Hydro._.5._.Year._.Forecast._.Budget." localSheetId="0" hidden="1">{#N/A,#N/A,FALSE,"Summary";#N/A,#N/A,FALSE,"SmPlants";#N/A,#N/A,FALSE,"Utah";#N/A,#N/A,FALSE,"Idaho";#N/A,#N/A,FALSE,"Lewis River";#N/A,#N/A,FALSE,"NrthUmpq";#N/A,#N/A,FALSE,"KlamRog"}</definedName>
    <definedName name="wrn.1996._.Hydro._.5._.Year._.Forecast._.Budget." localSheetId="3" hidden="1">{#N/A,#N/A,FALSE,"Summary";#N/A,#N/A,FALSE,"SmPlants";#N/A,#N/A,FALSE,"Utah";#N/A,#N/A,FALSE,"Idaho";#N/A,#N/A,FALSE,"Lewis River";#N/A,#N/A,FALSE,"NrthUmpq";#N/A,#N/A,FALSE,"KlamRog"}</definedName>
    <definedName name="wrn.1996._.Hydro._.5._.Year._.Forecast._.Budget." hidden="1">{#N/A,#N/A,FALSE,"Summary";#N/A,#N/A,FALSE,"SmPlants";#N/A,#N/A,FALSE,"Utah";#N/A,#N/A,FALSE,"Idaho";#N/A,#N/A,FALSE,"Lewis River";#N/A,#N/A,FALSE,"NrthUmpq";#N/A,#N/A,FALSE,"KlamRog"}</definedName>
    <definedName name="wrn.Adj._.Back_Up." localSheetId="0" hidden="1">{"Page 3.4.1",#N/A,FALSE,"Totals";"Page 3.4.2",#N/A,FALSE,"Totals"}</definedName>
    <definedName name="wrn.Adj._.Back_Up." localSheetId="3"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localSheetId="3"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localSheetId="3"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localSheetId="3"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Sheet";#N/A,#N/A,FALSE,"T-Accounts";#N/A,#N/A,FALSE,"Expense Detail 10 01 to 3  02";#N/A,#N/A,FALSE,"Expense Detail 4 01 to 9 01";#N/A,#N/A,FALSE,"Three Factor % 3  2002"}</definedName>
    <definedName name="wrn.All._.Pages." localSheetId="3" hidden="1">{#N/A,#N/A,FALSE,"Cover";#N/A,#N/A,FALSE,"Lead Sheet";#N/A,#N/A,FALSE,"T-Accounts";#N/A,#N/A,FALSE,"Expense Detail 10 01 to 3  02";#N/A,#N/A,FALSE,"Expense Detail 4 01 to 9 01";#N/A,#N/A,FALSE,"Three Factor % 3  2002"}</definedName>
    <definedName name="wrn.All._.Pages." hidden="1">{#N/A,#N/A,FALSE,"Cover";#N/A,#N/A,FALSE,"Lead Sheet";#N/A,#N/A,FALSE,"T-Accounts";#N/A,#N/A,FALSE,"Expense Detail 10 01 to 3  02";#N/A,#N/A,FALSE,"Expense Detail 4 01 to 9 01";#N/A,#N/A,FALSE,"Three Factor % 3  2002"}</definedName>
    <definedName name="wrn.BUS._.RPT." localSheetId="0" hidden="1">{#N/A,#N/A,FALSE,"P&amp;L Ttl";#N/A,#N/A,FALSE,"P&amp;L C_Ttl New";#N/A,#N/A,FALSE,"Bus Res";#N/A,#N/A,FALSE,"Chrts";#N/A,#N/A,FALSE,"pcf";#N/A,#N/A,FALSE,"pcr ";#N/A,#N/A,FALSE,"Exp Stmt ";#N/A,#N/A,FALSE,"Exp Stmt BU";#N/A,#N/A,FALSE,"Cap";#N/A,#N/A,FALSE,"IT Ytd"}</definedName>
    <definedName name="wrn.BUS._.RPT." localSheetId="3"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localSheetId="3"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localSheetId="3" hidden="1">{"Conol gross povision grouped",#N/A,FALSE,"Consol Gross";"Consol Gross Grouped",#N/A,FALSE,"Consol Gross"}</definedName>
    <definedName name="wrn.ConsolGrossGrp." hidden="1">{"Conol gross povision grouped",#N/A,FALSE,"Consol Gross";"Consol Gross Grouped",#N/A,FALSE,"Consol Gross"}</definedName>
    <definedName name="wrn.Cover." localSheetId="0" hidden="1">{#N/A,#N/A,TRUE,"Cover";#N/A,#N/A,TRUE,"Contents"}</definedName>
    <definedName name="wrn.Cover." localSheetId="3" hidden="1">{#N/A,#N/A,TRUE,"Cover";#N/A,#N/A,TRUE,"Contents"}</definedName>
    <definedName name="wrn.Cover." hidden="1">{#N/A,#N/A,TRUE,"Cover";#N/A,#N/A,TRUE,"Contents"}</definedName>
    <definedName name="wrn.CoverContents." localSheetId="0" hidden="1">{#N/A,#N/A,FALSE,"Cover";#N/A,#N/A,FALSE,"Contents"}</definedName>
    <definedName name="wrn.CoverContents." localSheetId="3" hidden="1">{#N/A,#N/A,FALSE,"Cover";#N/A,#N/A,FALSE,"Contents"}</definedName>
    <definedName name="wrn.CoverContents." hidden="1">{#N/A,#N/A,FALSE,"Cover";#N/A,#N/A,FALSE,"Contents"}</definedName>
    <definedName name="wrn.El._.Paso._.Offshore." localSheetId="0" hidden="1">{#N/A,#N/A,TRUE,"EPEsum";#N/A,#N/A,TRUE,"Approve1";#N/A,#N/A,TRUE,"Approve2";#N/A,#N/A,TRUE,"Approve3";#N/A,#N/A,TRUE,"EPE1";#N/A,#N/A,TRUE,"EPE2";#N/A,#N/A,TRUE,"CashCompare";#N/A,#N/A,TRUE,"XIRR";#N/A,#N/A,TRUE,"EPEloan";#N/A,#N/A,TRUE,"GraphEPE";#N/A,#N/A,TRUE,"OrgChart";#N/A,#N/A,TRUE,"SA08B"}</definedName>
    <definedName name="wrn.El._.Paso._.Offshore." localSheetId="3" hidden="1">{#N/A,#N/A,TRUE,"EPEsum";#N/A,#N/A,TRUE,"Approve1";#N/A,#N/A,TRUE,"Approve2";#N/A,#N/A,TRUE,"Approve3";#N/A,#N/A,TRUE,"EPE1";#N/A,#N/A,TRUE,"EPE2";#N/A,#N/A,TRUE,"CashCompare";#N/A,#N/A,TRUE,"XIRR";#N/A,#N/A,TRUE,"EPEloan";#N/A,#N/A,TRUE,"GraphEPE";#N/A,#N/A,TRUE,"OrgChart";#N/A,#N/A,TRUE,"SA08B"}</definedName>
    <definedName name="wrn.El._.Paso._.Offshore." hidden="1">{#N/A,#N/A,TRUE,"EPEsum";#N/A,#N/A,TRUE,"Approve1";#N/A,#N/A,TRUE,"Approve2";#N/A,#N/A,TRUE,"Approve3";#N/A,#N/A,TRUE,"EPE1";#N/A,#N/A,TRUE,"EPE2";#N/A,#N/A,TRUE,"CashCompare";#N/A,#N/A,TRUE,"XIRR";#N/A,#N/A,TRUE,"EPEloan";#N/A,#N/A,TRUE,"GraphEPE";#N/A,#N/A,TRUE,"OrgChart";#N/A,#N/A,TRUE,"SA08B"}</definedName>
    <definedName name="wrn.Exec._.Summary." hidden="1">{#N/A,#N/A,FALSE,"Output Ass";#N/A,#N/A,FALSE,"Sum Tot";#N/A,#N/A,FALSE,"Ex Sum Year";#N/A,#N/A,FALSE,"Sum Qtr"}</definedName>
    <definedName name="wrn.Factors._.Tab._.10." localSheetId="0" hidden="1">{"Factors Pages 1-2",#N/A,FALSE,"Factors";"Factors Page 3",#N/A,FALSE,"Factors";"Factors Page 4",#N/A,FALSE,"Factors";"Factors Page 5",#N/A,FALSE,"Factors";"Factors Pages 8-27",#N/A,FALSE,"Factors"}</definedName>
    <definedName name="wrn.Factors._.Tab._.10." localSheetId="3"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report." hidden="1">{"print_su",#N/A,TRUE,"bond_size1";"print_cf",#N/A,TRUE,"bond_size1";"print_sads",#N/A,TRUE,"bond_size1";"print_capi",#N/A,TRUE,"bond_size1";"print_ads",#N/A,TRUE,"bond_size1";"print_bp",#N/A,TRUE,"bond_size1";"print_nds",#N/A,TRUE,"bond_size1";"print_yield",#N/A,TRUE,"bond_size1"}</definedName>
    <definedName name="wrn.Full._.View." localSheetId="0" hidden="1">{"FullView",#N/A,FALSE,"Consltd-For contngcy"}</definedName>
    <definedName name="wrn.Full._.View." localSheetId="3"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localSheetId="3"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life." hidden="1">{"life_te",#N/A,TRUE,"life";"duration_te",#N/A,TRUE,"duration";"life_ab",#N/A,TRUE,"life";"duration_ab",#N/A,TRUE,"duration";"life_fed_tax",#N/A,TRUE,"life";"duration_tax",#N/A,TRUE,"duration";"life_tax",#N/A,TRUE,"life";"life_fed",#N/A,TRUE,"life";"duration_cd_fed",#N/A,TRUE,"duration"}</definedName>
    <definedName name="wrn.Open._.Issues._.Only." localSheetId="0" hidden="1">{"Open issues Only",#N/A,FALSE,"TIMELINE"}</definedName>
    <definedName name="wrn.Open._.Issues._.Only." localSheetId="3"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localSheetId="3"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localSheetId="3"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localSheetId="3"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rtial." hidden="1">{"summary",#N/A,TRUE,"summary";"su_annual",#N/A,TRUE,"project";"su_quarter",#N/A,TRUE,"project";"cf_ann1",#N/A,TRUE,"cf_sum";"cf_ann2",#N/A,TRUE,"cf_sum";"nonrailom",#N/A,TRUE,"nonrailo&amp;m";"chart",#N/A,TRUE,"chart";"parity",#N/A,TRUE,"parity";"federal_loan",#N/A,TRUE,"federal_loan";"fed_loan2",#N/A,TRUE,"fed_loan_adj";"ds_sum",#N/A,TRUE,"combbond";"benefit_amt",#N/A,TRUE,"bond_siz1";"life_te",#N/A,TRUE,"life";"duration_te",#N/A,TRUE,"duration";"life_fed_tax",#N/A,TRUE,"life";"duration_tax",#N/A,TRUE,"duration";"su_recon",#N/A,TRUE,"cfdraw_proof"}</definedName>
    <definedName name="wrn.Payment._.View." localSheetId="0" hidden="1">{#N/A,#N/A,FALSE,"Consltd-For contngcy";"PaymentView",#N/A,FALSE,"Consltd-For contngcy"}</definedName>
    <definedName name="wrn.Payment._.View." localSheetId="3"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localSheetId="3" hidden="1">{"PFS recon view",#N/A,FALSE,"Hyperion Proof"}</definedName>
    <definedName name="wrn.PFSreconview." hidden="1">{"PFS recon view",#N/A,FALSE,"Hyperion Proof"}</definedName>
    <definedName name="wrn.PGHCreconview." localSheetId="0" hidden="1">{"PGHC recon view",#N/A,FALSE,"Hyperion Proof"}</definedName>
    <definedName name="wrn.PGHCreconview." localSheetId="3"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localSheetId="3" hidden="1">{#N/A,#N/A,FALSE,"PHI MTD";#N/A,#N/A,FALSE,"PHI YTD"}</definedName>
    <definedName name="wrn.PHI._.all._.other._.months." hidden="1">{#N/A,#N/A,FALSE,"PHI MTD";#N/A,#N/A,FALSE,"PHI YTD"}</definedName>
    <definedName name="wrn.PHI._.only." localSheetId="0" hidden="1">{#N/A,#N/A,FALSE,"PHI"}</definedName>
    <definedName name="wrn.PHI._.only." localSheetId="3" hidden="1">{#N/A,#N/A,FALSE,"PHI"}</definedName>
    <definedName name="wrn.PHI._.only." hidden="1">{#N/A,#N/A,FALSE,"PHI"}</definedName>
    <definedName name="wrn.PHI._.Sept._.Dec._.March." localSheetId="0" hidden="1">{#N/A,#N/A,FALSE,"PHI MTD";#N/A,#N/A,FALSE,"PHI QTD";#N/A,#N/A,FALSE,"PHI YTD"}</definedName>
    <definedName name="wrn.PHI._.Sept._.Dec._.March." localSheetId="3"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localSheetId="3" hidden="1">{"PPM Co Code View",#N/A,FALSE,"Comp Codes"}</definedName>
    <definedName name="wrn.PPMCoCodeView." hidden="1">{"PPM Co Code View",#N/A,FALSE,"Comp Codes"}</definedName>
    <definedName name="wrn.PPMreconview." localSheetId="0" hidden="1">{"PPM Recon View",#N/A,FALSE,"Hyperion Proof"}</definedName>
    <definedName name="wrn.PPMreconview." localSheetId="3" hidden="1">{"PPM Recon View",#N/A,FALSE,"Hyperion Proof"}</definedName>
    <definedName name="wrn.PPMreconview." hidden="1">{"PPM Recon View",#N/A,FALSE,"Hyperion Proof"}</definedName>
    <definedName name="wrn.PRINT._.SOURCE._.DATA." localSheetId="3" hidden="1">{"DATA_SET",#N/A,FALSE,"HOURLY SPREAD"}</definedName>
    <definedName name="wrn.PRINT._.SOURCE._.DATA." hidden="1">{"DATA_SET",#N/A,FALSE,"HOURLY SPREAD"}</definedName>
    <definedName name="wrn.PrintHistory." localSheetId="0"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localSheetId="3"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History." hidden="1">{#N/A,#N/A,FALSE,"6004";#N/A,#N/A,FALSE,"6006";#N/A,#N/A,FALSE,"6011";#N/A,#N/A,FALSE,"6019";#N/A,#N/A,FALSE,"6024";#N/A,#N/A,FALSE,"6030";#N/A,#N/A,FALSE,"6031";#N/A,#N/A,FALSE,"6035";#N/A,#N/A,FALSE,"6037";#N/A,#N/A,FALSE,"6051";#N/A,#N/A,FALSE,"6052";#N/A,#N/A,FALSE,"6056";#N/A,#N/A,FALSE,"6057";#N/A,#N/A,FALSE,"6058";#N/A,#N/A,FALSE,"6063";#N/A,#N/A,FALSE,"6087";#N/A,#N/A,FALSE,"6090";#N/A,#N/A,FALSE,"6091";#N/A,#N/A,FALSE,"6092";#N/A,#N/A,FALSE,"6094";#N/A,#N/A,FALSE,"6095";#N/A,#N/A,FALSE,"6097";#N/A,#N/A,FALSE,"6098";#N/A,#N/A,FALSE,"6114";#N/A,#N/A,FALSE,"6118";#N/A,#N/A,FALSE,"6213";#N/A,#N/A,FALSE,"6234";#N/A,#N/A,FALSE,"6236"}</definedName>
    <definedName name="wrn.PrintOther." localSheetId="0" hidden="1">{#N/A,#N/A,FALSE,"Cover";#N/A,#N/A,FALSE,"ProjectSelector";#N/A,#N/A,FALSE,"ProjectTable";#N/A,#N/A,FALSE,"SanGorgonio";#N/A,#N/A,FALSE,"Tehachapi";#N/A,#N/A,FALSE,"Results";#N/A,#N/A,FALSE,"ReplaceForecast"}</definedName>
    <definedName name="wrn.PrintOther." localSheetId="3" hidden="1">{#N/A,#N/A,FALSE,"Cover";#N/A,#N/A,FALSE,"ProjectSelector";#N/A,#N/A,FALSE,"ProjectTable";#N/A,#N/A,FALSE,"SanGorgonio";#N/A,#N/A,FALSE,"Tehachapi";#N/A,#N/A,FALSE,"Results";#N/A,#N/A,FALSE,"ReplaceForecast"}</definedName>
    <definedName name="wrn.PrintOther." hidden="1">{#N/A,#N/A,FALSE,"Cover";#N/A,#N/A,FALSE,"ProjectSelector";#N/A,#N/A,FALSE,"ProjectTable";#N/A,#N/A,FALSE,"SanGorgonio";#N/A,#N/A,FALSE,"Tehachapi";#N/A,#N/A,FALSE,"Results";#N/A,#N/A,FALSE,"ReplaceForecast"}</definedName>
    <definedName name="wrn.ProofElectricOnly." localSheetId="0" hidden="1">{"Electric Only",#N/A,FALSE,"Hyperion Proof"}</definedName>
    <definedName name="wrn.ProofElectricOnly." localSheetId="3" hidden="1">{"Electric Only",#N/A,FALSE,"Hyperion Proof"}</definedName>
    <definedName name="wrn.ProofElectricOnly." hidden="1">{"Electric Only",#N/A,FALSE,"Hyperion Proof"}</definedName>
    <definedName name="wrn.ProofTotal." localSheetId="0" hidden="1">{"Proof Total",#N/A,FALSE,"Hyperion Proof"}</definedName>
    <definedName name="wrn.ProofTotal." localSheetId="3" hidden="1">{"Proof Total",#N/A,FALSE,"Hyperion Proof"}</definedName>
    <definedName name="wrn.ProofTotal." hidden="1">{"Proof Total",#N/A,FALSE,"Hyperion Proof"}</definedName>
    <definedName name="wrn.Reformat._.only." localSheetId="0" hidden="1">{#N/A,#N/A,FALSE,"Dec 1999 mapping"}</definedName>
    <definedName name="wrn.Reformat._.only." localSheetId="3"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localSheetId="3"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ction1." localSheetId="0" hidden="1">{#N/A,#N/A,TRUE,"Section1";"SavingsTop",#N/A,TRUE,"SumSavings";#N/A,#N/A,TRUE,"GraphSum";"SavingsAll",#N/A,TRUE,"SumSavings";#N/A,#N/A,TRUE,"Inputs";#N/A,#N/A,TRUE,"Scenarios";#N/A,#N/A,TRUE,"LineLoss";#N/A,#N/A,TRUE,"Summary";#N/A,#N/A,TRUE,"TermSummary";#N/A,#N/A,TRUE,"NetRates";#N/A,#N/A,TRUE,"PPAtypes"}</definedName>
    <definedName name="wrn.Section1." localSheetId="3" hidden="1">{#N/A,#N/A,TRUE,"Section1";"SavingsTop",#N/A,TRUE,"SumSavings";#N/A,#N/A,TRUE,"GraphSum";"SavingsAll",#N/A,TRUE,"SumSavings";#N/A,#N/A,TRUE,"Inputs";#N/A,#N/A,TRUE,"Scenarios";#N/A,#N/A,TRUE,"LineLoss";#N/A,#N/A,TRUE,"Summary";#N/A,#N/A,TRUE,"TermSummary";#N/A,#N/A,TRUE,"NetRates";#N/A,#N/A,TRUE,"PPAtypes"}</definedName>
    <definedName name="wrn.Section1." hidden="1">{#N/A,#N/A,TRUE,"Section1";"SavingsTop",#N/A,TRUE,"SumSavings";#N/A,#N/A,TRUE,"GraphSum";"SavingsAll",#N/A,TRUE,"SumSavings";#N/A,#N/A,TRUE,"Inputs";#N/A,#N/A,TRUE,"Scenarios";#N/A,#N/A,TRUE,"LineLoss";#N/A,#N/A,TRUE,"Summary";#N/A,#N/A,TRUE,"TermSummary";#N/A,#N/A,TRUE,"NetRates";#N/A,#N/A,TRUE,"PPAtypes"}</definedName>
    <definedName name="wrn.Section1Summaries." localSheetId="0" hidden="1">{#N/A,#N/A,TRUE,"Section1";#N/A,#N/A,TRUE,"SumF";#N/A,#N/A,TRUE,"FigExchange";#N/A,#N/A,TRUE,"Escalation";#N/A,#N/A,TRUE,"GraphEscalate";#N/A,#N/A,TRUE,"Scenarios"}</definedName>
    <definedName name="wrn.Section1Summaries." localSheetId="3" hidden="1">{#N/A,#N/A,TRUE,"Section1";#N/A,#N/A,TRUE,"SumF";#N/A,#N/A,TRUE,"FigExchange";#N/A,#N/A,TRUE,"Escalation";#N/A,#N/A,TRUE,"GraphEscalate";#N/A,#N/A,TRUE,"Scenarios"}</definedName>
    <definedName name="wrn.Section1Summaries." hidden="1">{#N/A,#N/A,TRUE,"Section1";#N/A,#N/A,TRUE,"SumF";#N/A,#N/A,TRUE,"FigExchange";#N/A,#N/A,TRUE,"Escalation";#N/A,#N/A,TRUE,"GraphEscalate";#N/A,#N/A,TRUE,"Scenarios"}</definedName>
    <definedName name="wrn.Section2." localSheetId="0" hidden="1">{#N/A,#N/A,TRUE,"Section2";#N/A,#N/A,TRUE,"OverPymt";#N/A,#N/A,TRUE,"Energy";#N/A,#N/A,TRUE,"EnergyDiff1";#N/A,#N/A,TRUE,"EnergyDiff2";#N/A,#N/A,TRUE,"CapPerformance";#N/A,#N/A,TRUE,"BonusPerformance";#N/A,#N/A,TRUE,"BonusFormula";#N/A,#N/A,TRUE,"GraphPymt"}</definedName>
    <definedName name="wrn.Section2." localSheetId="3" hidden="1">{#N/A,#N/A,TRUE,"Section2";#N/A,#N/A,TRUE,"OverPymt";#N/A,#N/A,TRUE,"Energy";#N/A,#N/A,TRUE,"EnergyDiff1";#N/A,#N/A,TRUE,"EnergyDiff2";#N/A,#N/A,TRUE,"CapPerformance";#N/A,#N/A,TRUE,"BonusPerformance";#N/A,#N/A,TRUE,"BonusFormula";#N/A,#N/A,TRUE,"GraphPymt"}</definedName>
    <definedName name="wrn.Section2." hidden="1">{#N/A,#N/A,TRUE,"Section2";#N/A,#N/A,TRUE,"OverPymt";#N/A,#N/A,TRUE,"Energy";#N/A,#N/A,TRUE,"EnergyDiff1";#N/A,#N/A,TRUE,"EnergyDiff2";#N/A,#N/A,TRUE,"CapPerformance";#N/A,#N/A,TRUE,"BonusPerformance";#N/A,#N/A,TRUE,"BonusFormula";#N/A,#N/A,TRUE,"GraphPymt"}</definedName>
    <definedName name="wrn.Section2TotalProjectCost." localSheetId="0" hidden="1">{#N/A,#N/A,TRUE,"Section2";#N/A,#N/A,TRUE,"TPCestimate";#N/A,#N/A,TRUE,"SumTPC";#N/A,#N/A,TRUE,"ConstrLoan";#N/A,#N/A,TRUE,"FigBalance";#N/A,#N/A,TRUE,"DEV27air";#N/A,#N/A,TRUE,"Graph27air";#N/A,#N/A,TRUE,"PreOp"}</definedName>
    <definedName name="wrn.Section2TotalProjectCost." localSheetId="3" hidden="1">{#N/A,#N/A,TRUE,"Section2";#N/A,#N/A,TRUE,"TPCestimate";#N/A,#N/A,TRUE,"SumTPC";#N/A,#N/A,TRUE,"ConstrLoan";#N/A,#N/A,TRUE,"FigBalance";#N/A,#N/A,TRUE,"DEV27air";#N/A,#N/A,TRUE,"Graph27air";#N/A,#N/A,TRUE,"PreOp"}</definedName>
    <definedName name="wrn.Section2TotalProjectCost." hidden="1">{#N/A,#N/A,TRUE,"Section2";#N/A,#N/A,TRUE,"TPCestimate";#N/A,#N/A,TRUE,"SumTPC";#N/A,#N/A,TRUE,"ConstrLoan";#N/A,#N/A,TRUE,"FigBalance";#N/A,#N/A,TRUE,"DEV27air";#N/A,#N/A,TRUE,"Graph27air";#N/A,#N/A,TRUE,"PreOp"}</definedName>
    <definedName name="wrn.Section3." localSheetId="0" hidden="1">{#N/A,#N/A,TRUE,"Section3";#N/A,#N/A,TRUE,"BaseYear";#N/A,#N/A,TRUE,"GenHistory";#N/A,#N/A,TRUE,"GenGraph";#N/A,#N/A,TRUE,"MonthCompare";#N/A,#N/A,TRUE,"HourHistory";#N/A,#N/A,TRUE,"PayHistory";#N/A,#N/A,TRUE,"PayGraphs";#N/A,#N/A,TRUE,"ReplaceForecast";#N/A,#N/A,TRUE,"PPAforecast";#N/A,#N/A,TRUE,"OLSier"}</definedName>
    <definedName name="wrn.Section3." localSheetId="3" hidden="1">{#N/A,#N/A,TRUE,"Section3";#N/A,#N/A,TRUE,"BaseYear";#N/A,#N/A,TRUE,"GenHistory";#N/A,#N/A,TRUE,"GenGraph";#N/A,#N/A,TRUE,"MonthCompare";#N/A,#N/A,TRUE,"HourHistory";#N/A,#N/A,TRUE,"PayHistory";#N/A,#N/A,TRUE,"PayGraphs";#N/A,#N/A,TRUE,"ReplaceForecast";#N/A,#N/A,TRUE,"PPAforecast";#N/A,#N/A,TRUE,"OLSier"}</definedName>
    <definedName name="wrn.Section3." hidden="1">{#N/A,#N/A,TRUE,"Section3";#N/A,#N/A,TRUE,"BaseYear";#N/A,#N/A,TRUE,"GenHistory";#N/A,#N/A,TRUE,"GenGraph";#N/A,#N/A,TRUE,"MonthCompare";#N/A,#N/A,TRUE,"HourHistory";#N/A,#N/A,TRUE,"PayHistory";#N/A,#N/A,TRUE,"PayGraphs";#N/A,#N/A,TRUE,"ReplaceForecast";#N/A,#N/A,TRUE,"PPAforecast";#N/A,#N/A,TRUE,"OLSier"}</definedName>
    <definedName name="wrn.Section3PowerPlantCompany." localSheetId="0" hidden="1">{#N/A,#N/A,TRUE,"Section3";#N/A,#N/A,TRUE,"Tax";#N/A,#N/A,TRUE,"Dividend";#N/A,#N/A,TRUE,"Depreciation";#N/A,#N/A,TRUE,"Balance";#N/A,#N/A,TRUE,"SaleGain";#N/A,#N/A,TRUE,"RevExp";#N/A,#N/A,TRUE,"PIG";#N/A,#N/A,TRUE,"GraphPlant"}</definedName>
    <definedName name="wrn.Section3PowerPlantCompany." localSheetId="3" hidden="1">{#N/A,#N/A,TRUE,"Section3";#N/A,#N/A,TRUE,"Tax";#N/A,#N/A,TRUE,"Dividend";#N/A,#N/A,TRUE,"Depreciation";#N/A,#N/A,TRUE,"Balance";#N/A,#N/A,TRUE,"SaleGain";#N/A,#N/A,TRUE,"RevExp";#N/A,#N/A,TRUE,"PIG";#N/A,#N/A,TRUE,"GraphPlant"}</definedName>
    <definedName name="wrn.Section3PowerPlantCompany." hidden="1">{#N/A,#N/A,TRUE,"Section3";#N/A,#N/A,TRUE,"Tax";#N/A,#N/A,TRUE,"Dividend";#N/A,#N/A,TRUE,"Depreciation";#N/A,#N/A,TRUE,"Balance";#N/A,#N/A,TRUE,"SaleGain";#N/A,#N/A,TRUE,"RevExp";#N/A,#N/A,TRUE,"PIG";#N/A,#N/A,TRUE,"GraphPlant"}</definedName>
    <definedName name="wrn.Section4." localSheetId="0" hidden="1">{#N/A,#N/A,TRUE,"Section4";#N/A,#N/A,TRUE,"Tariffwksht";#N/A,#N/A,TRUE,"TariffINFO";#N/A,#N/A,TRUE,"Generation";#N/A,#N/A,TRUE,"PPAsum";#N/A,#N/A,TRUE,"PPApayments";#N/A,#N/A,TRUE,"RevExp";#N/A,#N/A,TRUE,"GraphRevenue";#N/A,#N/A,TRUE,"GraphRevExp"}</definedName>
    <definedName name="wrn.Section4." localSheetId="3" hidden="1">{#N/A,#N/A,TRUE,"Section4";#N/A,#N/A,TRUE,"Tariffwksht";#N/A,#N/A,TRUE,"TariffINFO";#N/A,#N/A,TRUE,"Generation";#N/A,#N/A,TRUE,"PPAsum";#N/A,#N/A,TRUE,"PPApayments";#N/A,#N/A,TRUE,"RevExp";#N/A,#N/A,TRUE,"GraphRevenue";#N/A,#N/A,TRUE,"GraphRevExp"}</definedName>
    <definedName name="wrn.Section4." hidden="1">{#N/A,#N/A,TRUE,"Section4";#N/A,#N/A,TRUE,"Tariffwksht";#N/A,#N/A,TRUE,"TariffINFO";#N/A,#N/A,TRUE,"Generation";#N/A,#N/A,TRUE,"PPAsum";#N/A,#N/A,TRUE,"PPApayments";#N/A,#N/A,TRUE,"RevExp";#N/A,#N/A,TRUE,"GraphRevenue";#N/A,#N/A,TRUE,"GraphRevExp"}</definedName>
    <definedName name="wrn.Section4Revenue." localSheetId="0" hidden="1">{#N/A,#N/A,TRUE,"Section4";#N/A,#N/A,TRUE,"PPAtable";#N/A,#N/A,TRUE,"RFPtable";#N/A,#N/A,TRUE,"RevCap";#N/A,#N/A,TRUE,"RevOther";#N/A,#N/A,TRUE,"RevGas";#N/A,#N/A,TRUE,"GraphRev"}</definedName>
    <definedName name="wrn.Section4Revenue." localSheetId="3" hidden="1">{#N/A,#N/A,TRUE,"Section4";#N/A,#N/A,TRUE,"PPAtable";#N/A,#N/A,TRUE,"RFPtable";#N/A,#N/A,TRUE,"RevCap";#N/A,#N/A,TRUE,"RevOther";#N/A,#N/A,TRUE,"RevGas";#N/A,#N/A,TRUE,"GraphRev"}</definedName>
    <definedName name="wrn.Section4Revenue." hidden="1">{#N/A,#N/A,TRUE,"Section4";#N/A,#N/A,TRUE,"PPAtable";#N/A,#N/A,TRUE,"RFPtable";#N/A,#N/A,TRUE,"RevCap";#N/A,#N/A,TRUE,"RevOther";#N/A,#N/A,TRUE,"RevGas";#N/A,#N/A,TRUE,"GraphRev"}</definedName>
    <definedName name="wrn.Section5." localSheetId="0" hidden="1">{#N/A,#N/A,TRUE,"Section5";#N/A,#N/A,TRUE,"Coal";#N/A,#N/A,TRUE,"Fuel";#N/A,#N/A,TRUE,"OMwksht";#N/A,#N/A,TRUE,"VOM";#N/A,#N/A,TRUE,"FOM";#N/A,#N/A,TRUE,"Debt";#N/A,#N/A,TRUE,"LoanSchedules";#N/A,#N/A,TRUE,"GraphExp";#N/A,#N/A,TRUE,"Conversions"}</definedName>
    <definedName name="wrn.Section5." localSheetId="3" hidden="1">{#N/A,#N/A,TRUE,"Section5";#N/A,#N/A,TRUE,"Coal";#N/A,#N/A,TRUE,"Fuel";#N/A,#N/A,TRUE,"OMwksht";#N/A,#N/A,TRUE,"VOM";#N/A,#N/A,TRUE,"FOM";#N/A,#N/A,TRUE,"Debt";#N/A,#N/A,TRUE,"LoanSchedules";#N/A,#N/A,TRUE,"GraphExp";#N/A,#N/A,TRUE,"Conversions"}</definedName>
    <definedName name="wrn.Section5." hidden="1">{#N/A,#N/A,TRUE,"Section5";#N/A,#N/A,TRUE,"Coal";#N/A,#N/A,TRUE,"Fuel";#N/A,#N/A,TRUE,"OMwksht";#N/A,#N/A,TRUE,"VOM";#N/A,#N/A,TRUE,"FOM";#N/A,#N/A,TRUE,"Debt";#N/A,#N/A,TRUE,"LoanSchedules";#N/A,#N/A,TRUE,"GraphExp";#N/A,#N/A,TRUE,"Conversions"}</definedName>
    <definedName name="wrn.Section6Equipment." localSheetId="0" hidden="1">{#N/A,#N/A,TRUE,"Section6";#N/A,#N/A,TRUE,"OHcycles";#N/A,#N/A,TRUE,"OHtiming";#N/A,#N/A,TRUE,"OHcosts";#N/A,#N/A,TRUE,"GTdegradation";#N/A,#N/A,TRUE,"GTperformance";#N/A,#N/A,TRUE,"GraphEquip"}</definedName>
    <definedName name="wrn.Section6Equipment." localSheetId="3" hidden="1">{#N/A,#N/A,TRUE,"Section6";#N/A,#N/A,TRUE,"OHcycles";#N/A,#N/A,TRUE,"OHtiming";#N/A,#N/A,TRUE,"OHcosts";#N/A,#N/A,TRUE,"GTdegradation";#N/A,#N/A,TRUE,"GTperformance";#N/A,#N/A,TRUE,"GraphEquip"}</definedName>
    <definedName name="wrn.Section6Equipment." hidden="1">{#N/A,#N/A,TRUE,"Section6";#N/A,#N/A,TRUE,"OHcycles";#N/A,#N/A,TRUE,"OHtiming";#N/A,#N/A,TRUE,"OHcosts";#N/A,#N/A,TRUE,"GTdegradation";#N/A,#N/A,TRUE,"GTperformance";#N/A,#N/A,TRUE,"GraphEquip"}</definedName>
    <definedName name="wrn.Section7DebtService." localSheetId="0" hidden="1">{#N/A,#N/A,TRUE,"Section7";#N/A,#N/A,TRUE,"DebtService";#N/A,#N/A,TRUE,"LoanSchedules";#N/A,#N/A,TRUE,"GraphDebt"}</definedName>
    <definedName name="wrn.Section7DebtService." localSheetId="3" hidden="1">{#N/A,#N/A,TRUE,"Section7";#N/A,#N/A,TRUE,"DebtService";#N/A,#N/A,TRUE,"LoanSchedules";#N/A,#N/A,TRUE,"GraphDebt"}</definedName>
    <definedName name="wrn.Section7DebtService." hidden="1">{#N/A,#N/A,TRUE,"Section7";#N/A,#N/A,TRUE,"DebtService";#N/A,#N/A,TRUE,"LoanSchedules";#N/A,#N/A,TRUE,"GraphDebt"}</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localSheetId="3"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ponsorSection." localSheetId="0" hidden="1">{#N/A,#N/A,TRUE,"Cover";#N/A,#N/A,TRUE,"Contents";#N/A,#N/A,TRUE,"Organization";#N/A,#N/A,TRUE,"SumSponsor";#N/A,#N/A,TRUE,"Plant1";#N/A,#N/A,TRUE,"Plant2";#N/A,#N/A,TRUE,"Sponsors";#N/A,#N/A,TRUE,"ElPaso1";#N/A,#N/A,TRUE,"GraphSponsor"}</definedName>
    <definedName name="wrn.SponsorSection." localSheetId="3" hidden="1">{#N/A,#N/A,TRUE,"Cover";#N/A,#N/A,TRUE,"Contents";#N/A,#N/A,TRUE,"Organization";#N/A,#N/A,TRUE,"SumSponsor";#N/A,#N/A,TRUE,"Plant1";#N/A,#N/A,TRUE,"Plant2";#N/A,#N/A,TRUE,"Sponsors";#N/A,#N/A,TRUE,"ElPaso1";#N/A,#N/A,TRUE,"GraphSponsor"}</definedName>
    <definedName name="wrn.SponsorSection." hidden="1">{#N/A,#N/A,TRUE,"Cover";#N/A,#N/A,TRUE,"Contents";#N/A,#N/A,TRUE,"Organization";#N/A,#N/A,TRUE,"SumSponsor";#N/A,#N/A,TRUE,"Plant1";#N/A,#N/A,TRUE,"Plant2";#N/A,#N/A,TRUE,"Sponsors";#N/A,#N/A,TRUE,"ElPaso1";#N/A,#N/A,TRUE,"GraphSponsor"}</definedName>
    <definedName name="wrn.Standard." localSheetId="0" hidden="1">{"YTD-Total",#N/A,FALSE,"Provision"}</definedName>
    <definedName name="wrn.Standard." localSheetId="3" hidden="1">{"YTD-Total",#N/A,FALSE,"Provision"}</definedName>
    <definedName name="wrn.Standard." hidden="1">{"YTD-Total",#N/A,FALSE,"Provision"}</definedName>
    <definedName name="wrn.Standard._.NonUtility._.Only." localSheetId="0" hidden="1">{"YTD-NonUtility",#N/A,FALSE,"Prov NonUtility"}</definedName>
    <definedName name="wrn.Standard._.NonUtility._.Only." localSheetId="3"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localSheetId="3" hidden="1">{"YTD-Utility",#N/A,FALSE,"Prov Utility"}</definedName>
    <definedName name="wrn.Standard._.Utility._.Only." hidden="1">{"YTD-Utility",#N/A,FALSE,"Prov Utility"}</definedName>
    <definedName name="wrn.Summary." localSheetId="0" hidden="1">{"Table A",#N/A,FALSE,"Summary";"Table D",#N/A,FALSE,"Summary";"Table E",#N/A,FALSE,"Summary"}</definedName>
    <definedName name="wrn.Summary." localSheetId="3" hidden="1">{"Table A",#N/A,FALSE,"Summary";"Table D",#N/A,FALSE,"Summary";"Table E",#N/A,FALSE,"Summary"}</definedName>
    <definedName name="wrn.Summary." hidden="1">{"Table A",#N/A,FALSE,"Summary";"Table D",#N/A,FALSE,"Summary";"Table E",#N/A,FALSE,"Summary"}</definedName>
    <definedName name="wrn.Summary._.View." localSheetId="0" hidden="1">{#N/A,#N/A,FALSE,"Consltd-For contngcy"}</definedName>
    <definedName name="wrn.Summary._.View." localSheetId="3" hidden="1">{#N/A,#N/A,FALSE,"Consltd-For contngcy"}</definedName>
    <definedName name="wrn.Summary._.View." hidden="1">{#N/A,#N/A,FALSE,"Consltd-For contngcy"}</definedName>
    <definedName name="wrn.Total._.Summary." localSheetId="0" hidden="1">{"Total Summary",#N/A,FALSE,"Summary"}</definedName>
    <definedName name="wrn.Total._.Summary." localSheetId="3" hidden="1">{"Total Summary",#N/A,FALSE,"Summary"}</definedName>
    <definedName name="wrn.Total._.Summary." hidden="1">{"Total Summary",#N/A,FALSE,"Summary"}</definedName>
    <definedName name="wrn.UK._.Conversion._.Only." localSheetId="0" hidden="1">{#N/A,#N/A,FALSE,"Dec 1999 UK Continuing Ops"}</definedName>
    <definedName name="wrn.UK._.Conversion._.Only." localSheetId="3"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localSheetId="3"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y" localSheetId="0" hidden="1">#REF!</definedName>
    <definedName name="y" hidden="1">#REF!</definedName>
    <definedName name="z" localSheetId="0" hidden="1">#REF!</definedName>
    <definedName name="z" hidden="1">#REF!</definedName>
    <definedName name="Z_01844156_6462_4A28_9785_1A86F4D0C834_.wvu.PrintTitles" localSheetId="0" hidden="1">#REF!</definedName>
    <definedName name="Z_01844156_6462_4A28_9785_1A86F4D0C834_.wvu.PrintTitles" localSheetId="3" hidden="1">#REF!</definedName>
    <definedName name="Z_01844156_6462_4A28_9785_1A86F4D0C834_.wvu.PrintTitles" localSheetId="1" hidden="1">#REF!</definedName>
    <definedName name="Z_01844156_6462_4A28_9785_1A86F4D0C834_.wvu.PrintTitles" localSheetId="2" hidden="1">#REF!</definedName>
    <definedName name="Z_01844156_6462_4A28_9785_1A86F4D0C834_.wvu.PrintTitles" hidden="1">#REF!</definedName>
  </definedNames>
  <calcPr calcId="191028"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40" i="5" l="1"/>
  <c r="J40" i="5"/>
  <c r="I40" i="5"/>
  <c r="H40" i="5"/>
  <c r="G40" i="5"/>
  <c r="G42" i="5" s="1"/>
  <c r="F40" i="5"/>
  <c r="F42" i="5" s="1"/>
  <c r="E40" i="5"/>
  <c r="L39" i="5"/>
  <c r="L38" i="5"/>
  <c r="L37" i="5"/>
  <c r="L36" i="5"/>
  <c r="A36" i="5"/>
  <c r="L35" i="5"/>
  <c r="L34" i="5"/>
  <c r="L33" i="5"/>
  <c r="L32" i="5"/>
  <c r="L31" i="5"/>
  <c r="L30" i="5"/>
  <c r="L29" i="5"/>
  <c r="L28" i="5"/>
  <c r="L40" i="5" s="1"/>
  <c r="A28" i="5"/>
  <c r="K21" i="5"/>
  <c r="K23" i="5" s="1"/>
  <c r="J21" i="5"/>
  <c r="I21" i="5"/>
  <c r="H21" i="5"/>
  <c r="G21" i="5"/>
  <c r="F21" i="5"/>
  <c r="E21" i="5"/>
  <c r="E23" i="5" s="1"/>
  <c r="L20" i="5"/>
  <c r="L19" i="5"/>
  <c r="L18" i="5"/>
  <c r="L17" i="5"/>
  <c r="L16" i="5"/>
  <c r="L15" i="5"/>
  <c r="L14" i="5"/>
  <c r="L13" i="5"/>
  <c r="A13" i="5"/>
  <c r="L12" i="5"/>
  <c r="L11" i="5"/>
  <c r="L10" i="5"/>
  <c r="L9" i="5"/>
  <c r="L21" i="5" s="1"/>
  <c r="A35" i="5"/>
  <c r="A2" i="5"/>
  <c r="A1" i="5"/>
  <c r="B136" i="4"/>
  <c r="B137" i="4" s="1"/>
  <c r="B138" i="4" s="1"/>
  <c r="B139" i="4" s="1"/>
  <c r="B140" i="4" s="1"/>
  <c r="B141" i="4" s="1"/>
  <c r="B142" i="4" s="1"/>
  <c r="B143" i="4" s="1"/>
  <c r="B144" i="4" s="1"/>
  <c r="B145" i="4" s="1"/>
  <c r="B146" i="4" s="1"/>
  <c r="B135" i="4"/>
  <c r="E73" i="4"/>
  <c r="L71" i="4"/>
  <c r="K71" i="4"/>
  <c r="J71" i="4"/>
  <c r="I71" i="4"/>
  <c r="E49" i="4"/>
  <c r="E35" i="4"/>
  <c r="E63" i="4"/>
  <c r="E56" i="4"/>
  <c r="E42" i="4"/>
  <c r="E28" i="4"/>
  <c r="A73" i="4"/>
  <c r="E56" i="3"/>
  <c r="F53" i="3"/>
  <c r="D56" i="3"/>
  <c r="D42" i="3"/>
  <c r="O32" i="3"/>
  <c r="N32" i="3"/>
  <c r="M32" i="3"/>
  <c r="L32" i="3"/>
  <c r="K32" i="3"/>
  <c r="J32" i="3"/>
  <c r="I32" i="3"/>
  <c r="H32" i="3"/>
  <c r="G32" i="3"/>
  <c r="F32" i="3"/>
  <c r="E32" i="3"/>
  <c r="D32" i="3"/>
  <c r="F31" i="3"/>
  <c r="L31" i="3"/>
  <c r="G31" i="3"/>
  <c r="K30" i="3"/>
  <c r="I30" i="3"/>
  <c r="E30" i="3"/>
  <c r="L29" i="3"/>
  <c r="K29" i="3"/>
  <c r="I29" i="3"/>
  <c r="G29" i="3"/>
  <c r="O28" i="3"/>
  <c r="M28" i="3"/>
  <c r="M29" i="3" s="1"/>
  <c r="L28" i="3"/>
  <c r="L30" i="3" s="1"/>
  <c r="L33" i="3" s="1"/>
  <c r="K28" i="3"/>
  <c r="J28" i="3"/>
  <c r="J29" i="3" s="1"/>
  <c r="J30" i="3" s="1"/>
  <c r="I28" i="3"/>
  <c r="G28" i="3"/>
  <c r="G30" i="3" s="1"/>
  <c r="G33" i="3" s="1"/>
  <c r="F28" i="3"/>
  <c r="F29" i="3" s="1"/>
  <c r="E28" i="3"/>
  <c r="E29" i="3" s="1"/>
  <c r="A12" i="3"/>
  <c r="A14" i="3" s="1"/>
  <c r="B45" i="3"/>
  <c r="B109" i="2"/>
  <c r="B110" i="2" s="1"/>
  <c r="B111" i="2" s="1"/>
  <c r="B112" i="2" s="1"/>
  <c r="B113" i="2" s="1"/>
  <c r="B114" i="2" s="1"/>
  <c r="B115" i="2" s="1"/>
  <c r="B116" i="2" s="1"/>
  <c r="B117" i="2" s="1"/>
  <c r="B118" i="2" s="1"/>
  <c r="B119" i="2" s="1"/>
  <c r="B120" i="2" s="1"/>
  <c r="B21" i="2"/>
  <c r="B18" i="2"/>
  <c r="B17" i="2"/>
  <c r="B15" i="2"/>
  <c r="B13" i="2"/>
  <c r="F12" i="2"/>
  <c r="A10" i="2"/>
  <c r="A11" i="2" s="1"/>
  <c r="A12" i="2" s="1"/>
  <c r="A13" i="2" s="1"/>
  <c r="A14" i="2" s="1"/>
  <c r="A15" i="2" s="1"/>
  <c r="A16" i="2" s="1"/>
  <c r="A17" i="2" s="1"/>
  <c r="A18" i="2" s="1"/>
  <c r="A19" i="2" s="1"/>
  <c r="A20" i="2" s="1"/>
  <c r="A21" i="2" s="1"/>
  <c r="A22" i="2" s="1"/>
  <c r="B8" i="2"/>
  <c r="B20" i="2"/>
  <c r="I33" i="3" l="1"/>
  <c r="K28" i="4"/>
  <c r="H42" i="5"/>
  <c r="K42" i="4"/>
  <c r="O29" i="3"/>
  <c r="O30" i="3" s="1"/>
  <c r="O33" i="3" s="1"/>
  <c r="I42" i="5"/>
  <c r="I43" i="5" s="1"/>
  <c r="K26" i="4" s="1"/>
  <c r="K56" i="4" s="1"/>
  <c r="F56" i="3"/>
  <c r="G53" i="3"/>
  <c r="E33" i="3"/>
  <c r="I23" i="5"/>
  <c r="F23" i="5"/>
  <c r="L23" i="5" s="1"/>
  <c r="H23" i="5"/>
  <c r="G23" i="5"/>
  <c r="G43" i="5" s="1"/>
  <c r="H26" i="4" s="1"/>
  <c r="F43" i="5"/>
  <c r="G26" i="4" s="1"/>
  <c r="G42" i="4" s="1"/>
  <c r="K42" i="5"/>
  <c r="K43" i="5" s="1"/>
  <c r="L26" i="4" s="1"/>
  <c r="L49" i="4" s="1"/>
  <c r="J42" i="5"/>
  <c r="E42" i="5"/>
  <c r="J23" i="5"/>
  <c r="B16" i="2"/>
  <c r="A5" i="3"/>
  <c r="I31" i="3"/>
  <c r="A63" i="4"/>
  <c r="A14" i="5"/>
  <c r="A29" i="5"/>
  <c r="A37" i="5"/>
  <c r="F30" i="3"/>
  <c r="F33" i="3" s="1"/>
  <c r="H31" i="3"/>
  <c r="B42" i="3"/>
  <c r="A18" i="4"/>
  <c r="A28" i="4"/>
  <c r="A79" i="4"/>
  <c r="B22" i="2"/>
  <c r="A7" i="3"/>
  <c r="D28" i="3"/>
  <c r="J31" i="3"/>
  <c r="J33" i="3" s="1"/>
  <c r="A20" i="4"/>
  <c r="A40" i="4"/>
  <c r="A80" i="4"/>
  <c r="K31" i="3"/>
  <c r="K33" i="3" s="1"/>
  <c r="A15" i="5"/>
  <c r="A30" i="5"/>
  <c r="A38" i="5"/>
  <c r="A56" i="4"/>
  <c r="A68" i="4"/>
  <c r="K73" i="4"/>
  <c r="E9" i="3"/>
  <c r="B22" i="3"/>
  <c r="M31" i="3"/>
  <c r="A5" i="4"/>
  <c r="D22" i="4"/>
  <c r="A33" i="4"/>
  <c r="A16" i="5"/>
  <c r="A31" i="5"/>
  <c r="A39" i="5"/>
  <c r="B20" i="3"/>
  <c r="H28" i="3"/>
  <c r="N31" i="3"/>
  <c r="A8" i="4"/>
  <c r="A24" i="4"/>
  <c r="L35" i="4"/>
  <c r="A5" i="5"/>
  <c r="M30" i="3"/>
  <c r="O31" i="3"/>
  <c r="B26" i="4"/>
  <c r="A49" i="4"/>
  <c r="A75" i="4"/>
  <c r="A9" i="5"/>
  <c r="A17" i="5"/>
  <c r="A32" i="5"/>
  <c r="A17" i="3"/>
  <c r="A10" i="5"/>
  <c r="A18" i="5"/>
  <c r="A33" i="5"/>
  <c r="A12" i="4"/>
  <c r="A10" i="4"/>
  <c r="A61" i="4"/>
  <c r="A42" i="4"/>
  <c r="A54" i="4"/>
  <c r="A11" i="5"/>
  <c r="A19" i="5"/>
  <c r="A34" i="5"/>
  <c r="A16" i="3"/>
  <c r="N28" i="3"/>
  <c r="D31" i="3"/>
  <c r="A14" i="4"/>
  <c r="A22" i="4"/>
  <c r="E31" i="3"/>
  <c r="A70" i="4"/>
  <c r="A12" i="5"/>
  <c r="A20" i="5"/>
  <c r="A16" i="4"/>
  <c r="A35" i="4"/>
  <c r="A47" i="4"/>
  <c r="H73" i="4" l="1"/>
  <c r="H42" i="4"/>
  <c r="H28" i="4"/>
  <c r="H56" i="4"/>
  <c r="H63" i="4"/>
  <c r="H49" i="4"/>
  <c r="H35" i="4"/>
  <c r="L73" i="4"/>
  <c r="K35" i="4"/>
  <c r="E65" i="4"/>
  <c r="H43" i="5"/>
  <c r="E37" i="3"/>
  <c r="F9" i="3"/>
  <c r="L42" i="4"/>
  <c r="L28" i="4"/>
  <c r="K63" i="4"/>
  <c r="H53" i="3"/>
  <c r="G56" i="3"/>
  <c r="G63" i="4"/>
  <c r="M33" i="3"/>
  <c r="G73" i="4"/>
  <c r="D29" i="3"/>
  <c r="K49" i="4"/>
  <c r="G35" i="4"/>
  <c r="L63" i="4"/>
  <c r="G56" i="4"/>
  <c r="G49" i="4"/>
  <c r="N29" i="3"/>
  <c r="N30" i="3" s="1"/>
  <c r="N33" i="3" s="1"/>
  <c r="A18" i="3"/>
  <c r="G28" i="4"/>
  <c r="L56" i="4"/>
  <c r="E43" i="5"/>
  <c r="L42" i="5"/>
  <c r="J43" i="5"/>
  <c r="I26" i="4" s="1"/>
  <c r="E58" i="4"/>
  <c r="H29" i="3"/>
  <c r="H30" i="3"/>
  <c r="H33" i="3" s="1"/>
  <c r="P29" i="3" l="1"/>
  <c r="L61" i="4"/>
  <c r="D30" i="3"/>
  <c r="A20" i="3"/>
  <c r="F37" i="3"/>
  <c r="G9" i="3"/>
  <c r="G66" i="4"/>
  <c r="G68" i="4" s="1"/>
  <c r="J26" i="4"/>
  <c r="J58" i="4" s="1"/>
  <c r="D85" i="4"/>
  <c r="E85" i="4" s="1"/>
  <c r="H68" i="4"/>
  <c r="I53" i="3"/>
  <c r="H56" i="3"/>
  <c r="I65" i="4"/>
  <c r="H65" i="4"/>
  <c r="G65" i="4"/>
  <c r="E66" i="4"/>
  <c r="K65" i="4"/>
  <c r="L65" i="4"/>
  <c r="L68" i="4" s="1"/>
  <c r="E68" i="4"/>
  <c r="H59" i="4"/>
  <c r="H61" i="4" s="1"/>
  <c r="F58" i="4"/>
  <c r="G58" i="4"/>
  <c r="G61" i="4" s="1"/>
  <c r="E59" i="4"/>
  <c r="L58" i="4"/>
  <c r="K58" i="4"/>
  <c r="K61" i="4" s="1"/>
  <c r="H58" i="4"/>
  <c r="I58" i="4"/>
  <c r="E61" i="4"/>
  <c r="G59" i="4"/>
  <c r="I28" i="4"/>
  <c r="I35" i="4"/>
  <c r="I73" i="4"/>
  <c r="I49" i="4"/>
  <c r="I63" i="4"/>
  <c r="I42" i="4"/>
  <c r="I56" i="4"/>
  <c r="L43" i="5"/>
  <c r="F26" i="4"/>
  <c r="K68" i="4"/>
  <c r="J65" i="4" l="1"/>
  <c r="H9" i="3"/>
  <c r="A22" i="3"/>
  <c r="E26" i="4"/>
  <c r="F63" i="4"/>
  <c r="F68" i="4" s="1"/>
  <c r="F49" i="4"/>
  <c r="E51" i="4"/>
  <c r="F28" i="4"/>
  <c r="F73" i="4"/>
  <c r="E44" i="4"/>
  <c r="E37" i="4"/>
  <c r="F56" i="4"/>
  <c r="F61" i="4" s="1"/>
  <c r="F42" i="4"/>
  <c r="E30" i="4"/>
  <c r="F35" i="4"/>
  <c r="D33" i="3"/>
  <c r="P30" i="3"/>
  <c r="I61" i="4"/>
  <c r="I68" i="4"/>
  <c r="I56" i="3"/>
  <c r="J56" i="3" s="1"/>
  <c r="J53" i="3"/>
  <c r="F19" i="2" s="1"/>
  <c r="J73" i="4"/>
  <c r="J49" i="4"/>
  <c r="J28" i="4"/>
  <c r="J42" i="4"/>
  <c r="J56" i="4"/>
  <c r="J61" i="4" s="1"/>
  <c r="J63" i="4"/>
  <c r="J68" i="4" s="1"/>
  <c r="J35" i="4"/>
  <c r="F65" i="4"/>
  <c r="J30" i="4" l="1"/>
  <c r="J33" i="4" s="1"/>
  <c r="I30" i="4"/>
  <c r="I33" i="4" s="1"/>
  <c r="H30" i="4"/>
  <c r="G30" i="4"/>
  <c r="F30" i="4"/>
  <c r="L30" i="4"/>
  <c r="L33" i="4" s="1"/>
  <c r="E31" i="4"/>
  <c r="K30" i="4"/>
  <c r="K33" i="4" s="1"/>
  <c r="E33" i="4"/>
  <c r="E70" i="4"/>
  <c r="L37" i="4"/>
  <c r="K37" i="4"/>
  <c r="J37" i="4"/>
  <c r="I37" i="4"/>
  <c r="F37" i="4"/>
  <c r="H37" i="4"/>
  <c r="G37" i="4"/>
  <c r="E38" i="4"/>
  <c r="E71" i="4" s="1"/>
  <c r="E40" i="4"/>
  <c r="G37" i="3"/>
  <c r="H37" i="3"/>
  <c r="I9" i="3"/>
  <c r="F33" i="4"/>
  <c r="F31" i="4"/>
  <c r="A24" i="3"/>
  <c r="P33" i="3"/>
  <c r="F17" i="2" s="1"/>
  <c r="D37" i="3"/>
  <c r="F38" i="4"/>
  <c r="E52" i="4"/>
  <c r="E54" i="4" s="1"/>
  <c r="L51" i="4"/>
  <c r="L54" i="4" s="1"/>
  <c r="K51" i="4"/>
  <c r="K54" i="4" s="1"/>
  <c r="J51" i="4"/>
  <c r="J54" i="4" s="1"/>
  <c r="I51" i="4"/>
  <c r="I54" i="4" s="1"/>
  <c r="H51" i="4"/>
  <c r="G51" i="4"/>
  <c r="G54" i="4" s="1"/>
  <c r="F51" i="4"/>
  <c r="E45" i="4"/>
  <c r="L44" i="4"/>
  <c r="L47" i="4" s="1"/>
  <c r="I44" i="4"/>
  <c r="I47" i="4" s="1"/>
  <c r="K44" i="4"/>
  <c r="K47" i="4" s="1"/>
  <c r="J44" i="4"/>
  <c r="J47" i="4" s="1"/>
  <c r="H44" i="4"/>
  <c r="H47" i="4" s="1"/>
  <c r="G44" i="4"/>
  <c r="G47" i="4" s="1"/>
  <c r="F44" i="4"/>
  <c r="F45" i="4" s="1"/>
  <c r="F47" i="4" s="1"/>
  <c r="E47" i="4"/>
  <c r="J40" i="4"/>
  <c r="E75" i="4" l="1"/>
  <c r="F52" i="4"/>
  <c r="F54" i="4" s="1"/>
  <c r="L70" i="4"/>
  <c r="L40" i="4"/>
  <c r="L75" i="4" s="1"/>
  <c r="A28" i="3"/>
  <c r="G33" i="4"/>
  <c r="G31" i="4"/>
  <c r="H31" i="4"/>
  <c r="H71" i="4" s="1"/>
  <c r="H52" i="4"/>
  <c r="H54" i="4" s="1"/>
  <c r="J75" i="4"/>
  <c r="E79" i="4" s="1"/>
  <c r="I37" i="3"/>
  <c r="J9" i="3"/>
  <c r="G70" i="4"/>
  <c r="G38" i="4"/>
  <c r="G71" i="4" s="1"/>
  <c r="H70" i="4"/>
  <c r="H40" i="4"/>
  <c r="F71" i="4"/>
  <c r="F70" i="4"/>
  <c r="F40" i="4"/>
  <c r="I70" i="4"/>
  <c r="I40" i="4"/>
  <c r="I75" i="4" s="1"/>
  <c r="J70" i="4"/>
  <c r="K70" i="4"/>
  <c r="K40" i="4"/>
  <c r="K75" i="4" s="1"/>
  <c r="H33" i="4" l="1"/>
  <c r="H75" i="4" s="1"/>
  <c r="J37" i="3"/>
  <c r="K9" i="3"/>
  <c r="J16" i="3"/>
  <c r="G40" i="4"/>
  <c r="G75" i="4" s="1"/>
  <c r="A29" i="3"/>
  <c r="A30" i="3"/>
  <c r="A31" i="3"/>
  <c r="A32" i="3" s="1"/>
  <c r="A33" i="3" s="1"/>
  <c r="A35" i="3" s="1"/>
  <c r="A37" i="3" s="1"/>
  <c r="A39" i="3" s="1"/>
  <c r="A42" i="3" s="1"/>
  <c r="A43" i="3" s="1"/>
  <c r="A44" i="3" s="1"/>
  <c r="A45" i="3" s="1"/>
  <c r="A53" i="3" s="1"/>
  <c r="A55" i="3" s="1"/>
  <c r="A56" i="3" s="1"/>
  <c r="A57" i="3" s="1"/>
  <c r="A58" i="3" s="1"/>
  <c r="A62" i="3" s="1"/>
  <c r="A63" i="3" s="1"/>
  <c r="A64" i="3" s="1"/>
  <c r="I16" i="3"/>
  <c r="F75" i="4"/>
  <c r="M14" i="3"/>
  <c r="O14" i="3"/>
  <c r="N14" i="3"/>
  <c r="L14" i="3"/>
  <c r="K14" i="3"/>
  <c r="J14" i="3"/>
  <c r="I14" i="3"/>
  <c r="E80" i="4"/>
  <c r="H14" i="3"/>
  <c r="H16" i="3" s="1"/>
  <c r="G14" i="3"/>
  <c r="G16" i="3" s="1"/>
  <c r="E14" i="3"/>
  <c r="E16" i="3" s="1"/>
  <c r="F14" i="3"/>
  <c r="F16" i="3" s="1"/>
  <c r="D14" i="3"/>
  <c r="D16" i="3" s="1"/>
  <c r="D17" i="3" l="1"/>
  <c r="F17" i="3"/>
  <c r="F18" i="3"/>
  <c r="F24" i="3" s="1"/>
  <c r="F39" i="3" s="1"/>
  <c r="F43" i="3" s="1"/>
  <c r="I17" i="3"/>
  <c r="I18" i="3" s="1"/>
  <c r="I24" i="3" s="1"/>
  <c r="I39" i="3" s="1"/>
  <c r="I43" i="3" s="1"/>
  <c r="G17" i="3"/>
  <c r="G18" i="3"/>
  <c r="G24" i="3" s="1"/>
  <c r="G39" i="3" s="1"/>
  <c r="G43" i="3" s="1"/>
  <c r="H17" i="3"/>
  <c r="H18" i="3"/>
  <c r="H24" i="3" s="1"/>
  <c r="H39" i="3" s="1"/>
  <c r="H43" i="3" s="1"/>
  <c r="E17" i="3"/>
  <c r="E18" i="3"/>
  <c r="E24" i="3" s="1"/>
  <c r="E39" i="3" s="1"/>
  <c r="E43" i="3" s="1"/>
  <c r="J17" i="3"/>
  <c r="J18" i="3" s="1"/>
  <c r="J24" i="3" s="1"/>
  <c r="J39" i="3" s="1"/>
  <c r="J43" i="3" s="1"/>
  <c r="K37" i="3"/>
  <c r="K16" i="3"/>
  <c r="L9" i="3"/>
  <c r="L37" i="3" l="1"/>
  <c r="M9" i="3"/>
  <c r="L16" i="3"/>
  <c r="K17" i="3"/>
  <c r="K18" i="3"/>
  <c r="K24" i="3" s="1"/>
  <c r="K39" i="3" s="1"/>
  <c r="K43" i="3" s="1"/>
  <c r="D18" i="3"/>
  <c r="D24" i="3" l="1"/>
  <c r="N9" i="3"/>
  <c r="M16" i="3"/>
  <c r="M37" i="3"/>
  <c r="L17" i="3"/>
  <c r="N16" i="3" l="1"/>
  <c r="N37" i="3"/>
  <c r="O9" i="3"/>
  <c r="L18" i="3"/>
  <c r="M17" i="3"/>
  <c r="D39" i="3"/>
  <c r="L24" i="3" l="1"/>
  <c r="D51" i="3"/>
  <c r="E51" i="3" s="1"/>
  <c r="F51" i="3" s="1"/>
  <c r="G51" i="3" s="1"/>
  <c r="H51" i="3" s="1"/>
  <c r="I51" i="3" s="1"/>
  <c r="P20" i="3"/>
  <c r="F15" i="2" s="1"/>
  <c r="P22" i="3"/>
  <c r="F16" i="2" s="1"/>
  <c r="N17" i="3"/>
  <c r="N18" i="3"/>
  <c r="N24" i="3" s="1"/>
  <c r="N39" i="3" s="1"/>
  <c r="N43" i="3" s="1"/>
  <c r="D43" i="3"/>
  <c r="M18" i="3"/>
  <c r="M24" i="3" s="1"/>
  <c r="M39" i="3" s="1"/>
  <c r="M43" i="3" s="1"/>
  <c r="D45" i="3" l="1"/>
  <c r="E42" i="3" s="1"/>
  <c r="D44" i="3"/>
  <c r="O37" i="3"/>
  <c r="P37" i="3" s="1"/>
  <c r="P35" i="3"/>
  <c r="F18" i="2" s="1"/>
  <c r="L39" i="3"/>
  <c r="O16" i="3"/>
  <c r="P12" i="3"/>
  <c r="O17" i="3" l="1"/>
  <c r="P17" i="3" s="1"/>
  <c r="F14" i="2" s="1"/>
  <c r="O18" i="3"/>
  <c r="P16" i="3"/>
  <c r="F13" i="2" s="1"/>
  <c r="L43" i="3"/>
  <c r="E44" i="3"/>
  <c r="E45" i="3" s="1"/>
  <c r="F42" i="3" s="1"/>
  <c r="F44" i="3" l="1"/>
  <c r="F45" i="3"/>
  <c r="G42" i="3" s="1"/>
  <c r="O24" i="3"/>
  <c r="P18" i="3"/>
  <c r="O39" i="3" l="1"/>
  <c r="P24" i="3"/>
  <c r="G44" i="3"/>
  <c r="G45" i="3" l="1"/>
  <c r="H42" i="3" s="1"/>
  <c r="O43" i="3"/>
  <c r="P43" i="3" s="1"/>
  <c r="P39" i="3"/>
  <c r="H44" i="3" l="1"/>
  <c r="H45" i="3"/>
  <c r="I42" i="3" s="1"/>
  <c r="I44" i="3" l="1"/>
  <c r="I45" i="3" s="1"/>
  <c r="J42" i="3" s="1"/>
  <c r="J44" i="3" l="1"/>
  <c r="J45" i="3"/>
  <c r="K42" i="3" s="1"/>
  <c r="K44" i="3" l="1"/>
  <c r="K45" i="3"/>
  <c r="L42" i="3" s="1"/>
  <c r="L44" i="3" l="1"/>
  <c r="L45" i="3"/>
  <c r="M42" i="3" s="1"/>
  <c r="M44" i="3" l="1"/>
  <c r="M45" i="3" s="1"/>
  <c r="N42" i="3" s="1"/>
  <c r="N44" i="3" l="1"/>
  <c r="N45" i="3"/>
  <c r="O42" i="3" s="1"/>
  <c r="O44" i="3" l="1"/>
  <c r="P44" i="3" s="1"/>
  <c r="F20" i="2" s="1"/>
  <c r="O45" i="3"/>
  <c r="D55" i="3" s="1"/>
  <c r="D57" i="3" l="1"/>
  <c r="D58" i="3" s="1"/>
  <c r="E55" i="3" s="1"/>
  <c r="E57" i="3" l="1"/>
  <c r="E58" i="3" s="1"/>
  <c r="F55" i="3" s="1"/>
  <c r="F57" i="3" l="1"/>
  <c r="F58" i="3" l="1"/>
  <c r="G55" i="3" s="1"/>
  <c r="G57" i="3" l="1"/>
  <c r="G58" i="3" l="1"/>
  <c r="H55" i="3" s="1"/>
  <c r="H57" i="3" l="1"/>
  <c r="J57" i="3" s="1"/>
  <c r="F21" i="2" s="1"/>
  <c r="F22" i="2" s="1"/>
  <c r="H58" i="3"/>
  <c r="I55" i="3" s="1"/>
  <c r="I58" i="3" s="1"/>
</calcChain>
</file>

<file path=xl/sharedStrings.xml><?xml version="1.0" encoding="utf-8"?>
<sst xmlns="http://schemas.openxmlformats.org/spreadsheetml/2006/main" count="190" uniqueCount="122">
  <si>
    <t>Exhibit Index</t>
  </si>
  <si>
    <t>Description:</t>
  </si>
  <si>
    <t>REC Balancing Account (Schedule 98) Filing March 14, 2024</t>
  </si>
  <si>
    <t>Deferral Period:</t>
  </si>
  <si>
    <t>January 1, 2023 - December 31, 2023</t>
  </si>
  <si>
    <t>RMP__(AJR-1)</t>
  </si>
  <si>
    <t>Summary of Utah REC Balancing Account</t>
  </si>
  <si>
    <t>RMP__(AJR-2)</t>
  </si>
  <si>
    <t>Calculation of REC Revenue Deferred Balance - Calendar Year 2023</t>
  </si>
  <si>
    <t>Page 2.1</t>
  </si>
  <si>
    <t>Calculation of Utah Allocated Actual REC Revenue for CY 2023</t>
  </si>
  <si>
    <t>Page 2.2</t>
  </si>
  <si>
    <t>Calculation of Utah CY 2023 Actual Allocation Factors</t>
  </si>
  <si>
    <t>Rocky Mountain Power</t>
  </si>
  <si>
    <t>Utah REC Balancing Account</t>
  </si>
  <si>
    <t>Summary of REC Balancing Account (Schedule 98)</t>
  </si>
  <si>
    <t>Line No.</t>
  </si>
  <si>
    <t>Reference</t>
  </si>
  <si>
    <t>2023 REC Revenue Deferred Balance @ December 31, 2022</t>
  </si>
  <si>
    <t>Docket No. 23-035-15, RMP_(SEM-2), line 21</t>
  </si>
  <si>
    <t>True Up for using actual resource allocations for Nov-Dec 2022</t>
  </si>
  <si>
    <t>AJR-2, Footnote 3</t>
  </si>
  <si>
    <t>OCS 2.7 &amp; OCS 3.4</t>
  </si>
  <si>
    <t>REC Revenue Deferred Balance @ December 31, 2022 in this RBA filing</t>
  </si>
  <si>
    <t>AJR-2, Line 18</t>
  </si>
  <si>
    <t>AJR-2, Line 3</t>
  </si>
  <si>
    <t xml:space="preserve">10% retention incentive on incremental REC sales </t>
  </si>
  <si>
    <t>AJR-2, Line 4</t>
  </si>
  <si>
    <t>AJR-2, Line 6</t>
  </si>
  <si>
    <t>AJR-2, Line 7</t>
  </si>
  <si>
    <t>AJR-2, Line 14</t>
  </si>
  <si>
    <t>AJR-2, Line 15</t>
  </si>
  <si>
    <t>Estimated Schedule 98 Surcharge/(Surcredit) January 2023 to June 2023</t>
  </si>
  <si>
    <t>AJR-2, Line 22</t>
  </si>
  <si>
    <t>AJR-2, Line 20</t>
  </si>
  <si>
    <t>AJR-2, Line 25</t>
  </si>
  <si>
    <t>2024 RBA - Deferral Period</t>
  </si>
  <si>
    <t>Total</t>
  </si>
  <si>
    <t>Actual REC Revenue</t>
  </si>
  <si>
    <t>Total Company REC Revenue</t>
  </si>
  <si>
    <t>SAP Actuals</t>
  </si>
  <si>
    <t>Allocation Rate</t>
  </si>
  <si>
    <t>Utah Allocated</t>
  </si>
  <si>
    <t>Line 1 * Line 2</t>
  </si>
  <si>
    <t xml:space="preserve"> 10% incentive </t>
  </si>
  <si>
    <t>Line 3 * 10%, Footnote 1</t>
  </si>
  <si>
    <t>Net Utah Allocated REC Revenue</t>
  </si>
  <si>
    <t>Line 3 - Line 4</t>
  </si>
  <si>
    <t>Total Utah Allocated REC Revenue</t>
  </si>
  <si>
    <t>Line 5 + Line 6 + Line 7</t>
  </si>
  <si>
    <t>REC Revenue in Rates</t>
  </si>
  <si>
    <t>Docket No. 20-035-04 UT Allocated</t>
  </si>
  <si>
    <t>Footnote 2</t>
  </si>
  <si>
    <t>Line 10 *10%, Footnote 1</t>
  </si>
  <si>
    <t>Utah Allocated REC Revenue less incentive</t>
  </si>
  <si>
    <t>Line 9- Line 10</t>
  </si>
  <si>
    <t xml:space="preserve"> Pryor Mountain REC Revenue</t>
  </si>
  <si>
    <t xml:space="preserve"> Kennecott REC Revenue</t>
  </si>
  <si>
    <t xml:space="preserve">Schedule 98 Surcredits/(Surcharges) </t>
  </si>
  <si>
    <t>Actual Surcredits/(Surcharges) Billed</t>
  </si>
  <si>
    <t>Total in Rates</t>
  </si>
  <si>
    <t>Line 14 + Line 15</t>
  </si>
  <si>
    <t>Monthly Deferral Amount</t>
  </si>
  <si>
    <t>Line 8 - Line 16</t>
  </si>
  <si>
    <t>Footnote 3</t>
  </si>
  <si>
    <t>Monthly Deferral</t>
  </si>
  <si>
    <t>Line 17</t>
  </si>
  <si>
    <t>Carrying Charge</t>
  </si>
  <si>
    <t>Footnotes 4 and 5</t>
  </si>
  <si>
    <t>Line 18 + Line 19 + Line 20</t>
  </si>
  <si>
    <t>Interim Period - Jan - June 2024</t>
  </si>
  <si>
    <t>Beginning Deferral Balance</t>
  </si>
  <si>
    <t>Line 21</t>
  </si>
  <si>
    <t>Monthly Deferral Balance</t>
  </si>
  <si>
    <t>Line 22</t>
  </si>
  <si>
    <t>Footnote 5 &amp; 6</t>
  </si>
  <si>
    <t>Ending Deferral Balance -</t>
  </si>
  <si>
    <t>Line 23 + Line 24 + Line 25</t>
  </si>
  <si>
    <t>Carrying Charge Rates</t>
  </si>
  <si>
    <t>Carrying Charge Rate (Apr 2022- Mar 2023)</t>
  </si>
  <si>
    <t>Footnote 4</t>
  </si>
  <si>
    <t>Carrying Charge Rate (Apr 2023- Mar 2024)</t>
  </si>
  <si>
    <t>Footnote 5</t>
  </si>
  <si>
    <t>Carrying Charge Rate (Apr 2024- Mar 2025)</t>
  </si>
  <si>
    <t>Footnote 6</t>
  </si>
  <si>
    <t>FOOTNOTES:
1) The Stipulation in Docket No. 11-035-200, paragraph 39 permits the Company to retain 10% of Utah-allocated REC revenue received after May 31, 2013, incremental to certain contracts executed before July 1, 2012.  The excludable contracts listed in Exhibit B to the 2012 GRC stipulation terminated during 2012, all REC revenue booked January 1,2022 through December 31, 2022 is eligible for the 10% incentive.    
2) The REC revenue in rates for January 1, 2023 through December 31, 2023 is consistent with Docket No. 23-035-15.
3) The beginning balance shown for January 2023 of $1,670,830 represents the ($4,268) for the true-up for the November 2022 and December 2022 amounts from Docket No. 23-035-15 and the $29,389 from OCS 2.7 and OCS 3.4.
4) The carrying charge of 3.05 percent applied to January 2023 through March 2023 represents the carrying charge determined in Docket No. 22-035-T03 with an effective April 1, 2022 through March 31, 2023.
5) The carrying charge of 4.57 percent applied to April 2023 through March 2024 represents the carrying charge determined in Docket No. 23-035-T02 with an effective April 1, 2023 through March 31, 2024.
6) The carrying charge of 5.34 percent applied to April 2024 through June 2024 represents the carrying charge determined in Docket No. 24-035-T02 with an effective April 1, 2024 through March 31, 2025.
 </t>
  </si>
  <si>
    <t xml:space="preserve"> </t>
  </si>
  <si>
    <t>Factor</t>
  </si>
  <si>
    <t>California</t>
  </si>
  <si>
    <t>Oregon</t>
  </si>
  <si>
    <t>Washington</t>
  </si>
  <si>
    <t>Wyoming</t>
  </si>
  <si>
    <t>Utah</t>
  </si>
  <si>
    <t>Idaho</t>
  </si>
  <si>
    <t>FERC</t>
  </si>
  <si>
    <t>SG</t>
  </si>
  <si>
    <t>Adjustment for RPS/Commission Order</t>
  </si>
  <si>
    <t>Situs</t>
  </si>
  <si>
    <t>(A)</t>
  </si>
  <si>
    <t>(B)</t>
  </si>
  <si>
    <t>C = B / A</t>
  </si>
  <si>
    <t>D = C * A</t>
  </si>
  <si>
    <t>SG Factor</t>
  </si>
  <si>
    <t>Leaning Juniper and Pryor Mountain - amounts booked in SAP</t>
  </si>
  <si>
    <t xml:space="preserve">Utah allocated Leaning Juniper Revenue </t>
  </si>
  <si>
    <t>Coincident Peaks:</t>
  </si>
  <si>
    <t>Year</t>
  </si>
  <si>
    <t>Month</t>
  </si>
  <si>
    <t>Day</t>
  </si>
  <si>
    <t>Hour</t>
  </si>
  <si>
    <t>CA</t>
  </si>
  <si>
    <t>OR</t>
  </si>
  <si>
    <t>WA</t>
  </si>
  <si>
    <t>UT</t>
  </si>
  <si>
    <t>ID</t>
  </si>
  <si>
    <t>WY</t>
  </si>
  <si>
    <t>Total 12 CP</t>
  </si>
  <si>
    <t>System Capacity Factor</t>
  </si>
  <si>
    <t>Energy:</t>
  </si>
  <si>
    <t>Total Energy</t>
  </si>
  <si>
    <t>System Energy Factor</t>
  </si>
  <si>
    <t>System Generation Factor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</si>
</sst>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0_);_(* \(#,##0.0\);_(* &quot;-&quot;??_);_(@_)"/>
    <numFmt numFmtId="167" formatCode="_(* #,##0.0000_);_(* \(#,##0.0000\);_(* &quot;-&quot;??_);_(@_)"/>
    <numFmt numFmtId="168" formatCode="[$-409]mmm\-yy;@"/>
    <numFmt numFmtId="169" formatCode="0.000%"/>
    <numFmt numFmtId="170" formatCode="#,##0.0"/>
    <numFmt numFmtId="171" formatCode="_(* #,##0.0_);_(* \(#,##0.0\);_(* &quot;-&quot;?_);_(@_)"/>
    <numFmt numFmtId="172" formatCode="0.0000%"/>
  </numFmts>
  <fonts count="20" x14ac:knownFonts="1">
    <font>
      <sz val="11"/>
      <color theme="1"/>
      <name val="Calibri"/>
      <family val="2"/>
      <scheme val="minor"/>
    </font>
    <font>
      <sz val="11"/>
      <color theme="1"/>
      <name val="Calibri"/>
      <family val="2"/>
      <scheme val="minor"/>
    </font>
    <font>
      <sz val="10"/>
      <name val="Arial"/>
      <family val="2"/>
    </font>
    <font>
      <b/>
      <sz val="10"/>
      <name val="Arial"/>
      <family val="2"/>
    </font>
    <font>
      <b/>
      <sz val="10"/>
      <name val="Arial Black"/>
      <family val="2"/>
    </font>
    <font>
      <b/>
      <sz val="10"/>
      <color theme="1"/>
      <name val="Arial"/>
      <family val="2"/>
    </font>
    <font>
      <sz val="10"/>
      <color theme="1"/>
      <name val="Arial"/>
      <family val="2"/>
    </font>
    <font>
      <i/>
      <sz val="10"/>
      <color theme="1"/>
      <name val="Arial"/>
      <family val="2"/>
    </font>
    <font>
      <sz val="10"/>
      <color rgb="FF0000FF"/>
      <name val="Arial"/>
      <family val="2"/>
    </font>
    <font>
      <sz val="10"/>
      <color rgb="FFFF0000"/>
      <name val="Arial"/>
      <family val="2"/>
    </font>
    <font>
      <i/>
      <sz val="10"/>
      <name val="Arial"/>
      <family val="2"/>
    </font>
    <font>
      <b/>
      <sz val="10"/>
      <color rgb="FFFF0000"/>
      <name val="Arial"/>
      <family val="2"/>
    </font>
    <font>
      <b/>
      <sz val="10"/>
      <color rgb="FF0000FF"/>
      <name val="Arial"/>
      <family val="2"/>
    </font>
    <font>
      <b/>
      <sz val="8"/>
      <name val="Arial"/>
      <family val="2"/>
    </font>
    <font>
      <sz val="8"/>
      <name val="Arial"/>
      <family val="2"/>
    </font>
    <font>
      <sz val="8"/>
      <name val="Arial"/>
      <family val="2"/>
    </font>
    <font>
      <sz val="12"/>
      <color theme="1"/>
      <name val="Times New Roman"/>
      <family val="1"/>
    </font>
    <font>
      <u/>
      <sz val="10"/>
      <name val="Arial"/>
      <family val="2"/>
    </font>
    <font>
      <sz val="10"/>
      <name val="Arial"/>
      <family val="2"/>
    </font>
    <font>
      <u/>
      <sz val="10"/>
      <name val="Arial"/>
      <family val="2"/>
    </font>
  </fonts>
  <fills count="2">
    <fill>
      <patternFill patternType="none"/>
    </fill>
    <fill>
      <patternFill patternType="gray125"/>
    </fill>
  </fills>
  <borders count="36">
    <border>
      <left/>
      <right/>
      <top/>
      <bottom/>
      <diagonal/>
    </border>
    <border>
      <left/>
      <right/>
      <top/>
      <bottom style="thin">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auto="1"/>
      </top>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top style="thin">
        <color indexed="64"/>
      </top>
      <bottom/>
      <diagonal/>
    </border>
    <border>
      <left/>
      <right/>
      <top/>
      <bottom style="thin">
        <color rgb="FF000000"/>
      </bottom>
      <diagonal/>
    </border>
    <border>
      <left/>
      <right style="thin">
        <color indexed="64"/>
      </right>
      <top style="thin">
        <color rgb="FF000000"/>
      </top>
      <bottom/>
      <diagonal/>
    </border>
    <border>
      <left style="thin">
        <color indexed="64"/>
      </left>
      <right/>
      <top/>
      <bottom style="thin">
        <color rgb="FF000000"/>
      </bottom>
      <diagonal/>
    </border>
    <border>
      <left/>
      <right style="thin">
        <color indexed="64"/>
      </right>
      <top/>
      <bottom style="thin">
        <color rgb="FF000000"/>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s>
  <cellStyleXfs count="12">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44"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cellStyleXfs>
  <cellXfs count="229">
    <xf numFmtId="0" fontId="0" fillId="0" borderId="0" xfId="0"/>
    <xf numFmtId="0" fontId="3" fillId="0" borderId="0" xfId="4" applyFont="1" applyAlignment="1">
      <alignment horizontal="centerContinuous"/>
    </xf>
    <xf numFmtId="0" fontId="2" fillId="0" borderId="0" xfId="4" applyAlignment="1">
      <alignment horizontal="centerContinuous"/>
    </xf>
    <xf numFmtId="0" fontId="2" fillId="0" borderId="0" xfId="4"/>
    <xf numFmtId="0" fontId="3" fillId="0" borderId="0" xfId="4" applyFont="1" applyAlignment="1">
      <alignment horizontal="left" wrapText="1"/>
    </xf>
    <xf numFmtId="0" fontId="3" fillId="0" borderId="0" xfId="4" applyFont="1"/>
    <xf numFmtId="0" fontId="2" fillId="0" borderId="0" xfId="4" applyAlignment="1">
      <alignment horizontal="center" wrapText="1"/>
    </xf>
    <xf numFmtId="0" fontId="2" fillId="0" borderId="0" xfId="4" applyAlignment="1">
      <alignment horizontal="left"/>
    </xf>
    <xf numFmtId="0" fontId="3" fillId="0" borderId="0" xfId="4" applyFont="1" applyAlignment="1">
      <alignment horizontal="center" wrapText="1"/>
    </xf>
    <xf numFmtId="0" fontId="3" fillId="0" borderId="0" xfId="4" applyFont="1" applyAlignment="1">
      <alignment horizontal="left"/>
    </xf>
    <xf numFmtId="0" fontId="2" fillId="0" borderId="0" xfId="4" applyAlignment="1">
      <alignment horizontal="center"/>
    </xf>
    <xf numFmtId="0" fontId="4" fillId="0" borderId="0" xfId="4" applyFont="1" applyAlignment="1">
      <alignment horizontal="center" wrapText="1"/>
    </xf>
    <xf numFmtId="0" fontId="4" fillId="0" borderId="0" xfId="4" applyFont="1" applyAlignment="1">
      <alignment horizontal="left"/>
    </xf>
    <xf numFmtId="0" fontId="5" fillId="0" borderId="0" xfId="0" applyFont="1"/>
    <xf numFmtId="0" fontId="6" fillId="0" borderId="0" xfId="0" applyFont="1"/>
    <xf numFmtId="15" fontId="6" fillId="0" borderId="0" xfId="0" quotePrefix="1" applyNumberFormat="1" applyFont="1"/>
    <xf numFmtId="0" fontId="7" fillId="0" borderId="0" xfId="0" applyFont="1"/>
    <xf numFmtId="164" fontId="6" fillId="0" borderId="0" xfId="0" applyNumberFormat="1" applyFont="1"/>
    <xf numFmtId="0" fontId="6" fillId="0" borderId="0" xfId="0" applyFont="1" applyAlignment="1">
      <alignment horizontal="center"/>
    </xf>
    <xf numFmtId="0" fontId="6" fillId="0" borderId="0" xfId="0" applyFont="1" applyAlignment="1">
      <alignment horizontal="left" indent="1"/>
    </xf>
    <xf numFmtId="164" fontId="2" fillId="0" borderId="0" xfId="2" applyNumberFormat="1" applyFont="1" applyFill="1"/>
    <xf numFmtId="165" fontId="6" fillId="0" borderId="0" xfId="1" applyNumberFormat="1" applyFont="1" applyFill="1"/>
    <xf numFmtId="165" fontId="6" fillId="0" borderId="0" xfId="0" applyNumberFormat="1" applyFont="1"/>
    <xf numFmtId="165" fontId="6" fillId="0" borderId="1" xfId="1" applyNumberFormat="1" applyFont="1" applyFill="1" applyBorder="1"/>
    <xf numFmtId="166" fontId="6" fillId="0" borderId="0" xfId="0" applyNumberFormat="1" applyFont="1"/>
    <xf numFmtId="164" fontId="5" fillId="0" borderId="2" xfId="2" applyNumberFormat="1" applyFont="1" applyFill="1" applyBorder="1"/>
    <xf numFmtId="44" fontId="6" fillId="0" borderId="0" xfId="0" applyNumberFormat="1" applyFont="1"/>
    <xf numFmtId="43" fontId="0" fillId="0" borderId="0" xfId="1" applyFont="1"/>
    <xf numFmtId="43" fontId="6" fillId="0" borderId="0" xfId="1" applyFont="1" applyFill="1" applyBorder="1"/>
    <xf numFmtId="0" fontId="5" fillId="0" borderId="0" xfId="0" applyFont="1" applyAlignment="1">
      <alignment horizontal="center" wrapText="1"/>
    </xf>
    <xf numFmtId="0" fontId="5" fillId="0" borderId="0" xfId="0" applyFont="1" applyAlignment="1">
      <alignment horizontal="center"/>
    </xf>
    <xf numFmtId="165" fontId="8" fillId="0" borderId="0" xfId="1" applyNumberFormat="1" applyFont="1" applyFill="1" applyBorder="1"/>
    <xf numFmtId="165" fontId="6" fillId="0" borderId="0" xfId="1" applyNumberFormat="1" applyFont="1" applyFill="1" applyBorder="1"/>
    <xf numFmtId="0" fontId="3" fillId="0" borderId="0" xfId="0" applyFont="1"/>
    <xf numFmtId="0" fontId="2" fillId="0" borderId="0" xfId="0" applyFont="1"/>
    <xf numFmtId="0" fontId="9" fillId="0" borderId="0" xfId="0" applyFont="1"/>
    <xf numFmtId="0" fontId="10" fillId="0" borderId="0" xfId="0" applyFont="1"/>
    <xf numFmtId="165" fontId="6" fillId="0" borderId="6" xfId="1" applyNumberFormat="1" applyFont="1" applyFill="1" applyBorder="1"/>
    <xf numFmtId="0" fontId="6" fillId="0" borderId="7" xfId="0" applyFont="1" applyBorder="1"/>
    <xf numFmtId="168" fontId="3" fillId="0" borderId="1" xfId="0" applyNumberFormat="1" applyFont="1" applyBorder="1" applyAlignment="1">
      <alignment horizontal="center"/>
    </xf>
    <xf numFmtId="168" fontId="3" fillId="0" borderId="1" xfId="0" applyNumberFormat="1" applyFont="1" applyBorder="1" applyAlignment="1">
      <alignment horizontal="left"/>
    </xf>
    <xf numFmtId="168" fontId="5" fillId="0" borderId="8" xfId="0" applyNumberFormat="1" applyFont="1" applyBorder="1" applyAlignment="1">
      <alignment horizontal="center"/>
    </xf>
    <xf numFmtId="168" fontId="5" fillId="0" borderId="1" xfId="0" applyNumberFormat="1" applyFont="1" applyBorder="1" applyAlignment="1">
      <alignment horizontal="center"/>
    </xf>
    <xf numFmtId="168" fontId="5" fillId="0" borderId="9" xfId="0" applyNumberFormat="1" applyFont="1" applyBorder="1" applyAlignment="1">
      <alignment horizontal="center"/>
    </xf>
    <xf numFmtId="0" fontId="5" fillId="0" borderId="1" xfId="0" applyFont="1" applyBorder="1" applyAlignment="1">
      <alignment horizontal="center"/>
    </xf>
    <xf numFmtId="0" fontId="6" fillId="0" borderId="6" xfId="0" applyFont="1" applyBorder="1"/>
    <xf numFmtId="0" fontId="2" fillId="0" borderId="0" xfId="0" applyFont="1" applyAlignment="1">
      <alignment horizontal="center"/>
    </xf>
    <xf numFmtId="165" fontId="6" fillId="0" borderId="7" xfId="1" applyNumberFormat="1" applyFont="1" applyFill="1" applyBorder="1"/>
    <xf numFmtId="43" fontId="2" fillId="0" borderId="0" xfId="1" applyFont="1" applyFill="1" applyAlignment="1"/>
    <xf numFmtId="0" fontId="2" fillId="0" borderId="0" xfId="0" applyFont="1" applyAlignment="1">
      <alignment horizontal="left"/>
    </xf>
    <xf numFmtId="165" fontId="6" fillId="0" borderId="6" xfId="0" applyNumberFormat="1" applyFont="1" applyBorder="1"/>
    <xf numFmtId="165" fontId="6" fillId="0" borderId="7" xfId="0" applyNumberFormat="1" applyFont="1" applyBorder="1"/>
    <xf numFmtId="165" fontId="9" fillId="0" borderId="0" xfId="0" applyNumberFormat="1" applyFont="1"/>
    <xf numFmtId="10" fontId="6" fillId="0" borderId="6" xfId="0" applyNumberFormat="1" applyFont="1" applyBorder="1"/>
    <xf numFmtId="10" fontId="6" fillId="0" borderId="0" xfId="0" applyNumberFormat="1" applyFont="1"/>
    <xf numFmtId="10" fontId="6" fillId="0" borderId="7" xfId="0" applyNumberFormat="1" applyFont="1" applyBorder="1"/>
    <xf numFmtId="43" fontId="6" fillId="0" borderId="0" xfId="0" applyNumberFormat="1" applyFont="1"/>
    <xf numFmtId="43" fontId="2" fillId="0" borderId="0" xfId="1" applyFont="1" applyFill="1" applyAlignment="1">
      <alignment horizontal="left"/>
    </xf>
    <xf numFmtId="165" fontId="2" fillId="0" borderId="6" xfId="1" applyNumberFormat="1" applyFont="1" applyFill="1" applyBorder="1"/>
    <xf numFmtId="165" fontId="2" fillId="0" borderId="0" xfId="1" applyNumberFormat="1" applyFont="1" applyFill="1" applyBorder="1"/>
    <xf numFmtId="165" fontId="2" fillId="0" borderId="7" xfId="1" applyNumberFormat="1" applyFont="1" applyFill="1" applyBorder="1"/>
    <xf numFmtId="165" fontId="2" fillId="0" borderId="6" xfId="0" applyNumberFormat="1" applyFont="1" applyBorder="1"/>
    <xf numFmtId="43" fontId="3" fillId="0" borderId="0" xfId="1" applyFont="1" applyFill="1" applyAlignment="1"/>
    <xf numFmtId="165" fontId="6" fillId="0" borderId="8" xfId="0" applyNumberFormat="1" applyFont="1" applyBorder="1"/>
    <xf numFmtId="165" fontId="6" fillId="0" borderId="1" xfId="0" applyNumberFormat="1" applyFont="1" applyBorder="1"/>
    <xf numFmtId="165" fontId="6" fillId="0" borderId="9" xfId="0" applyNumberFormat="1" applyFont="1" applyBorder="1"/>
    <xf numFmtId="43" fontId="6" fillId="0" borderId="0" xfId="1" applyFont="1"/>
    <xf numFmtId="0" fontId="9" fillId="0" borderId="0" xfId="0" applyFont="1" applyAlignment="1">
      <alignment horizontal="right"/>
    </xf>
    <xf numFmtId="0" fontId="5" fillId="0" borderId="0" xfId="0" applyFont="1" applyAlignment="1">
      <alignment horizontal="left"/>
    </xf>
    <xf numFmtId="167" fontId="5" fillId="0" borderId="0" xfId="1" applyNumberFormat="1" applyFont="1" applyFill="1" applyBorder="1" applyAlignment="1">
      <alignment horizontal="center"/>
    </xf>
    <xf numFmtId="167" fontId="5" fillId="0" borderId="0" xfId="1" applyNumberFormat="1" applyFont="1" applyFill="1" applyBorder="1" applyAlignment="1"/>
    <xf numFmtId="165" fontId="2" fillId="0" borderId="0" xfId="0" applyNumberFormat="1" applyFont="1"/>
    <xf numFmtId="0" fontId="2" fillId="0" borderId="0" xfId="0" applyFont="1" applyAlignment="1">
      <alignment horizontal="left" indent="1"/>
    </xf>
    <xf numFmtId="0" fontId="3" fillId="0" borderId="0" xfId="0" applyFont="1" applyAlignment="1">
      <alignment horizontal="left"/>
    </xf>
    <xf numFmtId="165" fontId="5" fillId="0" borderId="10" xfId="0" applyNumberFormat="1" applyFont="1" applyBorder="1"/>
    <xf numFmtId="10" fontId="8" fillId="0" borderId="0" xfId="3" applyNumberFormat="1" applyFont="1" applyFill="1" applyBorder="1"/>
    <xf numFmtId="0" fontId="3" fillId="0" borderId="1" xfId="0" applyFont="1" applyBorder="1" applyAlignment="1">
      <alignment horizontal="left"/>
    </xf>
    <xf numFmtId="0" fontId="2" fillId="0" borderId="1" xfId="0" applyFont="1" applyBorder="1"/>
    <xf numFmtId="0" fontId="2" fillId="0" borderId="1" xfId="0" applyFont="1" applyBorder="1" applyAlignment="1">
      <alignment horizontal="left"/>
    </xf>
    <xf numFmtId="0" fontId="11" fillId="0" borderId="0" xfId="0" applyFont="1"/>
    <xf numFmtId="10" fontId="2" fillId="0" borderId="0" xfId="3" applyNumberFormat="1" applyFont="1" applyFill="1"/>
    <xf numFmtId="165" fontId="12" fillId="0" borderId="0" xfId="3" applyNumberFormat="1" applyFont="1" applyFill="1"/>
    <xf numFmtId="10" fontId="8" fillId="0" borderId="0" xfId="3" applyNumberFormat="1" applyFont="1" applyFill="1"/>
    <xf numFmtId="0" fontId="3" fillId="0" borderId="0" xfId="5" applyFont="1"/>
    <xf numFmtId="0" fontId="2" fillId="0" borderId="0" xfId="6"/>
    <xf numFmtId="0" fontId="6" fillId="0" borderId="0" xfId="6" applyFont="1"/>
    <xf numFmtId="0" fontId="10" fillId="0" borderId="0" xfId="4" applyFont="1" applyAlignment="1">
      <alignment horizontal="left"/>
    </xf>
    <xf numFmtId="0" fontId="9" fillId="0" borderId="0" xfId="6" applyFont="1"/>
    <xf numFmtId="0" fontId="2" fillId="0" borderId="0" xfId="5"/>
    <xf numFmtId="0" fontId="9" fillId="0" borderId="0" xfId="5" applyFont="1"/>
    <xf numFmtId="169" fontId="2" fillId="0" borderId="0" xfId="8" applyNumberFormat="1" applyFont="1" applyFill="1"/>
    <xf numFmtId="43" fontId="2" fillId="0" borderId="0" xfId="5" applyNumberFormat="1"/>
    <xf numFmtId="164" fontId="2" fillId="0" borderId="4" xfId="5" applyNumberFormat="1" applyBorder="1"/>
    <xf numFmtId="44" fontId="2" fillId="0" borderId="0" xfId="5" applyNumberFormat="1"/>
    <xf numFmtId="0" fontId="2" fillId="0" borderId="0" xfId="7"/>
    <xf numFmtId="164" fontId="2" fillId="0" borderId="4" xfId="9" applyNumberFormat="1" applyFont="1" applyFill="1" applyBorder="1"/>
    <xf numFmtId="165" fontId="2" fillId="0" borderId="0" xfId="10" applyNumberFormat="1" applyFont="1" applyFill="1" applyBorder="1"/>
    <xf numFmtId="0" fontId="13" fillId="0" borderId="0" xfId="5" applyFont="1" applyAlignment="1">
      <alignment horizontal="left"/>
    </xf>
    <xf numFmtId="0" fontId="2" fillId="0" borderId="0" xfId="5" applyAlignment="1">
      <alignment horizontal="right"/>
    </xf>
    <xf numFmtId="165" fontId="2" fillId="0" borderId="0" xfId="10" applyNumberFormat="1" applyFont="1" applyFill="1"/>
    <xf numFmtId="4" fontId="2" fillId="0" borderId="0" xfId="6" applyNumberFormat="1"/>
    <xf numFmtId="164" fontId="3" fillId="0" borderId="0" xfId="9" applyNumberFormat="1" applyFont="1" applyFill="1" applyBorder="1"/>
    <xf numFmtId="164" fontId="2" fillId="0" borderId="0" xfId="9" applyNumberFormat="1" applyFont="1" applyFill="1" applyBorder="1"/>
    <xf numFmtId="164" fontId="2" fillId="0" borderId="0" xfId="6" applyNumberFormat="1"/>
    <xf numFmtId="164" fontId="3" fillId="0" borderId="4" xfId="6" applyNumberFormat="1" applyFont="1" applyBorder="1"/>
    <xf numFmtId="0" fontId="13" fillId="0" borderId="0" xfId="6" applyFont="1" applyAlignment="1">
      <alignment horizontal="center"/>
    </xf>
    <xf numFmtId="0" fontId="2" fillId="0" borderId="0" xfId="6" applyAlignment="1">
      <alignment horizontal="center"/>
    </xf>
    <xf numFmtId="0" fontId="3" fillId="0" borderId="1" xfId="5" applyFont="1" applyBorder="1" applyAlignment="1">
      <alignment horizontal="center"/>
    </xf>
    <xf numFmtId="165" fontId="3" fillId="0" borderId="1" xfId="11" applyNumberFormat="1" applyFont="1" applyFill="1" applyBorder="1"/>
    <xf numFmtId="0" fontId="3" fillId="0" borderId="0" xfId="5" applyFont="1" applyAlignment="1">
      <alignment horizontal="center"/>
    </xf>
    <xf numFmtId="0" fontId="2" fillId="0" borderId="0" xfId="5" applyAlignment="1">
      <alignment horizontal="center"/>
    </xf>
    <xf numFmtId="169" fontId="2" fillId="0" borderId="0" xfId="5" applyNumberFormat="1" applyAlignment="1">
      <alignment horizontal="center"/>
    </xf>
    <xf numFmtId="169" fontId="2" fillId="0" borderId="0" xfId="6" applyNumberFormat="1"/>
    <xf numFmtId="165" fontId="2" fillId="0" borderId="11" xfId="10" applyNumberFormat="1" applyFont="1" applyFill="1" applyBorder="1" applyAlignment="1">
      <alignment horizontal="center"/>
    </xf>
    <xf numFmtId="165" fontId="2" fillId="0" borderId="12" xfId="10" applyNumberFormat="1" applyFont="1" applyFill="1" applyBorder="1" applyAlignment="1">
      <alignment horizontal="center"/>
    </xf>
    <xf numFmtId="165" fontId="2" fillId="0" borderId="13" xfId="10" applyNumberFormat="1" applyFont="1" applyFill="1" applyBorder="1" applyAlignment="1">
      <alignment horizontal="center"/>
    </xf>
    <xf numFmtId="165" fontId="2" fillId="0" borderId="2" xfId="10" applyNumberFormat="1" applyFont="1" applyFill="1" applyBorder="1" applyAlignment="1">
      <alignment horizontal="center"/>
    </xf>
    <xf numFmtId="165" fontId="2" fillId="0" borderId="14" xfId="10" applyNumberFormat="1" applyFont="1" applyFill="1" applyBorder="1" applyAlignment="1">
      <alignment horizontal="center"/>
    </xf>
    <xf numFmtId="0" fontId="14" fillId="0" borderId="15" xfId="5" applyFont="1" applyBorder="1" applyAlignment="1">
      <alignment horizontal="center"/>
    </xf>
    <xf numFmtId="165" fontId="2" fillId="0" borderId="0" xfId="10" applyNumberFormat="1" applyFont="1" applyFill="1" applyBorder="1" applyAlignment="1">
      <alignment horizontal="center"/>
    </xf>
    <xf numFmtId="165" fontId="2" fillId="0" borderId="16" xfId="10" applyNumberFormat="1" applyFont="1" applyFill="1" applyBorder="1" applyAlignment="1">
      <alignment horizontal="center"/>
    </xf>
    <xf numFmtId="165" fontId="2" fillId="0" borderId="7" xfId="10" applyNumberFormat="1" applyFont="1" applyFill="1" applyBorder="1" applyAlignment="1">
      <alignment horizontal="center"/>
    </xf>
    <xf numFmtId="165" fontId="2" fillId="0" borderId="15" xfId="10" applyNumberFormat="1" applyFont="1" applyFill="1" applyBorder="1"/>
    <xf numFmtId="165" fontId="2" fillId="0" borderId="17" xfId="10" applyNumberFormat="1" applyFont="1" applyFill="1" applyBorder="1"/>
    <xf numFmtId="165" fontId="2" fillId="0" borderId="1" xfId="10" applyNumberFormat="1" applyFont="1" applyFill="1" applyBorder="1" applyAlignment="1">
      <alignment horizontal="center"/>
    </xf>
    <xf numFmtId="165" fontId="2" fillId="0" borderId="18" xfId="10" applyNumberFormat="1" applyFont="1" applyFill="1" applyBorder="1" applyAlignment="1">
      <alignment horizontal="center"/>
    </xf>
    <xf numFmtId="165" fontId="2" fillId="0" borderId="1" xfId="10" applyNumberFormat="1" applyFont="1" applyFill="1" applyBorder="1"/>
    <xf numFmtId="165" fontId="2" fillId="0" borderId="9" xfId="10" applyNumberFormat="1" applyFont="1" applyFill="1" applyBorder="1"/>
    <xf numFmtId="0" fontId="14" fillId="0" borderId="0" xfId="5" applyFont="1" applyAlignment="1">
      <alignment horizontal="center"/>
    </xf>
    <xf numFmtId="0" fontId="14" fillId="0" borderId="16" xfId="5" applyFont="1" applyBorder="1" applyAlignment="1">
      <alignment horizontal="center"/>
    </xf>
    <xf numFmtId="165" fontId="2" fillId="0" borderId="7" xfId="10" applyNumberFormat="1" applyFont="1" applyFill="1" applyBorder="1"/>
    <xf numFmtId="165" fontId="2" fillId="0" borderId="19" xfId="10" applyNumberFormat="1" applyFont="1" applyFill="1" applyBorder="1"/>
    <xf numFmtId="165" fontId="2" fillId="0" borderId="20" xfId="10" applyNumberFormat="1" applyFont="1" applyFill="1" applyBorder="1"/>
    <xf numFmtId="165" fontId="2" fillId="0" borderId="21" xfId="10" applyNumberFormat="1" applyFont="1" applyFill="1" applyBorder="1"/>
    <xf numFmtId="165" fontId="14" fillId="0" borderId="0" xfId="10" applyNumberFormat="1" applyFont="1" applyFill="1" applyBorder="1" applyAlignment="1">
      <alignment horizontal="center"/>
    </xf>
    <xf numFmtId="165" fontId="2" fillId="0" borderId="11" xfId="11" applyNumberFormat="1" applyFont="1" applyFill="1" applyBorder="1" applyAlignment="1">
      <alignment horizontal="center"/>
    </xf>
    <xf numFmtId="165" fontId="2" fillId="0" borderId="13" xfId="11" applyNumberFormat="1" applyFont="1" applyFill="1" applyBorder="1" applyAlignment="1">
      <alignment horizontal="center"/>
    </xf>
    <xf numFmtId="165" fontId="2" fillId="0" borderId="0" xfId="11" applyNumberFormat="1" applyFont="1" applyFill="1" applyBorder="1" applyAlignment="1">
      <alignment horizontal="center"/>
    </xf>
    <xf numFmtId="165" fontId="2" fillId="0" borderId="16" xfId="11" applyNumberFormat="1" applyFont="1" applyFill="1" applyBorder="1" applyAlignment="1">
      <alignment horizontal="center"/>
    </xf>
    <xf numFmtId="165" fontId="2" fillId="0" borderId="7" xfId="11" applyNumberFormat="1" applyFont="1" applyFill="1" applyBorder="1" applyAlignment="1">
      <alignment horizontal="center"/>
    </xf>
    <xf numFmtId="165" fontId="2" fillId="0" borderId="15" xfId="11" applyNumberFormat="1" applyFont="1" applyFill="1" applyBorder="1"/>
    <xf numFmtId="165" fontId="2" fillId="0" borderId="17" xfId="11" applyNumberFormat="1" applyFont="1" applyFill="1" applyBorder="1"/>
    <xf numFmtId="165" fontId="2" fillId="0" borderId="18" xfId="11" applyNumberFormat="1" applyFont="1" applyFill="1" applyBorder="1" applyAlignment="1">
      <alignment horizontal="center"/>
    </xf>
    <xf numFmtId="165" fontId="2" fillId="0" borderId="1" xfId="11" applyNumberFormat="1" applyFont="1" applyFill="1" applyBorder="1" applyAlignment="1">
      <alignment horizontal="center"/>
    </xf>
    <xf numFmtId="165" fontId="2" fillId="0" borderId="1" xfId="11" applyNumberFormat="1" applyFont="1" applyFill="1" applyBorder="1"/>
    <xf numFmtId="165" fontId="2" fillId="0" borderId="9" xfId="11" applyNumberFormat="1" applyFont="1" applyFill="1" applyBorder="1"/>
    <xf numFmtId="165" fontId="2" fillId="0" borderId="0" xfId="11" applyNumberFormat="1" applyFont="1" applyFill="1" applyBorder="1"/>
    <xf numFmtId="165" fontId="2" fillId="0" borderId="7" xfId="11" applyNumberFormat="1" applyFont="1" applyFill="1" applyBorder="1"/>
    <xf numFmtId="165" fontId="2" fillId="0" borderId="19" xfId="11" applyNumberFormat="1" applyFont="1" applyFill="1" applyBorder="1"/>
    <xf numFmtId="165" fontId="2" fillId="0" borderId="21" xfId="11" applyNumberFormat="1" applyFont="1" applyFill="1" applyBorder="1"/>
    <xf numFmtId="165" fontId="14" fillId="0" borderId="0" xfId="11" applyNumberFormat="1" applyFont="1" applyFill="1" applyBorder="1" applyAlignment="1">
      <alignment horizontal="center"/>
    </xf>
    <xf numFmtId="165" fontId="2" fillId="0" borderId="22" xfId="10" applyNumberFormat="1" applyFont="1" applyFill="1" applyBorder="1" applyAlignment="1">
      <alignment horizontal="center"/>
    </xf>
    <xf numFmtId="165" fontId="2" fillId="0" borderId="23" xfId="11" applyNumberFormat="1" applyFont="1" applyFill="1" applyBorder="1" applyAlignment="1">
      <alignment horizontal="center"/>
    </xf>
    <xf numFmtId="165" fontId="2" fillId="0" borderId="24" xfId="11" applyNumberFormat="1" applyFont="1" applyFill="1" applyBorder="1" applyAlignment="1">
      <alignment horizontal="center"/>
    </xf>
    <xf numFmtId="165" fontId="2" fillId="0" borderId="23" xfId="11" applyNumberFormat="1" applyFont="1" applyFill="1" applyBorder="1"/>
    <xf numFmtId="165" fontId="2" fillId="0" borderId="25" xfId="11" applyNumberFormat="1" applyFont="1" applyFill="1" applyBorder="1"/>
    <xf numFmtId="165" fontId="2" fillId="0" borderId="22" xfId="11" applyNumberFormat="1" applyFont="1" applyFill="1" applyBorder="1" applyAlignment="1">
      <alignment horizontal="center"/>
    </xf>
    <xf numFmtId="165" fontId="2" fillId="0" borderId="26" xfId="11" applyNumberFormat="1" applyFont="1" applyFill="1" applyBorder="1" applyAlignment="1">
      <alignment horizontal="center"/>
    </xf>
    <xf numFmtId="165" fontId="2" fillId="0" borderId="27" xfId="11" applyNumberFormat="1" applyFont="1" applyFill="1" applyBorder="1" applyAlignment="1">
      <alignment horizontal="center"/>
    </xf>
    <xf numFmtId="165" fontId="2" fillId="0" borderId="2" xfId="11" applyNumberFormat="1" applyFont="1" applyFill="1" applyBorder="1" applyAlignment="1">
      <alignment horizontal="center"/>
    </xf>
    <xf numFmtId="165" fontId="2" fillId="0" borderId="14" xfId="11" applyNumberFormat="1" applyFont="1" applyFill="1" applyBorder="1" applyAlignment="1">
      <alignment horizontal="center"/>
    </xf>
    <xf numFmtId="0" fontId="14" fillId="0" borderId="23" xfId="5" applyFont="1" applyBorder="1" applyAlignment="1">
      <alignment horizontal="center"/>
    </xf>
    <xf numFmtId="165" fontId="2" fillId="0" borderId="15" xfId="11" applyNumberFormat="1" applyFont="1" applyFill="1" applyBorder="1" applyAlignment="1">
      <alignment horizontal="center"/>
    </xf>
    <xf numFmtId="165" fontId="2" fillId="0" borderId="24" xfId="11" applyNumberFormat="1" applyFont="1" applyFill="1" applyBorder="1"/>
    <xf numFmtId="165" fontId="2" fillId="0" borderId="17" xfId="11" applyNumberFormat="1" applyFont="1" applyFill="1" applyBorder="1" applyAlignment="1">
      <alignment horizontal="center"/>
    </xf>
    <xf numFmtId="165" fontId="2" fillId="0" borderId="16" xfId="11" applyNumberFormat="1" applyFont="1" applyFill="1" applyBorder="1"/>
    <xf numFmtId="165" fontId="14" fillId="0" borderId="28" xfId="11" applyNumberFormat="1" applyFont="1" applyFill="1" applyBorder="1" applyAlignment="1">
      <alignment horizontal="center"/>
    </xf>
    <xf numFmtId="165" fontId="15" fillId="0" borderId="28" xfId="11" applyNumberFormat="1" applyFont="1" applyBorder="1" applyAlignment="1">
      <alignment horizontal="center"/>
    </xf>
    <xf numFmtId="165" fontId="15" fillId="0" borderId="0" xfId="11" applyNumberFormat="1" applyFont="1" applyBorder="1" applyAlignment="1">
      <alignment horizontal="center"/>
    </xf>
    <xf numFmtId="165" fontId="2" fillId="0" borderId="6" xfId="6" applyNumberFormat="1" applyBorder="1"/>
    <xf numFmtId="165" fontId="2" fillId="0" borderId="0" xfId="6" applyNumberFormat="1"/>
    <xf numFmtId="165" fontId="2" fillId="0" borderId="29" xfId="6" applyNumberFormat="1" applyBorder="1"/>
    <xf numFmtId="165" fontId="2" fillId="0" borderId="30" xfId="6" applyNumberFormat="1" applyBorder="1"/>
    <xf numFmtId="165" fontId="2" fillId="0" borderId="28" xfId="6" applyNumberFormat="1" applyBorder="1"/>
    <xf numFmtId="165" fontId="2" fillId="0" borderId="31" xfId="6" applyNumberFormat="1" applyBorder="1"/>
    <xf numFmtId="165" fontId="2" fillId="0" borderId="3" xfId="6" applyNumberFormat="1" applyBorder="1"/>
    <xf numFmtId="165" fontId="2" fillId="0" borderId="4" xfId="6" applyNumberFormat="1" applyBorder="1"/>
    <xf numFmtId="165" fontId="2" fillId="0" borderId="5" xfId="6" applyNumberFormat="1" applyBorder="1"/>
    <xf numFmtId="0" fontId="3" fillId="0" borderId="4" xfId="5" applyFont="1" applyBorder="1"/>
    <xf numFmtId="0" fontId="2" fillId="0" borderId="4" xfId="6" applyBorder="1"/>
    <xf numFmtId="165" fontId="3" fillId="0" borderId="32" xfId="6" applyNumberFormat="1" applyFont="1" applyBorder="1"/>
    <xf numFmtId="165" fontId="3" fillId="0" borderId="33" xfId="6" applyNumberFormat="1" applyFont="1" applyBorder="1"/>
    <xf numFmtId="165" fontId="3" fillId="0" borderId="34" xfId="6" applyNumberFormat="1" applyFont="1" applyBorder="1"/>
    <xf numFmtId="165" fontId="3" fillId="0" borderId="0" xfId="6" applyNumberFormat="1" applyFont="1"/>
    <xf numFmtId="165" fontId="3" fillId="0" borderId="0" xfId="4" applyNumberFormat="1" applyFont="1" applyAlignment="1">
      <alignment horizontal="center"/>
    </xf>
    <xf numFmtId="165" fontId="2" fillId="0" borderId="0" xfId="4" applyNumberFormat="1" applyAlignment="1">
      <alignment horizontal="center"/>
    </xf>
    <xf numFmtId="0" fontId="13" fillId="0" borderId="0" xfId="5" applyFont="1" applyAlignment="1">
      <alignment horizontal="center"/>
    </xf>
    <xf numFmtId="0" fontId="9" fillId="0" borderId="0" xfId="6" applyFont="1" applyAlignment="1">
      <alignment horizontal="right"/>
    </xf>
    <xf numFmtId="169" fontId="9" fillId="0" borderId="0" xfId="8" applyNumberFormat="1" applyFont="1" applyFill="1"/>
    <xf numFmtId="0" fontId="3" fillId="0" borderId="0" xfId="7" applyFont="1" applyAlignment="1">
      <alignment horizontal="center"/>
    </xf>
    <xf numFmtId="165" fontId="3" fillId="0" borderId="1" xfId="4" applyNumberFormat="1" applyFont="1" applyBorder="1"/>
    <xf numFmtId="166" fontId="2" fillId="0" borderId="0" xfId="6" applyNumberFormat="1"/>
    <xf numFmtId="10" fontId="6" fillId="0" borderId="0" xfId="8" applyNumberFormat="1" applyFont="1"/>
    <xf numFmtId="165" fontId="2" fillId="0" borderId="0" xfId="4" quotePrefix="1" applyNumberFormat="1" applyAlignment="1">
      <alignment horizontal="left"/>
    </xf>
    <xf numFmtId="165" fontId="6" fillId="0" borderId="0" xfId="1" applyNumberFormat="1" applyFont="1"/>
    <xf numFmtId="165" fontId="5" fillId="0" borderId="0" xfId="1" quotePrefix="1" applyNumberFormat="1" applyFont="1" applyBorder="1" applyAlignment="1">
      <alignment horizontal="center"/>
    </xf>
    <xf numFmtId="165" fontId="5" fillId="0" borderId="1" xfId="1" quotePrefix="1" applyNumberFormat="1" applyFont="1" applyBorder="1" applyAlignment="1">
      <alignment horizontal="center"/>
    </xf>
    <xf numFmtId="10" fontId="6" fillId="0" borderId="0" xfId="3" applyNumberFormat="1" applyFont="1" applyAlignment="1">
      <alignment horizontal="center"/>
    </xf>
    <xf numFmtId="4" fontId="16" fillId="0" borderId="0" xfId="0" applyNumberFormat="1" applyFont="1"/>
    <xf numFmtId="165" fontId="2" fillId="0" borderId="0" xfId="1" applyNumberFormat="1" applyFont="1"/>
    <xf numFmtId="0" fontId="3" fillId="0" borderId="0" xfId="0" quotePrefix="1" applyFont="1" applyAlignment="1">
      <alignment horizontal="center"/>
    </xf>
    <xf numFmtId="0" fontId="17" fillId="0" borderId="0" xfId="4" applyFont="1" applyAlignment="1">
      <alignment horizontal="center"/>
    </xf>
    <xf numFmtId="170" fontId="2" fillId="0" borderId="0" xfId="0" applyNumberFormat="1" applyFont="1"/>
    <xf numFmtId="0" fontId="18" fillId="0" borderId="0" xfId="0" applyFont="1"/>
    <xf numFmtId="165" fontId="18" fillId="0" borderId="0" xfId="0" applyNumberFormat="1" applyFont="1" applyAlignment="1" applyProtection="1">
      <alignment horizontal="center"/>
      <protection locked="0"/>
    </xf>
    <xf numFmtId="170" fontId="18" fillId="0" borderId="0" xfId="0" applyNumberFormat="1" applyFont="1"/>
    <xf numFmtId="166" fontId="2" fillId="0" borderId="0" xfId="0" applyNumberFormat="1" applyFont="1"/>
    <xf numFmtId="171" fontId="2" fillId="0" borderId="0" xfId="0" applyNumberFormat="1" applyFont="1"/>
    <xf numFmtId="43" fontId="2" fillId="0" borderId="0" xfId="0" applyNumberFormat="1" applyFont="1"/>
    <xf numFmtId="165" fontId="2" fillId="0" borderId="35" xfId="1" applyNumberFormat="1" applyFont="1" applyBorder="1"/>
    <xf numFmtId="165" fontId="18" fillId="0" borderId="0" xfId="1" applyNumberFormat="1" applyFont="1" applyBorder="1"/>
    <xf numFmtId="165" fontId="18" fillId="0" borderId="0" xfId="0" applyNumberFormat="1" applyFont="1"/>
    <xf numFmtId="172" fontId="2" fillId="0" borderId="0" xfId="8" applyNumberFormat="1" applyFont="1"/>
    <xf numFmtId="43" fontId="2" fillId="0" borderId="0" xfId="1" applyFont="1"/>
    <xf numFmtId="165" fontId="2" fillId="0" borderId="0" xfId="10" applyNumberFormat="1" applyFont="1"/>
    <xf numFmtId="0" fontId="19" fillId="0" borderId="0" xfId="4" applyFont="1" applyAlignment="1">
      <alignment horizontal="center"/>
    </xf>
    <xf numFmtId="165" fontId="2" fillId="0" borderId="35" xfId="0" applyNumberFormat="1" applyFont="1" applyBorder="1"/>
    <xf numFmtId="172" fontId="3" fillId="0" borderId="22" xfId="8" applyNumberFormat="1" applyFont="1" applyBorder="1"/>
    <xf numFmtId="169" fontId="2" fillId="0" borderId="0" xfId="8" applyNumberFormat="1" applyFont="1"/>
    <xf numFmtId="172" fontId="3" fillId="0" borderId="25" xfId="8" applyNumberFormat="1" applyFont="1" applyBorder="1"/>
    <xf numFmtId="172" fontId="2" fillId="0" borderId="0" xfId="0" applyNumberFormat="1" applyFont="1"/>
    <xf numFmtId="172" fontId="2" fillId="0" borderId="0" xfId="1" applyNumberFormat="1" applyFont="1"/>
    <xf numFmtId="0" fontId="17" fillId="0" borderId="0" xfId="0" applyFont="1" applyAlignment="1">
      <alignment horizontal="right"/>
    </xf>
    <xf numFmtId="0" fontId="2" fillId="0" borderId="0" xfId="0" applyFont="1" applyAlignment="1">
      <alignment horizontal="right"/>
    </xf>
    <xf numFmtId="165" fontId="0" fillId="0" borderId="0" xfId="0" applyNumberFormat="1"/>
    <xf numFmtId="167" fontId="5" fillId="0" borderId="3" xfId="1" applyNumberFormat="1" applyFont="1" applyFill="1" applyBorder="1" applyAlignment="1">
      <alignment horizontal="center"/>
    </xf>
    <xf numFmtId="167" fontId="5" fillId="0" borderId="4" xfId="1" applyNumberFormat="1" applyFont="1" applyFill="1" applyBorder="1" applyAlignment="1">
      <alignment horizontal="center"/>
    </xf>
    <xf numFmtId="167" fontId="5" fillId="0" borderId="5" xfId="1" applyNumberFormat="1" applyFont="1" applyFill="1" applyBorder="1" applyAlignment="1">
      <alignment horizontal="center"/>
    </xf>
    <xf numFmtId="0" fontId="2" fillId="0" borderId="0" xfId="0" applyFont="1" applyAlignment="1">
      <alignment horizontal="left" wrapText="1" indent="2"/>
    </xf>
  </cellXfs>
  <cellStyles count="12">
    <cellStyle name="Comma" xfId="1" builtinId="3"/>
    <cellStyle name="Comma 10" xfId="10" xr:uid="{FE89DD88-E294-4513-BCAB-D0DF2CAF8937}"/>
    <cellStyle name="Comma 2 2 2" xfId="11" xr:uid="{CBDA0BB3-ADCE-4F11-9ADC-F0028AA878FD}"/>
    <cellStyle name="Currency" xfId="2" builtinId="4"/>
    <cellStyle name="Currency 2 2 2" xfId="9" xr:uid="{7C008D6F-CC40-4C0C-B00C-DD9A9AA1172E}"/>
    <cellStyle name="Normal" xfId="0" builtinId="0"/>
    <cellStyle name="Normal 11 2" xfId="4" xr:uid="{85BC02F1-5914-45A4-AFE2-46EC8A44310F}"/>
    <cellStyle name="Normal 19" xfId="6" xr:uid="{535C345D-5B3E-4B3C-A9C8-C2C8F1388E8E}"/>
    <cellStyle name="Normal 2 2" xfId="5" xr:uid="{0209D9DE-4891-4002-BE53-E1DFA807E20B}"/>
    <cellStyle name="Normal 2 2 2" xfId="7" xr:uid="{92ACE918-D4B0-4183-9333-80165170B791}"/>
    <cellStyle name="Percent" xfId="3" builtinId="5"/>
    <cellStyle name="Percent 2 2 2" xfId="8" xr:uid="{17412898-BC7B-4E81-ABF0-2A4738A4D0D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0</xdr:col>
      <xdr:colOff>0</xdr:colOff>
      <xdr:row>88</xdr:row>
      <xdr:rowOff>95250</xdr:rowOff>
    </xdr:from>
    <xdr:to>
      <xdr:col>13</xdr:col>
      <xdr:colOff>3176</xdr:colOff>
      <xdr:row>92</xdr:row>
      <xdr:rowOff>3175</xdr:rowOff>
    </xdr:to>
    <xdr:sp macro="" textlink="">
      <xdr:nvSpPr>
        <xdr:cNvPr id="2" name="TextBox 1">
          <a:extLst>
            <a:ext uri="{FF2B5EF4-FFF2-40B4-BE49-F238E27FC236}">
              <a16:creationId xmlns:a16="http://schemas.microsoft.com/office/drawing/2014/main" id="{D39C6C7B-C15E-47D2-81E0-D7A1431421E4}"/>
            </a:ext>
          </a:extLst>
        </xdr:cNvPr>
        <xdr:cNvSpPr txBox="1"/>
      </xdr:nvSpPr>
      <xdr:spPr>
        <a:xfrm>
          <a:off x="0" y="14525625"/>
          <a:ext cx="13776326" cy="5556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defRPr/>
          </a:pPr>
          <a:r>
            <a:rPr lang="en-US" sz="1000">
              <a:solidFill>
                <a:schemeClr val="dk1"/>
              </a:solidFill>
              <a:latin typeface="Arial" pitchFamily="34" charset="0"/>
              <a:ea typeface="+mn-ea"/>
              <a:cs typeface="Arial" pitchFamily="34" charset="0"/>
            </a:rPr>
            <a:t>1) </a:t>
          </a:r>
          <a:r>
            <a:rPr lang="en-US" sz="1000" baseline="0">
              <a:solidFill>
                <a:schemeClr val="dk1"/>
              </a:solidFill>
              <a:latin typeface="Arial" pitchFamily="34" charset="0"/>
              <a:ea typeface="+mn-ea"/>
              <a:cs typeface="Arial" pitchFamily="34" charset="0"/>
            </a:rPr>
            <a:t>Exhibit RMP__(MRH-1) provides the actual 2023 REC sales by vintage and resource. </a:t>
          </a:r>
          <a:endParaRPr lang="en-US" sz="1000">
            <a:solidFill>
              <a:schemeClr val="dk1"/>
            </a:solidFill>
            <a:latin typeface="Arial" pitchFamily="34" charset="0"/>
            <a:ea typeface="+mn-ea"/>
            <a:cs typeface="Arial" pitchFamily="34" charset="0"/>
          </a:endParaRPr>
        </a:p>
      </xdr:txBody>
    </xdr:sp>
    <xdr:clientData/>
  </xdr:twoCellAnchor>
</xdr:wsDr>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EEACE7-E608-453C-AA0E-D761929247B4}">
  <dimension ref="A2:B30"/>
  <sheetViews>
    <sheetView view="pageBreakPreview" zoomScaleNormal="100" zoomScaleSheetLayoutView="100" workbookViewId="0">
      <selection activeCell="B14" sqref="B14"/>
    </sheetView>
  </sheetViews>
  <sheetFormatPr defaultColWidth="9.140625" defaultRowHeight="12.75" x14ac:dyDescent="0.2"/>
  <cols>
    <col min="1" max="1" width="18" style="3" customWidth="1"/>
    <col min="2" max="2" width="75" style="3" customWidth="1"/>
    <col min="3" max="3" width="8.140625" style="3" customWidth="1"/>
    <col min="4" max="16384" width="9.140625" style="3"/>
  </cols>
  <sheetData>
    <row r="2" spans="1:2" x14ac:dyDescent="0.2">
      <c r="A2" s="1" t="s">
        <v>0</v>
      </c>
      <c r="B2" s="2"/>
    </row>
    <row r="3" spans="1:2" x14ac:dyDescent="0.2">
      <c r="A3" s="4" t="s">
        <v>1</v>
      </c>
      <c r="B3" s="5" t="s">
        <v>2</v>
      </c>
    </row>
    <row r="4" spans="1:2" x14ac:dyDescent="0.2">
      <c r="A4" s="4" t="s">
        <v>3</v>
      </c>
      <c r="B4" s="5" t="s">
        <v>4</v>
      </c>
    </row>
    <row r="5" spans="1:2" x14ac:dyDescent="0.2">
      <c r="A5" s="6"/>
      <c r="B5" s="7"/>
    </row>
    <row r="6" spans="1:2" x14ac:dyDescent="0.2">
      <c r="A6" s="6"/>
      <c r="B6" s="7"/>
    </row>
    <row r="7" spans="1:2" x14ac:dyDescent="0.2">
      <c r="A7" s="8" t="s">
        <v>5</v>
      </c>
      <c r="B7" s="9" t="s">
        <v>6</v>
      </c>
    </row>
    <row r="8" spans="1:2" x14ac:dyDescent="0.2">
      <c r="A8" s="8" t="s">
        <v>7</v>
      </c>
      <c r="B8" s="9" t="s">
        <v>8</v>
      </c>
    </row>
    <row r="9" spans="1:2" x14ac:dyDescent="0.2">
      <c r="A9" s="10" t="s">
        <v>9</v>
      </c>
      <c r="B9" s="7" t="s">
        <v>10</v>
      </c>
    </row>
    <row r="10" spans="1:2" x14ac:dyDescent="0.2">
      <c r="A10" s="10" t="s">
        <v>11</v>
      </c>
      <c r="B10" s="7" t="s">
        <v>12</v>
      </c>
    </row>
    <row r="14" spans="1:2" ht="15" x14ac:dyDescent="0.3">
      <c r="A14" s="11"/>
      <c r="B14" s="12"/>
    </row>
    <row r="15" spans="1:2" x14ac:dyDescent="0.2">
      <c r="A15" s="10"/>
    </row>
    <row r="16" spans="1:2" x14ac:dyDescent="0.2">
      <c r="A16" s="10"/>
    </row>
    <row r="17" spans="1:2" x14ac:dyDescent="0.2">
      <c r="A17" s="10"/>
    </row>
    <row r="18" spans="1:2" x14ac:dyDescent="0.2">
      <c r="A18" s="10"/>
    </row>
    <row r="19" spans="1:2" x14ac:dyDescent="0.2">
      <c r="A19" s="10"/>
    </row>
    <row r="21" spans="1:2" ht="15" x14ac:dyDescent="0.3">
      <c r="A21" s="11"/>
      <c r="B21" s="12"/>
    </row>
    <row r="22" spans="1:2" x14ac:dyDescent="0.2">
      <c r="A22" s="10"/>
    </row>
    <row r="23" spans="1:2" x14ac:dyDescent="0.2">
      <c r="A23" s="10"/>
    </row>
    <row r="24" spans="1:2" x14ac:dyDescent="0.2">
      <c r="A24" s="10"/>
    </row>
    <row r="25" spans="1:2" x14ac:dyDescent="0.2">
      <c r="A25" s="10"/>
    </row>
    <row r="28" spans="1:2" ht="15" x14ac:dyDescent="0.3">
      <c r="A28" s="11"/>
      <c r="B28" s="12"/>
    </row>
    <row r="30" spans="1:2" x14ac:dyDescent="0.2">
      <c r="A30" s="10"/>
    </row>
  </sheetData>
  <pageMargins left="1" right="0.25" top="0.75" bottom="0.45" header="0.3" footer="0.1"/>
  <pageSetup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CCA02F-2E17-4EB3-BEAE-D13A1C12302B}">
  <sheetPr>
    <tabColor rgb="FF00B0F0"/>
  </sheetPr>
  <dimension ref="A1:I120"/>
  <sheetViews>
    <sheetView tabSelected="1" view="pageLayout" zoomScaleNormal="115" zoomScaleSheetLayoutView="100" workbookViewId="0">
      <selection activeCell="A3" sqref="A3"/>
    </sheetView>
  </sheetViews>
  <sheetFormatPr defaultColWidth="9.140625" defaultRowHeight="12.75" x14ac:dyDescent="0.2"/>
  <cols>
    <col min="1" max="1" width="9.42578125" style="14" customWidth="1"/>
    <col min="2" max="4" width="9.140625" style="14"/>
    <col min="5" max="5" width="57.140625" style="14" customWidth="1"/>
    <col min="6" max="6" width="17" style="14" bestFit="1" customWidth="1"/>
    <col min="7" max="7" width="46.140625" style="14" bestFit="1" customWidth="1"/>
    <col min="8" max="8" width="15.7109375" style="14" customWidth="1"/>
    <col min="9" max="9" width="8.5703125" style="14" bestFit="1" customWidth="1"/>
    <col min="10" max="10" width="8.42578125" style="14" customWidth="1"/>
    <col min="11" max="16384" width="9.140625" style="14"/>
  </cols>
  <sheetData>
    <row r="1" spans="1:9" x14ac:dyDescent="0.2">
      <c r="A1" s="13" t="s">
        <v>13</v>
      </c>
    </row>
    <row r="2" spans="1:9" x14ac:dyDescent="0.2">
      <c r="A2" s="13" t="s">
        <v>14</v>
      </c>
    </row>
    <row r="3" spans="1:9" x14ac:dyDescent="0.2">
      <c r="A3" s="15">
        <v>45366</v>
      </c>
    </row>
    <row r="5" spans="1:9" x14ac:dyDescent="0.2">
      <c r="A5" s="16" t="s">
        <v>15</v>
      </c>
    </row>
    <row r="6" spans="1:9" x14ac:dyDescent="0.2">
      <c r="A6" s="16"/>
    </row>
    <row r="7" spans="1:9" x14ac:dyDescent="0.2">
      <c r="A7" s="13" t="s">
        <v>16</v>
      </c>
      <c r="G7" s="13" t="s">
        <v>17</v>
      </c>
      <c r="I7" s="17"/>
    </row>
    <row r="8" spans="1:9" x14ac:dyDescent="0.2">
      <c r="A8" s="18"/>
      <c r="B8" s="13" t="str">
        <f>YEAR(A3)&amp;" RBA Deferral Balance Calculation:"</f>
        <v>2024 RBA Deferral Balance Calculation:</v>
      </c>
      <c r="H8" s="17"/>
    </row>
    <row r="9" spans="1:9" x14ac:dyDescent="0.2">
      <c r="A9" s="18">
        <v>1</v>
      </c>
      <c r="B9" s="19" t="s">
        <v>18</v>
      </c>
      <c r="F9" s="20">
        <v>1645708.8061446201</v>
      </c>
      <c r="G9" s="14" t="s">
        <v>19</v>
      </c>
      <c r="H9" s="17"/>
    </row>
    <row r="10" spans="1:9" x14ac:dyDescent="0.2">
      <c r="A10" s="18">
        <f>+A9+1</f>
        <v>2</v>
      </c>
      <c r="B10" s="19" t="s">
        <v>20</v>
      </c>
      <c r="F10" s="21">
        <v>-4267.6381541446317</v>
      </c>
      <c r="G10" s="14" t="s">
        <v>21</v>
      </c>
      <c r="I10" s="22"/>
    </row>
    <row r="11" spans="1:9" x14ac:dyDescent="0.2">
      <c r="A11" s="18">
        <f t="shared" ref="A11:A12" si="0">+A10+1</f>
        <v>3</v>
      </c>
      <c r="B11" s="19" t="s">
        <v>22</v>
      </c>
      <c r="F11" s="23">
        <v>29389.016649737488</v>
      </c>
      <c r="G11" s="14" t="s">
        <v>21</v>
      </c>
      <c r="H11" s="17"/>
    </row>
    <row r="12" spans="1:9" x14ac:dyDescent="0.2">
      <c r="A12" s="18">
        <f t="shared" si="0"/>
        <v>4</v>
      </c>
      <c r="B12" s="19" t="s">
        <v>23</v>
      </c>
      <c r="F12" s="21">
        <f>SUM(F9:F11)</f>
        <v>1670830.1846402129</v>
      </c>
      <c r="G12" s="14" t="s">
        <v>24</v>
      </c>
    </row>
    <row r="13" spans="1:9" x14ac:dyDescent="0.2">
      <c r="A13" s="18">
        <f>+A12+1</f>
        <v>5</v>
      </c>
      <c r="B13" s="19" t="str">
        <f>YEAR(A3)-1&amp;" Actual REC Revenue"</f>
        <v>2023 Actual REC Revenue</v>
      </c>
      <c r="F13" s="21">
        <f>'RMP_(AJR-2)'!P16</f>
        <v>6430130.4383420777</v>
      </c>
      <c r="G13" s="14" t="s">
        <v>25</v>
      </c>
      <c r="H13" s="24"/>
    </row>
    <row r="14" spans="1:9" x14ac:dyDescent="0.2">
      <c r="A14" s="18">
        <f t="shared" ref="A14:A22" si="1">+A13+1</f>
        <v>6</v>
      </c>
      <c r="B14" s="19" t="s">
        <v>26</v>
      </c>
      <c r="F14" s="21">
        <f>-'RMP_(AJR-2)'!P17</f>
        <v>-643013.04383420781</v>
      </c>
      <c r="G14" s="14" t="s">
        <v>27</v>
      </c>
    </row>
    <row r="15" spans="1:9" x14ac:dyDescent="0.2">
      <c r="A15" s="18">
        <f t="shared" si="1"/>
        <v>7</v>
      </c>
      <c r="B15" s="19" t="str">
        <f>YEAR(A3)-1&amp;" Leaning Juniper Wind Wake loss Revenue and Pryor Mountain Revenue"</f>
        <v>2023 Leaning Juniper Wind Wake loss Revenue and Pryor Mountain Revenue</v>
      </c>
      <c r="F15" s="21">
        <f>'RMP_(AJR-2)'!P20</f>
        <v>336668.85194482357</v>
      </c>
      <c r="G15" s="14" t="s">
        <v>28</v>
      </c>
    </row>
    <row r="16" spans="1:9" x14ac:dyDescent="0.2">
      <c r="A16" s="18">
        <f t="shared" si="1"/>
        <v>8</v>
      </c>
      <c r="B16" s="19" t="str">
        <f>YEAR(A3)-1&amp;" Kennecott Contract Revenue"</f>
        <v>2023 Kennecott Contract Revenue</v>
      </c>
      <c r="F16" s="21">
        <f>'RMP_(AJR-2)'!P22</f>
        <v>600000</v>
      </c>
      <c r="G16" s="14" t="s">
        <v>29</v>
      </c>
    </row>
    <row r="17" spans="1:7" x14ac:dyDescent="0.2">
      <c r="A17" s="18">
        <f t="shared" si="1"/>
        <v>9</v>
      </c>
      <c r="B17" s="19" t="str">
        <f>YEAR(A3)-1&amp;" REC Revenues in Base Rates"</f>
        <v>2023 REC Revenues in Base Rates</v>
      </c>
      <c r="F17" s="21">
        <f>-'RMP_(AJR-2)'!P33</f>
        <v>-3571690.847460045</v>
      </c>
      <c r="G17" s="14" t="s">
        <v>30</v>
      </c>
    </row>
    <row r="18" spans="1:7" x14ac:dyDescent="0.2">
      <c r="A18" s="18">
        <f t="shared" si="1"/>
        <v>10</v>
      </c>
      <c r="B18" s="19" t="str">
        <f>YEAR(A3)-1&amp;" Schedule 98 Surcharge/(Surcredit)"</f>
        <v>2023 Schedule 98 Surcharge/(Surcredit)</v>
      </c>
      <c r="F18" s="21">
        <f>-'RMP_(AJR-2)'!P35</f>
        <v>-1358030.4000000001</v>
      </c>
      <c r="G18" s="14" t="s">
        <v>31</v>
      </c>
    </row>
    <row r="19" spans="1:7" x14ac:dyDescent="0.2">
      <c r="A19" s="18">
        <f t="shared" si="1"/>
        <v>11</v>
      </c>
      <c r="B19" s="19" t="s">
        <v>32</v>
      </c>
      <c r="F19" s="21">
        <f>-'RMP_(AJR-2)'!J53</f>
        <v>-434125.02</v>
      </c>
      <c r="G19" s="14" t="s">
        <v>33</v>
      </c>
    </row>
    <row r="20" spans="1:7" x14ac:dyDescent="0.2">
      <c r="A20" s="18">
        <f t="shared" si="1"/>
        <v>12</v>
      </c>
      <c r="B20" s="19" t="str">
        <f>"Carrying Charges for Deferral Period (January - December "&amp;YEAR(A3)-1&amp;")"</f>
        <v>Carrying Charges for Deferral Period (January - December 2023)</v>
      </c>
      <c r="F20" s="21">
        <f>'RMP_(AJR-2)'!P44</f>
        <v>157050.66143593556</v>
      </c>
      <c r="G20" s="14" t="s">
        <v>34</v>
      </c>
    </row>
    <row r="21" spans="1:7" x14ac:dyDescent="0.2">
      <c r="A21" s="18">
        <f t="shared" si="1"/>
        <v>13</v>
      </c>
      <c r="B21" s="19" t="str">
        <f>"Carrying Charges for Interim Period (January "&amp;YEAR(A3)&amp;" - May "&amp;YEAR(A3)&amp;")"</f>
        <v>Carrying Charges for Interim Period (January 2024 - May 2024)</v>
      </c>
      <c r="F21" s="21">
        <f>'RMP_(AJR-2)'!J57</f>
        <v>69840.109781188759</v>
      </c>
      <c r="G21" s="14" t="s">
        <v>35</v>
      </c>
    </row>
    <row r="22" spans="1:7" x14ac:dyDescent="0.2">
      <c r="A22" s="18">
        <f t="shared" si="1"/>
        <v>14</v>
      </c>
      <c r="B22" s="13" t="str">
        <f>"Total "&amp;YEAR(A3)&amp;" RBA Deferral Balance"</f>
        <v>Total 2024 RBA Deferral Balance</v>
      </c>
      <c r="F22" s="25">
        <f>SUM(F12:F21)</f>
        <v>3257660.9348499863</v>
      </c>
    </row>
    <row r="23" spans="1:7" x14ac:dyDescent="0.2">
      <c r="A23" s="18"/>
      <c r="F23" s="26"/>
    </row>
    <row r="24" spans="1:7" customFormat="1" ht="15" x14ac:dyDescent="0.25">
      <c r="F24" s="224"/>
    </row>
    <row r="25" spans="1:7" customFormat="1" ht="15" x14ac:dyDescent="0.25">
      <c r="F25" s="224"/>
    </row>
    <row r="26" spans="1:7" customFormat="1" ht="15" x14ac:dyDescent="0.25">
      <c r="F26" s="224"/>
    </row>
    <row r="27" spans="1:7" customFormat="1" ht="15" x14ac:dyDescent="0.25">
      <c r="F27" s="27"/>
    </row>
    <row r="28" spans="1:7" customFormat="1" ht="15" x14ac:dyDescent="0.25">
      <c r="F28" s="27"/>
    </row>
    <row r="29" spans="1:7" customFormat="1" ht="15" x14ac:dyDescent="0.25">
      <c r="F29" s="27"/>
    </row>
    <row r="30" spans="1:7" customFormat="1" ht="15" x14ac:dyDescent="0.25">
      <c r="F30" s="27"/>
    </row>
    <row r="31" spans="1:7" customFormat="1" ht="15" x14ac:dyDescent="0.25">
      <c r="F31" s="27"/>
    </row>
    <row r="32" spans="1:7" customFormat="1" ht="15" x14ac:dyDescent="0.25">
      <c r="F32" s="27"/>
    </row>
    <row r="33" spans="1:8" customFormat="1" ht="15" x14ac:dyDescent="0.25">
      <c r="F33" s="27"/>
    </row>
    <row r="34" spans="1:8" customFormat="1" ht="13.5" customHeight="1" x14ac:dyDescent="0.25">
      <c r="F34" s="27"/>
    </row>
    <row r="35" spans="1:8" customFormat="1" ht="15" x14ac:dyDescent="0.25">
      <c r="F35" s="27"/>
    </row>
    <row r="36" spans="1:8" customFormat="1" ht="15" x14ac:dyDescent="0.25">
      <c r="F36" s="27"/>
    </row>
    <row r="37" spans="1:8" customFormat="1" ht="15" x14ac:dyDescent="0.25">
      <c r="F37" s="27"/>
    </row>
    <row r="38" spans="1:8" x14ac:dyDescent="0.2">
      <c r="F38" s="28"/>
    </row>
    <row r="39" spans="1:8" x14ac:dyDescent="0.2">
      <c r="F39" s="28"/>
    </row>
    <row r="40" spans="1:8" x14ac:dyDescent="0.2">
      <c r="A40" s="18"/>
      <c r="F40" s="28"/>
    </row>
    <row r="41" spans="1:8" x14ac:dyDescent="0.2">
      <c r="A41" s="18"/>
      <c r="G41" s="18"/>
    </row>
    <row r="42" spans="1:8" x14ac:dyDescent="0.2">
      <c r="A42" s="29"/>
      <c r="B42" s="13"/>
      <c r="C42" s="13"/>
      <c r="D42" s="13"/>
      <c r="E42" s="13"/>
      <c r="F42" s="30"/>
      <c r="G42" s="30"/>
    </row>
    <row r="43" spans="1:8" x14ac:dyDescent="0.2">
      <c r="A43" s="18"/>
      <c r="F43" s="31"/>
      <c r="G43" s="31"/>
      <c r="H43" s="13"/>
    </row>
    <row r="44" spans="1:8" x14ac:dyDescent="0.2">
      <c r="A44" s="18"/>
      <c r="F44" s="31"/>
      <c r="G44" s="31"/>
    </row>
    <row r="45" spans="1:8" x14ac:dyDescent="0.2">
      <c r="A45" s="18"/>
      <c r="F45" s="32"/>
      <c r="G45" s="32"/>
    </row>
    <row r="46" spans="1:8" x14ac:dyDescent="0.2">
      <c r="A46" s="18"/>
      <c r="G46" s="22"/>
    </row>
    <row r="47" spans="1:8" x14ac:dyDescent="0.2">
      <c r="A47" s="18"/>
      <c r="G47" s="22"/>
    </row>
    <row r="48" spans="1:8" x14ac:dyDescent="0.2">
      <c r="A48" s="18"/>
      <c r="G48" s="22"/>
    </row>
    <row r="49" spans="1:9" x14ac:dyDescent="0.2">
      <c r="A49" s="18"/>
      <c r="G49" s="22"/>
    </row>
    <row r="50" spans="1:9" x14ac:dyDescent="0.2">
      <c r="A50" s="18"/>
      <c r="F50" s="22"/>
      <c r="G50" s="22"/>
    </row>
    <row r="51" spans="1:9" x14ac:dyDescent="0.2">
      <c r="A51" s="18"/>
      <c r="F51" s="22"/>
      <c r="G51" s="22"/>
    </row>
    <row r="52" spans="1:9" x14ac:dyDescent="0.2">
      <c r="A52" s="18"/>
      <c r="F52" s="22"/>
      <c r="G52" s="22"/>
    </row>
    <row r="53" spans="1:9" x14ac:dyDescent="0.2">
      <c r="A53" s="18"/>
      <c r="F53" s="22"/>
      <c r="G53" s="22"/>
    </row>
    <row r="54" spans="1:9" x14ac:dyDescent="0.2">
      <c r="A54" s="18"/>
      <c r="F54" s="22"/>
      <c r="G54" s="22"/>
    </row>
    <row r="55" spans="1:9" x14ac:dyDescent="0.2">
      <c r="A55" s="18"/>
      <c r="F55" s="22"/>
      <c r="G55" s="22"/>
    </row>
    <row r="56" spans="1:9" x14ac:dyDescent="0.2">
      <c r="F56" s="22"/>
      <c r="G56" s="22"/>
      <c r="H56" s="22"/>
      <c r="I56" s="22"/>
    </row>
    <row r="109" spans="2:2" x14ac:dyDescent="0.2">
      <c r="B109" s="14">
        <f>EDATE(B106,1)</f>
        <v>31</v>
      </c>
    </row>
    <row r="110" spans="2:2" x14ac:dyDescent="0.2">
      <c r="B110" s="14">
        <f>EDATE(B109,1)</f>
        <v>59</v>
      </c>
    </row>
    <row r="111" spans="2:2" x14ac:dyDescent="0.2">
      <c r="B111" s="14">
        <f t="shared" ref="B111:B120" si="2">EDATE(B110,1)</f>
        <v>88</v>
      </c>
    </row>
    <row r="112" spans="2:2" x14ac:dyDescent="0.2">
      <c r="B112" s="14">
        <f t="shared" si="2"/>
        <v>119</v>
      </c>
    </row>
    <row r="113" spans="2:2" x14ac:dyDescent="0.2">
      <c r="B113" s="14">
        <f t="shared" si="2"/>
        <v>149</v>
      </c>
    </row>
    <row r="114" spans="2:2" x14ac:dyDescent="0.2">
      <c r="B114" s="14">
        <f t="shared" si="2"/>
        <v>180</v>
      </c>
    </row>
    <row r="115" spans="2:2" x14ac:dyDescent="0.2">
      <c r="B115" s="14">
        <f t="shared" si="2"/>
        <v>210</v>
      </c>
    </row>
    <row r="116" spans="2:2" x14ac:dyDescent="0.2">
      <c r="B116" s="14">
        <f t="shared" si="2"/>
        <v>241</v>
      </c>
    </row>
    <row r="117" spans="2:2" x14ac:dyDescent="0.2">
      <c r="B117" s="14">
        <f t="shared" si="2"/>
        <v>272</v>
      </c>
    </row>
    <row r="118" spans="2:2" x14ac:dyDescent="0.2">
      <c r="B118" s="14">
        <f t="shared" si="2"/>
        <v>302</v>
      </c>
    </row>
    <row r="119" spans="2:2" x14ac:dyDescent="0.2">
      <c r="B119" s="14">
        <f t="shared" si="2"/>
        <v>333</v>
      </c>
    </row>
    <row r="120" spans="2:2" x14ac:dyDescent="0.2">
      <c r="B120" s="14">
        <f t="shared" si="2"/>
        <v>363</v>
      </c>
    </row>
  </sheetData>
  <pageMargins left="0.7" right="0.7" top="0.75" bottom="0.75" header="0.3" footer="0.3"/>
  <pageSetup scale="71"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ED9EE0-66B6-4B00-A1CC-151BAC8791D8}">
  <sheetPr>
    <tabColor rgb="FF00B0F0"/>
    <pageSetUpPr fitToPage="1"/>
  </sheetPr>
  <dimension ref="A1:R82"/>
  <sheetViews>
    <sheetView view="pageLayout" zoomScaleNormal="115" zoomScaleSheetLayoutView="80" workbookViewId="0">
      <selection activeCell="A20" sqref="A20"/>
    </sheetView>
  </sheetViews>
  <sheetFormatPr defaultColWidth="9.140625" defaultRowHeight="12.75" x14ac:dyDescent="0.2"/>
  <cols>
    <col min="1" max="1" width="9.140625" style="34"/>
    <col min="2" max="2" width="49.42578125" style="34" bestFit="1" customWidth="1"/>
    <col min="3" max="3" width="34.140625" style="34" bestFit="1" customWidth="1"/>
    <col min="4" max="4" width="14.85546875" style="14" customWidth="1"/>
    <col min="5" max="8" width="11.28515625" style="14" customWidth="1"/>
    <col min="9" max="9" width="12.42578125" style="14" bestFit="1" customWidth="1"/>
    <col min="10" max="16" width="11.28515625" style="14" customWidth="1"/>
    <col min="17" max="17" width="12.42578125" style="35" bestFit="1" customWidth="1"/>
    <col min="18" max="18" width="14.28515625" style="14" bestFit="1" customWidth="1"/>
    <col min="19" max="16384" width="9.140625" style="14"/>
  </cols>
  <sheetData>
    <row r="1" spans="1:17" x14ac:dyDescent="0.2">
      <c r="A1" s="33" t="s">
        <v>13</v>
      </c>
    </row>
    <row r="2" spans="1:17" x14ac:dyDescent="0.2">
      <c r="A2" s="33" t="s">
        <v>14</v>
      </c>
    </row>
    <row r="3" spans="1:17" x14ac:dyDescent="0.2">
      <c r="A3" s="15">
        <v>45366</v>
      </c>
    </row>
    <row r="4" spans="1:17" x14ac:dyDescent="0.2">
      <c r="D4" s="22"/>
    </row>
    <row r="5" spans="1:17" x14ac:dyDescent="0.2">
      <c r="A5" s="36" t="str">
        <f>"Calendar Year "&amp;YEAR(A3)-1</f>
        <v>Calendar Year 2023</v>
      </c>
    </row>
    <row r="6" spans="1:17" x14ac:dyDescent="0.2">
      <c r="D6" s="22"/>
      <c r="E6" s="22"/>
      <c r="F6" s="22"/>
      <c r="G6" s="22"/>
      <c r="H6" s="22"/>
      <c r="I6" s="22"/>
      <c r="J6" s="22"/>
      <c r="K6" s="22"/>
      <c r="L6" s="22"/>
    </row>
    <row r="7" spans="1:17" x14ac:dyDescent="0.2">
      <c r="A7" s="33" t="str">
        <f>YEAR(A3)&amp;" RBA (Deferral of CY "&amp;YEAR(A3)-1&amp;" REC Revenue)"</f>
        <v>2024 RBA (Deferral of CY 2023 REC Revenue)</v>
      </c>
      <c r="D7" s="225" t="s">
        <v>36</v>
      </c>
      <c r="E7" s="226"/>
      <c r="F7" s="226"/>
      <c r="G7" s="226"/>
      <c r="H7" s="226"/>
      <c r="I7" s="226"/>
      <c r="J7" s="226"/>
      <c r="K7" s="226"/>
      <c r="L7" s="226"/>
      <c r="M7" s="226"/>
      <c r="N7" s="226"/>
      <c r="O7" s="227"/>
    </row>
    <row r="8" spans="1:17" x14ac:dyDescent="0.2">
      <c r="B8" s="33"/>
      <c r="C8" s="33"/>
      <c r="D8" s="37"/>
      <c r="E8" s="32"/>
      <c r="F8" s="32"/>
      <c r="G8" s="32"/>
      <c r="H8" s="32"/>
      <c r="I8" s="32"/>
      <c r="J8" s="32"/>
      <c r="K8" s="32"/>
      <c r="L8" s="32"/>
      <c r="O8" s="38"/>
    </row>
    <row r="9" spans="1:17" x14ac:dyDescent="0.2">
      <c r="A9" s="39" t="s">
        <v>16</v>
      </c>
      <c r="B9" s="39"/>
      <c r="C9" s="40" t="s">
        <v>17</v>
      </c>
      <c r="D9" s="41">
        <v>44927</v>
      </c>
      <c r="E9" s="42">
        <f>EDATE(D9,1)</f>
        <v>44958</v>
      </c>
      <c r="F9" s="42">
        <f t="shared" ref="F9:O9" si="0">EDATE(E9,1)</f>
        <v>44986</v>
      </c>
      <c r="G9" s="42">
        <f t="shared" si="0"/>
        <v>45017</v>
      </c>
      <c r="H9" s="42">
        <f t="shared" si="0"/>
        <v>45047</v>
      </c>
      <c r="I9" s="42">
        <f t="shared" si="0"/>
        <v>45078</v>
      </c>
      <c r="J9" s="42">
        <f t="shared" si="0"/>
        <v>45108</v>
      </c>
      <c r="K9" s="42">
        <f t="shared" si="0"/>
        <v>45139</v>
      </c>
      <c r="L9" s="42">
        <f t="shared" si="0"/>
        <v>45170</v>
      </c>
      <c r="M9" s="42">
        <f t="shared" si="0"/>
        <v>45200</v>
      </c>
      <c r="N9" s="42">
        <f t="shared" si="0"/>
        <v>45231</v>
      </c>
      <c r="O9" s="43">
        <f t="shared" si="0"/>
        <v>45261</v>
      </c>
      <c r="P9" s="44" t="s">
        <v>37</v>
      </c>
    </row>
    <row r="10" spans="1:17" x14ac:dyDescent="0.2">
      <c r="D10" s="45"/>
      <c r="O10" s="38"/>
    </row>
    <row r="11" spans="1:17" x14ac:dyDescent="0.2">
      <c r="A11" s="46"/>
      <c r="B11" s="33" t="s">
        <v>38</v>
      </c>
      <c r="C11" s="33"/>
      <c r="D11" s="37"/>
      <c r="E11" s="32"/>
      <c r="F11" s="32"/>
      <c r="G11" s="32"/>
      <c r="H11" s="32"/>
      <c r="I11" s="32"/>
      <c r="J11" s="32"/>
      <c r="K11" s="32"/>
      <c r="L11" s="32"/>
      <c r="M11" s="32"/>
      <c r="N11" s="32"/>
      <c r="O11" s="47"/>
      <c r="P11" s="22"/>
    </row>
    <row r="12" spans="1:17" x14ac:dyDescent="0.2">
      <c r="A12" s="46">
        <f>MAX($A$10:A11)+1</f>
        <v>1</v>
      </c>
      <c r="B12" s="48" t="s">
        <v>39</v>
      </c>
      <c r="C12" s="49" t="s">
        <v>40</v>
      </c>
      <c r="D12" s="50">
        <v>587.08000000000175</v>
      </c>
      <c r="E12" s="22">
        <v>1966410.45</v>
      </c>
      <c r="F12" s="22">
        <v>3887568.5199999996</v>
      </c>
      <c r="G12" s="22">
        <v>1593288.4900000002</v>
      </c>
      <c r="H12" s="22">
        <v>611706.52999999991</v>
      </c>
      <c r="I12" s="22">
        <v>-5931.7799999999115</v>
      </c>
      <c r="J12" s="22">
        <v>489092.14999999991</v>
      </c>
      <c r="K12" s="22">
        <v>-488236.87999999995</v>
      </c>
      <c r="L12" s="22">
        <v>-346.97999999999593</v>
      </c>
      <c r="M12" s="22">
        <v>167.23999999999796</v>
      </c>
      <c r="N12" s="22">
        <v>324154.81999999995</v>
      </c>
      <c r="O12" s="51">
        <v>1227132.53</v>
      </c>
      <c r="P12" s="22">
        <f>SUM(D12:O12)</f>
        <v>9605592.1699999999</v>
      </c>
      <c r="Q12" s="52"/>
    </row>
    <row r="13" spans="1:17" ht="7.5" customHeight="1" x14ac:dyDescent="0.2">
      <c r="A13" s="46"/>
      <c r="B13" s="48"/>
      <c r="C13" s="49"/>
      <c r="D13" s="45"/>
      <c r="O13" s="38"/>
    </row>
    <row r="14" spans="1:17" x14ac:dyDescent="0.2">
      <c r="A14" s="46">
        <f>MAX($A$10:A12)+1</f>
        <v>2</v>
      </c>
      <c r="B14" s="48" t="s">
        <v>41</v>
      </c>
      <c r="C14" s="49" t="s">
        <v>9</v>
      </c>
      <c r="D14" s="53">
        <f>'Page 2.1'!$E$79</f>
        <v>0.66941530772298852</v>
      </c>
      <c r="E14" s="54">
        <f>'Page 2.1'!$E$79</f>
        <v>0.66941530772298852</v>
      </c>
      <c r="F14" s="54">
        <f>'Page 2.1'!$E$79</f>
        <v>0.66941530772298852</v>
      </c>
      <c r="G14" s="54">
        <f>'Page 2.1'!$E$79</f>
        <v>0.66941530772298852</v>
      </c>
      <c r="H14" s="54">
        <f>'Page 2.1'!$E$79</f>
        <v>0.66941530772298852</v>
      </c>
      <c r="I14" s="54">
        <f>'Page 2.1'!$E$79</f>
        <v>0.66941530772298852</v>
      </c>
      <c r="J14" s="54">
        <f>'Page 2.1'!$E$79</f>
        <v>0.66941530772298852</v>
      </c>
      <c r="K14" s="54">
        <f>'Page 2.1'!$E$79</f>
        <v>0.66941530772298852</v>
      </c>
      <c r="L14" s="54">
        <f>'Page 2.1'!$E$79</f>
        <v>0.66941530772298852</v>
      </c>
      <c r="M14" s="54">
        <f>'Page 2.1'!$E$79</f>
        <v>0.66941530772298852</v>
      </c>
      <c r="N14" s="54">
        <f>'Page 2.1'!$E$79</f>
        <v>0.66941530772298852</v>
      </c>
      <c r="O14" s="55">
        <f>'Page 2.1'!$E$79</f>
        <v>0.66941530772298852</v>
      </c>
    </row>
    <row r="15" spans="1:17" ht="7.5" customHeight="1" x14ac:dyDescent="0.2">
      <c r="A15" s="46"/>
      <c r="B15" s="48"/>
      <c r="C15" s="49"/>
      <c r="D15" s="45"/>
      <c r="O15" s="38"/>
    </row>
    <row r="16" spans="1:17" x14ac:dyDescent="0.2">
      <c r="A16" s="46">
        <f>MAX($A$10:A15)+1</f>
        <v>3</v>
      </c>
      <c r="B16" s="48" t="s">
        <v>42</v>
      </c>
      <c r="C16" s="49" t="s">
        <v>43</v>
      </c>
      <c r="D16" s="50">
        <f t="shared" ref="D16:O16" si="1">D12*D14</f>
        <v>393.00033885801327</v>
      </c>
      <c r="E16" s="22">
        <f t="shared" si="1"/>
        <v>1316345.2564964504</v>
      </c>
      <c r="F16" s="22">
        <f t="shared" si="1"/>
        <v>2602397.8771100026</v>
      </c>
      <c r="G16" s="22">
        <f t="shared" si="1"/>
        <v>1066571.7048248458</v>
      </c>
      <c r="H16" s="22">
        <f t="shared" si="1"/>
        <v>409485.71501611144</v>
      </c>
      <c r="I16" s="22">
        <f t="shared" si="1"/>
        <v>-3970.8243340450094</v>
      </c>
      <c r="J16" s="22">
        <f t="shared" si="1"/>
        <v>327405.772097148</v>
      </c>
      <c r="K16" s="22">
        <f t="shared" si="1"/>
        <v>-326833.24126691179</v>
      </c>
      <c r="L16" s="22">
        <f t="shared" si="1"/>
        <v>-232.27372347371983</v>
      </c>
      <c r="M16" s="22">
        <f t="shared" si="1"/>
        <v>111.95301606359124</v>
      </c>
      <c r="N16" s="22">
        <f t="shared" si="1"/>
        <v>216994.19858018993</v>
      </c>
      <c r="O16" s="51">
        <f t="shared" si="1"/>
        <v>821461.30018683942</v>
      </c>
      <c r="P16" s="22">
        <f>SUM(D16:O16)</f>
        <v>6430130.4383420777</v>
      </c>
      <c r="Q16" s="52"/>
    </row>
    <row r="17" spans="1:18" x14ac:dyDescent="0.2">
      <c r="A17" s="46">
        <f>MAX($A$10:A16)+1</f>
        <v>4</v>
      </c>
      <c r="B17" s="48" t="s">
        <v>44</v>
      </c>
      <c r="C17" s="49" t="s">
        <v>45</v>
      </c>
      <c r="D17" s="50">
        <f>D16*0.1</f>
        <v>39.300033885801327</v>
      </c>
      <c r="E17" s="22">
        <f t="shared" ref="E17:N17" si="2">E16*0.1</f>
        <v>131634.52564964505</v>
      </c>
      <c r="F17" s="22">
        <f t="shared" si="2"/>
        <v>260239.78771100027</v>
      </c>
      <c r="G17" s="22">
        <f t="shared" si="2"/>
        <v>106657.17048248458</v>
      </c>
      <c r="H17" s="22">
        <f t="shared" si="2"/>
        <v>40948.57150161115</v>
      </c>
      <c r="I17" s="22">
        <f t="shared" si="2"/>
        <v>-397.08243340450099</v>
      </c>
      <c r="J17" s="22">
        <f t="shared" si="2"/>
        <v>32740.5772097148</v>
      </c>
      <c r="K17" s="22">
        <f t="shared" si="2"/>
        <v>-32683.324126691179</v>
      </c>
      <c r="L17" s="22">
        <f t="shared" si="2"/>
        <v>-23.227372347371983</v>
      </c>
      <c r="M17" s="22">
        <f t="shared" si="2"/>
        <v>11.195301606359124</v>
      </c>
      <c r="N17" s="22">
        <f t="shared" si="2"/>
        <v>21699.419858018995</v>
      </c>
      <c r="O17" s="51">
        <f>O16*0.1</f>
        <v>82146.130018683951</v>
      </c>
      <c r="P17" s="22">
        <f>SUM(D17:O17)</f>
        <v>643013.04383420781</v>
      </c>
      <c r="Q17" s="52"/>
    </row>
    <row r="18" spans="1:18" x14ac:dyDescent="0.2">
      <c r="A18" s="46">
        <f>MAX($A$10:A17)+1</f>
        <v>5</v>
      </c>
      <c r="B18" s="48" t="s">
        <v>46</v>
      </c>
      <c r="C18" s="49" t="s">
        <v>47</v>
      </c>
      <c r="D18" s="50">
        <f>D16-D17</f>
        <v>353.70030497221194</v>
      </c>
      <c r="E18" s="22">
        <f t="shared" ref="E18:O18" si="3">E16-E17</f>
        <v>1184710.7308468053</v>
      </c>
      <c r="F18" s="22">
        <f t="shared" si="3"/>
        <v>2342158.0893990025</v>
      </c>
      <c r="G18" s="22">
        <f t="shared" si="3"/>
        <v>959914.53434236115</v>
      </c>
      <c r="H18" s="22">
        <f t="shared" si="3"/>
        <v>368537.14351450029</v>
      </c>
      <c r="I18" s="22">
        <f t="shared" si="3"/>
        <v>-3573.7419006405084</v>
      </c>
      <c r="J18" s="22">
        <f t="shared" si="3"/>
        <v>294665.1948874332</v>
      </c>
      <c r="K18" s="22">
        <f t="shared" si="3"/>
        <v>-294149.91714022064</v>
      </c>
      <c r="L18" s="22">
        <f t="shared" si="3"/>
        <v>-209.04635112634784</v>
      </c>
      <c r="M18" s="22">
        <f t="shared" si="3"/>
        <v>100.75771445723211</v>
      </c>
      <c r="N18" s="22">
        <f t="shared" si="3"/>
        <v>195294.77872217094</v>
      </c>
      <c r="O18" s="51">
        <f t="shared" si="3"/>
        <v>739315.17016815546</v>
      </c>
      <c r="P18" s="22">
        <f>SUM(D18:O18)</f>
        <v>5787117.394507871</v>
      </c>
      <c r="Q18" s="52"/>
    </row>
    <row r="19" spans="1:18" x14ac:dyDescent="0.2">
      <c r="A19" s="46"/>
      <c r="B19" s="48"/>
      <c r="C19" s="49"/>
      <c r="D19" s="50"/>
      <c r="E19" s="22"/>
      <c r="F19" s="22"/>
      <c r="G19" s="22"/>
      <c r="H19" s="22"/>
      <c r="I19" s="22"/>
      <c r="J19" s="22"/>
      <c r="K19" s="22"/>
      <c r="L19" s="22"/>
      <c r="M19" s="22"/>
      <c r="N19" s="22"/>
      <c r="O19" s="51"/>
      <c r="P19" s="22"/>
      <c r="Q19" s="52"/>
    </row>
    <row r="20" spans="1:18" x14ac:dyDescent="0.2">
      <c r="A20" s="46">
        <f>MAX($A$10:A19)+1</f>
        <v>6</v>
      </c>
      <c r="B20" s="48" t="str">
        <f>"Leaning Juniper &amp; Pryor Mountain Revenue CY "&amp;YEAR(A3)-1</f>
        <v>Leaning Juniper &amp; Pryor Mountain Revenue CY 2023</v>
      </c>
      <c r="C20" s="49" t="s">
        <v>9</v>
      </c>
      <c r="D20" s="50">
        <v>40931.873449272847</v>
      </c>
      <c r="E20" s="22">
        <v>42822.984328178594</v>
      </c>
      <c r="F20" s="22">
        <v>36915.560194457328</v>
      </c>
      <c r="G20" s="22">
        <v>39164.523518197406</v>
      </c>
      <c r="H20" s="22">
        <v>32468.164542969957</v>
      </c>
      <c r="I20" s="22">
        <v>31132.991304792002</v>
      </c>
      <c r="J20" s="22">
        <v>17632.091844739032</v>
      </c>
      <c r="K20" s="22">
        <v>18390.513840082578</v>
      </c>
      <c r="L20" s="22">
        <v>16182.777797035522</v>
      </c>
      <c r="M20" s="22">
        <v>19930.834659835033</v>
      </c>
      <c r="N20" s="22">
        <v>17370.937391279676</v>
      </c>
      <c r="O20" s="51">
        <v>23725.599073983591</v>
      </c>
      <c r="P20" s="22">
        <f>SUM(D20:O20)</f>
        <v>336668.85194482357</v>
      </c>
      <c r="Q20" s="52"/>
      <c r="R20" s="22"/>
    </row>
    <row r="21" spans="1:18" x14ac:dyDescent="0.2">
      <c r="A21" s="46"/>
      <c r="B21" s="48"/>
      <c r="C21" s="49"/>
      <c r="D21" s="50"/>
      <c r="E21" s="22"/>
      <c r="F21" s="22"/>
      <c r="G21" s="22"/>
      <c r="H21" s="22"/>
      <c r="I21" s="22"/>
      <c r="J21" s="22"/>
      <c r="K21" s="22"/>
      <c r="L21" s="22"/>
      <c r="M21" s="22"/>
      <c r="N21" s="22"/>
      <c r="O21" s="51"/>
      <c r="P21" s="22"/>
      <c r="Q21" s="52"/>
      <c r="R21" s="22"/>
    </row>
    <row r="22" spans="1:18" x14ac:dyDescent="0.2">
      <c r="A22" s="46">
        <f>MAX($A$10:A21)+1</f>
        <v>7</v>
      </c>
      <c r="B22" s="48" t="str">
        <f>"Kennecott Revenue CY "&amp;YEAR(A3)-1</f>
        <v>Kennecott Revenue CY 2023</v>
      </c>
      <c r="C22" s="49" t="s">
        <v>40</v>
      </c>
      <c r="D22" s="50">
        <v>50000</v>
      </c>
      <c r="E22" s="22">
        <v>50000</v>
      </c>
      <c r="F22" s="22">
        <v>50000</v>
      </c>
      <c r="G22" s="22">
        <v>50000</v>
      </c>
      <c r="H22" s="22">
        <v>50000</v>
      </c>
      <c r="I22" s="22">
        <v>50000</v>
      </c>
      <c r="J22" s="22">
        <v>50000</v>
      </c>
      <c r="K22" s="22">
        <v>50000</v>
      </c>
      <c r="L22" s="22">
        <v>50000</v>
      </c>
      <c r="M22" s="22">
        <v>50000</v>
      </c>
      <c r="N22" s="22">
        <v>50000</v>
      </c>
      <c r="O22" s="51">
        <v>50000</v>
      </c>
      <c r="P22" s="22">
        <f>SUM(D22:O22)</f>
        <v>600000</v>
      </c>
      <c r="Q22" s="52"/>
      <c r="R22" s="22"/>
    </row>
    <row r="23" spans="1:18" x14ac:dyDescent="0.2">
      <c r="A23" s="46"/>
      <c r="B23" s="48"/>
      <c r="C23" s="49"/>
      <c r="D23" s="50"/>
      <c r="E23" s="22"/>
      <c r="F23" s="22"/>
      <c r="G23" s="22"/>
      <c r="H23" s="22"/>
      <c r="I23" s="22"/>
      <c r="J23" s="22"/>
      <c r="K23" s="22"/>
      <c r="L23" s="22"/>
      <c r="M23" s="22"/>
      <c r="N23" s="22"/>
      <c r="O23" s="51"/>
      <c r="P23" s="22"/>
      <c r="Q23" s="52"/>
      <c r="R23" s="22"/>
    </row>
    <row r="24" spans="1:18" x14ac:dyDescent="0.2">
      <c r="A24" s="46">
        <f>MAX($A$10:A23)+1</f>
        <v>8</v>
      </c>
      <c r="B24" s="48" t="s">
        <v>48</v>
      </c>
      <c r="C24" s="49" t="s">
        <v>49</v>
      </c>
      <c r="D24" s="50">
        <f>D18+D20+D22</f>
        <v>91285.573754245066</v>
      </c>
      <c r="E24" s="22">
        <f t="shared" ref="E24:O24" si="4">E18+E20+E22</f>
        <v>1277533.715174984</v>
      </c>
      <c r="F24" s="22">
        <f t="shared" si="4"/>
        <v>2429073.6495934599</v>
      </c>
      <c r="G24" s="22">
        <f t="shared" si="4"/>
        <v>1049079.0578605584</v>
      </c>
      <c r="H24" s="22">
        <f t="shared" si="4"/>
        <v>451005.30805747025</v>
      </c>
      <c r="I24" s="22">
        <f t="shared" si="4"/>
        <v>77559.249404151487</v>
      </c>
      <c r="J24" s="22">
        <f t="shared" si="4"/>
        <v>362297.28673217224</v>
      </c>
      <c r="K24" s="22">
        <f t="shared" si="4"/>
        <v>-225759.40330013807</v>
      </c>
      <c r="L24" s="22">
        <f t="shared" si="4"/>
        <v>65973.731445909172</v>
      </c>
      <c r="M24" s="22">
        <f t="shared" si="4"/>
        <v>70031.592374292261</v>
      </c>
      <c r="N24" s="22">
        <f t="shared" si="4"/>
        <v>262665.71611345059</v>
      </c>
      <c r="O24" s="51">
        <f t="shared" si="4"/>
        <v>813040.76924213907</v>
      </c>
      <c r="P24" s="22">
        <f>SUM(D24:O24)</f>
        <v>6723786.2464526966</v>
      </c>
      <c r="Q24" s="52"/>
      <c r="R24" s="22"/>
    </row>
    <row r="25" spans="1:18" x14ac:dyDescent="0.2">
      <c r="A25" s="46"/>
      <c r="C25" s="49"/>
      <c r="D25" s="45"/>
      <c r="O25" s="38"/>
      <c r="R25" s="22"/>
    </row>
    <row r="26" spans="1:18" x14ac:dyDescent="0.2">
      <c r="A26" s="46"/>
      <c r="B26" s="33" t="s">
        <v>50</v>
      </c>
      <c r="C26" s="49"/>
      <c r="D26" s="45"/>
      <c r="K26" s="56"/>
      <c r="M26" s="56"/>
      <c r="O26" s="38"/>
      <c r="R26" s="22"/>
    </row>
    <row r="27" spans="1:18" x14ac:dyDescent="0.2">
      <c r="A27" s="46"/>
      <c r="B27" s="48"/>
      <c r="C27" s="49"/>
      <c r="D27" s="37"/>
      <c r="E27" s="32"/>
      <c r="F27" s="32"/>
      <c r="G27" s="32"/>
      <c r="H27" s="32"/>
      <c r="I27" s="32"/>
      <c r="J27" s="32"/>
      <c r="K27" s="32"/>
      <c r="L27" s="32"/>
      <c r="M27" s="32"/>
      <c r="N27" s="32"/>
      <c r="O27" s="47"/>
      <c r="P27" s="22"/>
      <c r="Q27" s="52"/>
      <c r="R27" s="22"/>
    </row>
    <row r="28" spans="1:18" x14ac:dyDescent="0.2">
      <c r="A28" s="46">
        <f>MAX($A$10:A26)+1</f>
        <v>9</v>
      </c>
      <c r="B28" s="57" t="s">
        <v>51</v>
      </c>
      <c r="C28" s="49" t="s">
        <v>52</v>
      </c>
      <c r="D28" s="37">
        <f>$P$28/12</f>
        <v>242037.20809815239</v>
      </c>
      <c r="E28" s="32">
        <f t="shared" ref="E28:O28" si="5">$P$28/12</f>
        <v>242037.20809815239</v>
      </c>
      <c r="F28" s="32">
        <f t="shared" si="5"/>
        <v>242037.20809815239</v>
      </c>
      <c r="G28" s="32">
        <f t="shared" si="5"/>
        <v>242037.20809815239</v>
      </c>
      <c r="H28" s="32">
        <f t="shared" si="5"/>
        <v>242037.20809815239</v>
      </c>
      <c r="I28" s="32">
        <f t="shared" si="5"/>
        <v>242037.20809815239</v>
      </c>
      <c r="J28" s="32">
        <f t="shared" si="5"/>
        <v>242037.20809815239</v>
      </c>
      <c r="K28" s="32">
        <f t="shared" si="5"/>
        <v>242037.20809815239</v>
      </c>
      <c r="L28" s="32">
        <f t="shared" si="5"/>
        <v>242037.20809815239</v>
      </c>
      <c r="M28" s="32">
        <f t="shared" si="5"/>
        <v>242037.20809815239</v>
      </c>
      <c r="N28" s="32">
        <f t="shared" si="5"/>
        <v>242037.20809815239</v>
      </c>
      <c r="O28" s="47">
        <f t="shared" si="5"/>
        <v>242037.20809815239</v>
      </c>
      <c r="P28" s="22">
        <v>2904446.4971778286</v>
      </c>
      <c r="Q28" s="52"/>
      <c r="R28" s="22"/>
    </row>
    <row r="29" spans="1:18" x14ac:dyDescent="0.2">
      <c r="A29" s="46">
        <f>MAX($A$10:A28)+1</f>
        <v>10</v>
      </c>
      <c r="B29" s="48" t="s">
        <v>44</v>
      </c>
      <c r="C29" s="49" t="s">
        <v>53</v>
      </c>
      <c r="D29" s="37">
        <f>D28*0.1</f>
        <v>24203.720809815241</v>
      </c>
      <c r="E29" s="32">
        <f t="shared" ref="E29:O29" si="6">E28*0.1</f>
        <v>24203.720809815241</v>
      </c>
      <c r="F29" s="32">
        <f t="shared" si="6"/>
        <v>24203.720809815241</v>
      </c>
      <c r="G29" s="32">
        <f t="shared" si="6"/>
        <v>24203.720809815241</v>
      </c>
      <c r="H29" s="32">
        <f t="shared" si="6"/>
        <v>24203.720809815241</v>
      </c>
      <c r="I29" s="32">
        <f t="shared" si="6"/>
        <v>24203.720809815241</v>
      </c>
      <c r="J29" s="32">
        <f t="shared" si="6"/>
        <v>24203.720809815241</v>
      </c>
      <c r="K29" s="32">
        <f t="shared" si="6"/>
        <v>24203.720809815241</v>
      </c>
      <c r="L29" s="32">
        <f t="shared" si="6"/>
        <v>24203.720809815241</v>
      </c>
      <c r="M29" s="32">
        <f t="shared" si="6"/>
        <v>24203.720809815241</v>
      </c>
      <c r="N29" s="32">
        <f t="shared" si="6"/>
        <v>24203.720809815241</v>
      </c>
      <c r="O29" s="47">
        <f t="shared" si="6"/>
        <v>24203.720809815241</v>
      </c>
      <c r="P29" s="22">
        <f>SUM(D29:O29)</f>
        <v>290444.64971778292</v>
      </c>
      <c r="Q29" s="52"/>
      <c r="R29" s="22"/>
    </row>
    <row r="30" spans="1:18" x14ac:dyDescent="0.2">
      <c r="A30" s="46">
        <f>MAX($A$10:A29)+1</f>
        <v>11</v>
      </c>
      <c r="B30" s="48" t="s">
        <v>54</v>
      </c>
      <c r="C30" s="49" t="s">
        <v>55</v>
      </c>
      <c r="D30" s="37">
        <f>D28-D29</f>
        <v>217833.48728833714</v>
      </c>
      <c r="E30" s="32">
        <f t="shared" ref="E30:O30" si="7">E28-E29</f>
        <v>217833.48728833714</v>
      </c>
      <c r="F30" s="32">
        <f t="shared" si="7"/>
        <v>217833.48728833714</v>
      </c>
      <c r="G30" s="32">
        <f t="shared" si="7"/>
        <v>217833.48728833714</v>
      </c>
      <c r="H30" s="32">
        <f t="shared" si="7"/>
        <v>217833.48728833714</v>
      </c>
      <c r="I30" s="32">
        <f t="shared" si="7"/>
        <v>217833.48728833714</v>
      </c>
      <c r="J30" s="32">
        <f t="shared" si="7"/>
        <v>217833.48728833714</v>
      </c>
      <c r="K30" s="32">
        <f t="shared" si="7"/>
        <v>217833.48728833714</v>
      </c>
      <c r="L30" s="32">
        <f t="shared" si="7"/>
        <v>217833.48728833714</v>
      </c>
      <c r="M30" s="32">
        <f t="shared" si="7"/>
        <v>217833.48728833714</v>
      </c>
      <c r="N30" s="32">
        <f t="shared" si="7"/>
        <v>217833.48728833714</v>
      </c>
      <c r="O30" s="47">
        <f t="shared" si="7"/>
        <v>217833.48728833714</v>
      </c>
      <c r="P30" s="22">
        <f>SUM(D30:O30)</f>
        <v>2614001.8474600459</v>
      </c>
      <c r="Q30" s="52"/>
    </row>
    <row r="31" spans="1:18" x14ac:dyDescent="0.2">
      <c r="A31" s="46">
        <f>MAX($A$10:A30)+1</f>
        <v>12</v>
      </c>
      <c r="B31" s="48" t="s">
        <v>56</v>
      </c>
      <c r="C31" s="49" t="s">
        <v>52</v>
      </c>
      <c r="D31" s="37">
        <f>$P$31/12</f>
        <v>29807.416666666668</v>
      </c>
      <c r="E31" s="32">
        <f t="shared" ref="E31:O31" si="8">$P$31/12</f>
        <v>29807.416666666668</v>
      </c>
      <c r="F31" s="32">
        <f t="shared" si="8"/>
        <v>29807.416666666668</v>
      </c>
      <c r="G31" s="32">
        <f t="shared" si="8"/>
        <v>29807.416666666668</v>
      </c>
      <c r="H31" s="32">
        <f t="shared" si="8"/>
        <v>29807.416666666668</v>
      </c>
      <c r="I31" s="32">
        <f t="shared" si="8"/>
        <v>29807.416666666668</v>
      </c>
      <c r="J31" s="32">
        <f t="shared" si="8"/>
        <v>29807.416666666668</v>
      </c>
      <c r="K31" s="32">
        <f t="shared" si="8"/>
        <v>29807.416666666668</v>
      </c>
      <c r="L31" s="32">
        <f t="shared" si="8"/>
        <v>29807.416666666668</v>
      </c>
      <c r="M31" s="32">
        <f t="shared" si="8"/>
        <v>29807.416666666668</v>
      </c>
      <c r="N31" s="32">
        <f t="shared" si="8"/>
        <v>29807.416666666668</v>
      </c>
      <c r="O31" s="47">
        <f t="shared" si="8"/>
        <v>29807.416666666668</v>
      </c>
      <c r="P31" s="22">
        <v>357689</v>
      </c>
      <c r="Q31" s="52"/>
    </row>
    <row r="32" spans="1:18" x14ac:dyDescent="0.2">
      <c r="A32" s="46">
        <f>MAX($A$10:A31)+1</f>
        <v>13</v>
      </c>
      <c r="B32" s="48" t="s">
        <v>57</v>
      </c>
      <c r="C32" s="49" t="s">
        <v>52</v>
      </c>
      <c r="D32" s="37">
        <f>$P$32/12</f>
        <v>50000</v>
      </c>
      <c r="E32" s="32">
        <f t="shared" ref="E32:O32" si="9">$P$32/12</f>
        <v>50000</v>
      </c>
      <c r="F32" s="32">
        <f t="shared" si="9"/>
        <v>50000</v>
      </c>
      <c r="G32" s="32">
        <f t="shared" si="9"/>
        <v>50000</v>
      </c>
      <c r="H32" s="32">
        <f t="shared" si="9"/>
        <v>50000</v>
      </c>
      <c r="I32" s="32">
        <f t="shared" si="9"/>
        <v>50000</v>
      </c>
      <c r="J32" s="32">
        <f t="shared" si="9"/>
        <v>50000</v>
      </c>
      <c r="K32" s="32">
        <f t="shared" si="9"/>
        <v>50000</v>
      </c>
      <c r="L32" s="32">
        <f t="shared" si="9"/>
        <v>50000</v>
      </c>
      <c r="M32" s="32">
        <f t="shared" si="9"/>
        <v>50000</v>
      </c>
      <c r="N32" s="32">
        <f t="shared" si="9"/>
        <v>50000</v>
      </c>
      <c r="O32" s="47">
        <f t="shared" si="9"/>
        <v>50000</v>
      </c>
      <c r="P32" s="22">
        <v>600000</v>
      </c>
      <c r="Q32" s="52"/>
    </row>
    <row r="33" spans="1:18" x14ac:dyDescent="0.2">
      <c r="A33" s="46">
        <f>MAX($A$10:A32)+1</f>
        <v>14</v>
      </c>
      <c r="B33" s="48" t="s">
        <v>46</v>
      </c>
      <c r="C33" s="49" t="s">
        <v>52</v>
      </c>
      <c r="D33" s="37">
        <f>SUM(D30:D32)</f>
        <v>297640.90395500383</v>
      </c>
      <c r="E33" s="32">
        <f t="shared" ref="E33:O33" si="10">SUM(E30:E32)</f>
        <v>297640.90395500383</v>
      </c>
      <c r="F33" s="32">
        <f t="shared" si="10"/>
        <v>297640.90395500383</v>
      </c>
      <c r="G33" s="32">
        <f t="shared" si="10"/>
        <v>297640.90395500383</v>
      </c>
      <c r="H33" s="32">
        <f t="shared" si="10"/>
        <v>297640.90395500383</v>
      </c>
      <c r="I33" s="32">
        <f t="shared" si="10"/>
        <v>297640.90395500383</v>
      </c>
      <c r="J33" s="32">
        <f t="shared" si="10"/>
        <v>297640.90395500383</v>
      </c>
      <c r="K33" s="32">
        <f t="shared" si="10"/>
        <v>297640.90395500383</v>
      </c>
      <c r="L33" s="32">
        <f t="shared" si="10"/>
        <v>297640.90395500383</v>
      </c>
      <c r="M33" s="32">
        <f t="shared" si="10"/>
        <v>297640.90395500383</v>
      </c>
      <c r="N33" s="32">
        <f t="shared" si="10"/>
        <v>297640.90395500383</v>
      </c>
      <c r="O33" s="47">
        <f t="shared" si="10"/>
        <v>297640.90395500383</v>
      </c>
      <c r="P33" s="22">
        <f>SUM(D33:O33)</f>
        <v>3571690.847460045</v>
      </c>
      <c r="Q33" s="52"/>
    </row>
    <row r="34" spans="1:18" ht="6.75" customHeight="1" x14ac:dyDescent="0.2">
      <c r="A34" s="46"/>
      <c r="B34" s="48"/>
      <c r="C34" s="49"/>
      <c r="D34" s="37"/>
      <c r="E34" s="32"/>
      <c r="F34" s="32"/>
      <c r="G34" s="32"/>
      <c r="H34" s="32"/>
      <c r="I34" s="32"/>
      <c r="J34" s="32"/>
      <c r="K34" s="32"/>
      <c r="L34" s="32"/>
      <c r="M34" s="32"/>
      <c r="N34" s="32"/>
      <c r="O34" s="47"/>
      <c r="P34" s="22"/>
    </row>
    <row r="35" spans="1:18" x14ac:dyDescent="0.2">
      <c r="A35" s="46">
        <f>MAX($A$12:A34)+1</f>
        <v>15</v>
      </c>
      <c r="B35" s="49" t="s">
        <v>58</v>
      </c>
      <c r="C35" s="49" t="s">
        <v>59</v>
      </c>
      <c r="D35" s="58">
        <v>130145.43000000001</v>
      </c>
      <c r="E35" s="59">
        <v>123528.29</v>
      </c>
      <c r="F35" s="59">
        <v>116656.53</v>
      </c>
      <c r="G35" s="59">
        <v>113333.75</v>
      </c>
      <c r="H35" s="59">
        <v>108568.87</v>
      </c>
      <c r="I35" s="59">
        <v>111453.97000000002</v>
      </c>
      <c r="J35" s="59">
        <v>122012.98999999999</v>
      </c>
      <c r="K35" s="59">
        <v>136998.99</v>
      </c>
      <c r="L35" s="59">
        <v>123148.74</v>
      </c>
      <c r="M35" s="59">
        <v>92022.569999999992</v>
      </c>
      <c r="N35" s="59">
        <v>84171.170000000013</v>
      </c>
      <c r="O35" s="60">
        <v>95989.1</v>
      </c>
      <c r="P35" s="22">
        <f>SUM(D35:O35)</f>
        <v>1358030.4000000001</v>
      </c>
      <c r="Q35" s="52"/>
    </row>
    <row r="36" spans="1:18" x14ac:dyDescent="0.2">
      <c r="A36" s="46"/>
      <c r="B36" s="49"/>
      <c r="C36" s="49"/>
      <c r="D36" s="58"/>
      <c r="E36" s="59"/>
      <c r="F36" s="59"/>
      <c r="G36" s="59"/>
      <c r="H36" s="59"/>
      <c r="I36" s="59"/>
      <c r="J36" s="59"/>
      <c r="K36" s="59"/>
      <c r="L36" s="59"/>
      <c r="M36" s="59"/>
      <c r="N36" s="59"/>
      <c r="O36" s="60"/>
      <c r="P36" s="22"/>
    </row>
    <row r="37" spans="1:18" x14ac:dyDescent="0.2">
      <c r="A37" s="46">
        <f>MAX($A$10:A36)+1</f>
        <v>16</v>
      </c>
      <c r="B37" s="48" t="s">
        <v>60</v>
      </c>
      <c r="C37" s="49" t="s">
        <v>61</v>
      </c>
      <c r="D37" s="58">
        <f>D35+D33</f>
        <v>427786.33395500382</v>
      </c>
      <c r="E37" s="59">
        <f t="shared" ref="E37:O37" si="11">E35+E33</f>
        <v>421169.19395500381</v>
      </c>
      <c r="F37" s="59">
        <f t="shared" si="11"/>
        <v>414297.43395500386</v>
      </c>
      <c r="G37" s="59">
        <f t="shared" si="11"/>
        <v>410974.65395500383</v>
      </c>
      <c r="H37" s="59">
        <f t="shared" si="11"/>
        <v>406209.77395500382</v>
      </c>
      <c r="I37" s="59">
        <f t="shared" si="11"/>
        <v>409094.87395500386</v>
      </c>
      <c r="J37" s="59">
        <f t="shared" si="11"/>
        <v>419653.89395500382</v>
      </c>
      <c r="K37" s="59">
        <f t="shared" si="11"/>
        <v>434639.89395500382</v>
      </c>
      <c r="L37" s="59">
        <f t="shared" si="11"/>
        <v>420789.64395500382</v>
      </c>
      <c r="M37" s="59">
        <f t="shared" si="11"/>
        <v>389663.47395500384</v>
      </c>
      <c r="N37" s="59">
        <f t="shared" si="11"/>
        <v>381812.07395500387</v>
      </c>
      <c r="O37" s="60">
        <f t="shared" si="11"/>
        <v>393630.00395500381</v>
      </c>
      <c r="P37" s="22">
        <f>SUM(D37:O37)</f>
        <v>4929721.2474600468</v>
      </c>
      <c r="Q37" s="52"/>
    </row>
    <row r="38" spans="1:18" x14ac:dyDescent="0.2">
      <c r="A38" s="46"/>
      <c r="B38" s="48"/>
      <c r="C38" s="57"/>
      <c r="D38" s="45"/>
      <c r="O38" s="38"/>
      <c r="P38" s="22"/>
    </row>
    <row r="39" spans="1:18" x14ac:dyDescent="0.2">
      <c r="A39" s="46">
        <f>MAX($A$10:A38)+1</f>
        <v>17</v>
      </c>
      <c r="B39" s="48" t="s">
        <v>62</v>
      </c>
      <c r="C39" s="49" t="s">
        <v>63</v>
      </c>
      <c r="D39" s="50">
        <f>D24-D37</f>
        <v>-336500.76020075876</v>
      </c>
      <c r="E39" s="22">
        <f t="shared" ref="E39:O39" si="12">E24-E37</f>
        <v>856364.5212199802</v>
      </c>
      <c r="F39" s="22">
        <f t="shared" si="12"/>
        <v>2014776.2156384559</v>
      </c>
      <c r="G39" s="22">
        <f t="shared" si="12"/>
        <v>638104.40390555456</v>
      </c>
      <c r="H39" s="22">
        <f t="shared" si="12"/>
        <v>44795.534102466423</v>
      </c>
      <c r="I39" s="22">
        <f t="shared" si="12"/>
        <v>-331535.62455085234</v>
      </c>
      <c r="J39" s="22">
        <f t="shared" si="12"/>
        <v>-57356.607222831575</v>
      </c>
      <c r="K39" s="22">
        <f t="shared" si="12"/>
        <v>-660399.29725514189</v>
      </c>
      <c r="L39" s="22">
        <f t="shared" si="12"/>
        <v>-354815.91250909463</v>
      </c>
      <c r="M39" s="22">
        <f t="shared" si="12"/>
        <v>-319631.88158071158</v>
      </c>
      <c r="N39" s="22">
        <f t="shared" si="12"/>
        <v>-119146.35784155328</v>
      </c>
      <c r="O39" s="51">
        <f t="shared" si="12"/>
        <v>419410.76528713526</v>
      </c>
      <c r="P39" s="22">
        <f>SUM(D39:O39)</f>
        <v>1794064.9989926484</v>
      </c>
      <c r="Q39" s="52"/>
    </row>
    <row r="40" spans="1:18" x14ac:dyDescent="0.2">
      <c r="A40" s="46"/>
      <c r="B40" s="48"/>
      <c r="C40" s="49"/>
      <c r="D40" s="45"/>
      <c r="O40" s="38"/>
    </row>
    <row r="41" spans="1:18" x14ac:dyDescent="0.2">
      <c r="A41" s="46"/>
      <c r="B41" s="48"/>
      <c r="C41" s="49"/>
      <c r="D41" s="45"/>
      <c r="O41" s="38"/>
    </row>
    <row r="42" spans="1:18" x14ac:dyDescent="0.2">
      <c r="A42" s="46">
        <f>MAX($A$10:A41)+1</f>
        <v>18</v>
      </c>
      <c r="B42" s="48" t="str">
        <f>"CY "&amp;YEAR(A3)-1&amp;" Deferral Balance"</f>
        <v>CY 2023 Deferral Balance</v>
      </c>
      <c r="C42" s="49" t="s">
        <v>64</v>
      </c>
      <c r="D42" s="61">
        <f>1645708.80614462+29389.0166497375+-4267.63815414463</f>
        <v>1670830.1846402129</v>
      </c>
      <c r="E42" s="22">
        <f>D45</f>
        <v>1338148.4814426596</v>
      </c>
      <c r="F42" s="22">
        <f t="shared" ref="F42:O42" si="13">E45</f>
        <v>2199002.4266320239</v>
      </c>
      <c r="G42" s="22">
        <f t="shared" si="13"/>
        <v>4221928.2182122096</v>
      </c>
      <c r="H42" s="22">
        <f t="shared" si="13"/>
        <v>4877326.1892178925</v>
      </c>
      <c r="I42" s="22">
        <f t="shared" si="13"/>
        <v>4940781.5053871507</v>
      </c>
      <c r="J42" s="22">
        <f t="shared" si="13"/>
        <v>4627430.7246508989</v>
      </c>
      <c r="K42" s="22">
        <f t="shared" si="13"/>
        <v>4587587.6995648593</v>
      </c>
      <c r="L42" s="22">
        <f t="shared" si="13"/>
        <v>3943401.9551370372</v>
      </c>
      <c r="M42" s="22">
        <f t="shared" si="13"/>
        <v>3602928.2031070204</v>
      </c>
      <c r="N42" s="22">
        <f t="shared" si="13"/>
        <v>3296408.840725298</v>
      </c>
      <c r="O42" s="51">
        <f t="shared" si="13"/>
        <v>3189589.4320291169</v>
      </c>
    </row>
    <row r="43" spans="1:18" x14ac:dyDescent="0.2">
      <c r="A43" s="46">
        <f>MAX($A$10:A42)+1</f>
        <v>19</v>
      </c>
      <c r="B43" s="48" t="s">
        <v>65</v>
      </c>
      <c r="C43" s="49" t="s">
        <v>66</v>
      </c>
      <c r="D43" s="50">
        <f>D39</f>
        <v>-336500.76020075876</v>
      </c>
      <c r="E43" s="22">
        <f>E39</f>
        <v>856364.5212199802</v>
      </c>
      <c r="F43" s="22">
        <f t="shared" ref="F43:O43" si="14">F39</f>
        <v>2014776.2156384559</v>
      </c>
      <c r="G43" s="22">
        <f t="shared" si="14"/>
        <v>638104.40390555456</v>
      </c>
      <c r="H43" s="22">
        <f t="shared" si="14"/>
        <v>44795.534102466423</v>
      </c>
      <c r="I43" s="22">
        <f t="shared" si="14"/>
        <v>-331535.62455085234</v>
      </c>
      <c r="J43" s="22">
        <f t="shared" si="14"/>
        <v>-57356.607222831575</v>
      </c>
      <c r="K43" s="22">
        <f t="shared" si="14"/>
        <v>-660399.29725514189</v>
      </c>
      <c r="L43" s="22">
        <f t="shared" si="14"/>
        <v>-354815.91250909463</v>
      </c>
      <c r="M43" s="22">
        <f t="shared" si="14"/>
        <v>-319631.88158071158</v>
      </c>
      <c r="N43" s="22">
        <f t="shared" si="14"/>
        <v>-119146.35784155328</v>
      </c>
      <c r="O43" s="51">
        <f t="shared" si="14"/>
        <v>419410.76528713526</v>
      </c>
      <c r="P43" s="22">
        <f>SUM(D43:O43)</f>
        <v>1794064.9989926484</v>
      </c>
      <c r="Q43" s="52"/>
    </row>
    <row r="44" spans="1:18" x14ac:dyDescent="0.2">
      <c r="A44" s="46">
        <f>MAX($A$10:A43)+1</f>
        <v>20</v>
      </c>
      <c r="B44" s="48" t="s">
        <v>67</v>
      </c>
      <c r="C44" s="49" t="s">
        <v>68</v>
      </c>
      <c r="D44" s="37">
        <f>(D42+0.5*D43)*$D$62/12</f>
        <v>3819.0570032054097</v>
      </c>
      <c r="E44" s="32">
        <f>(E42+0.5*E43)*$D$62/12</f>
        <v>4489.4239693838181</v>
      </c>
      <c r="F44" s="32">
        <f>(F42+0.5*F43)*$D$62/12</f>
        <v>8149.5759417302652</v>
      </c>
      <c r="G44" s="32">
        <f>(G42+0.5*G43)*$D$63/12</f>
        <v>17293.567100128323</v>
      </c>
      <c r="H44" s="32">
        <f t="shared" ref="H44:O44" si="15">(H42+0.5*H43)*$D$63/12</f>
        <v>18659.782066791584</v>
      </c>
      <c r="I44" s="32">
        <f t="shared" si="15"/>
        <v>18184.843814600481</v>
      </c>
      <c r="J44" s="32">
        <f t="shared" si="15"/>
        <v>17513.582136792033</v>
      </c>
      <c r="K44" s="32">
        <f>(K42+0.5*K43)*$D$63/12</f>
        <v>16213.552827319507</v>
      </c>
      <c r="L44" s="32">
        <f t="shared" si="15"/>
        <v>14342.16047907748</v>
      </c>
      <c r="M44" s="32">
        <f t="shared" si="15"/>
        <v>13112.519198989297</v>
      </c>
      <c r="N44" s="32">
        <f t="shared" si="15"/>
        <v>12326.94914537222</v>
      </c>
      <c r="O44" s="47">
        <f t="shared" si="15"/>
        <v>12945.647752545139</v>
      </c>
      <c r="P44" s="22">
        <f>SUM(D44:O44)</f>
        <v>157050.66143593556</v>
      </c>
      <c r="Q44" s="52"/>
    </row>
    <row r="45" spans="1:18" x14ac:dyDescent="0.2">
      <c r="A45" s="46">
        <f>MAX($A$10:A44)+1</f>
        <v>21</v>
      </c>
      <c r="B45" s="62" t="str">
        <f>"Ending Deferral Balance - "&amp;YEAR(A3)&amp;" RBA"</f>
        <v>Ending Deferral Balance - 2024 RBA</v>
      </c>
      <c r="C45" s="49" t="s">
        <v>69</v>
      </c>
      <c r="D45" s="63">
        <f>D42+D43+D44</f>
        <v>1338148.4814426596</v>
      </c>
      <c r="E45" s="64">
        <f>E42+E43+E44</f>
        <v>2199002.4266320239</v>
      </c>
      <c r="F45" s="64">
        <f t="shared" ref="F45:O45" si="16">F42+F43+F44</f>
        <v>4221928.2182122096</v>
      </c>
      <c r="G45" s="64">
        <f t="shared" si="16"/>
        <v>4877326.1892178925</v>
      </c>
      <c r="H45" s="64">
        <f t="shared" si="16"/>
        <v>4940781.5053871507</v>
      </c>
      <c r="I45" s="64">
        <f t="shared" si="16"/>
        <v>4627430.7246508989</v>
      </c>
      <c r="J45" s="64">
        <f t="shared" si="16"/>
        <v>4587587.6995648593</v>
      </c>
      <c r="K45" s="64">
        <f t="shared" si="16"/>
        <v>3943401.9551370372</v>
      </c>
      <c r="L45" s="64">
        <f t="shared" si="16"/>
        <v>3602928.2031070204</v>
      </c>
      <c r="M45" s="64">
        <f t="shared" si="16"/>
        <v>3296408.840725298</v>
      </c>
      <c r="N45" s="64">
        <f t="shared" si="16"/>
        <v>3189589.4320291169</v>
      </c>
      <c r="O45" s="65">
        <f t="shared" si="16"/>
        <v>3621945.8450687975</v>
      </c>
      <c r="P45" s="22"/>
      <c r="Q45" s="52"/>
      <c r="R45" s="22"/>
    </row>
    <row r="46" spans="1:18" x14ac:dyDescent="0.2">
      <c r="A46" s="46"/>
      <c r="C46" s="49"/>
      <c r="K46" s="22"/>
      <c r="L46" s="22"/>
      <c r="M46" s="22"/>
      <c r="N46" s="22"/>
      <c r="O46" s="22"/>
      <c r="P46" s="22"/>
      <c r="R46" s="22"/>
    </row>
    <row r="47" spans="1:18" x14ac:dyDescent="0.2">
      <c r="A47" s="46"/>
      <c r="C47" s="49"/>
      <c r="D47" s="35"/>
      <c r="E47" s="35"/>
      <c r="F47" s="35"/>
      <c r="G47" s="35"/>
      <c r="H47" s="35"/>
      <c r="I47" s="35"/>
      <c r="J47" s="35"/>
      <c r="L47" s="22"/>
      <c r="M47" s="22"/>
      <c r="N47" s="22"/>
      <c r="O47" s="22"/>
      <c r="R47" s="22"/>
    </row>
    <row r="48" spans="1:18" x14ac:dyDescent="0.2">
      <c r="A48" s="46"/>
      <c r="C48" s="49"/>
      <c r="D48" s="66"/>
      <c r="E48" s="22"/>
      <c r="F48" s="22"/>
      <c r="G48" s="22"/>
      <c r="H48" s="22"/>
      <c r="I48" s="22"/>
      <c r="J48" s="22"/>
      <c r="K48" s="22"/>
      <c r="L48" s="22"/>
      <c r="M48" s="22"/>
      <c r="P48" s="22"/>
      <c r="Q48" s="67"/>
      <c r="R48" s="52"/>
    </row>
    <row r="49" spans="1:17" ht="15" x14ac:dyDescent="0.25">
      <c r="A49" s="68" t="s">
        <v>70</v>
      </c>
      <c r="D49"/>
      <c r="E49"/>
      <c r="F49"/>
      <c r="G49"/>
      <c r="H49"/>
      <c r="I49"/>
      <c r="J49" s="69"/>
      <c r="K49" s="70"/>
      <c r="L49" s="70"/>
      <c r="M49" s="70"/>
      <c r="N49" s="70"/>
      <c r="O49" s="70"/>
      <c r="P49" s="22"/>
    </row>
    <row r="50" spans="1:17" x14ac:dyDescent="0.2">
      <c r="B50" s="33"/>
      <c r="C50" s="33"/>
      <c r="D50" s="32"/>
      <c r="E50" s="32"/>
      <c r="F50" s="32"/>
      <c r="G50" s="32"/>
      <c r="H50" s="32"/>
      <c r="I50" s="32"/>
      <c r="J50" s="32"/>
      <c r="K50" s="32"/>
      <c r="L50" s="32"/>
    </row>
    <row r="51" spans="1:17" x14ac:dyDescent="0.2">
      <c r="A51" s="39" t="s">
        <v>16</v>
      </c>
      <c r="B51" s="39"/>
      <c r="C51" s="40" t="s">
        <v>17</v>
      </c>
      <c r="D51" s="42">
        <f>EDATE(O9,1)</f>
        <v>45292</v>
      </c>
      <c r="E51" s="42">
        <f>EDATE(D51,1)</f>
        <v>45323</v>
      </c>
      <c r="F51" s="42">
        <f t="shared" ref="F51:I51" si="17">EDATE(E51,1)</f>
        <v>45352</v>
      </c>
      <c r="G51" s="42">
        <f t="shared" si="17"/>
        <v>45383</v>
      </c>
      <c r="H51" s="42">
        <f t="shared" si="17"/>
        <v>45413</v>
      </c>
      <c r="I51" s="42">
        <f t="shared" si="17"/>
        <v>45444</v>
      </c>
      <c r="J51" s="44" t="s">
        <v>37</v>
      </c>
      <c r="K51" s="35"/>
      <c r="Q51" s="14"/>
    </row>
    <row r="52" spans="1:17" x14ac:dyDescent="0.2">
      <c r="K52" s="35"/>
      <c r="Q52" s="14"/>
    </row>
    <row r="53" spans="1:17" x14ac:dyDescent="0.2">
      <c r="A53" s="46">
        <f>MAX($A$12:A52)+1</f>
        <v>22</v>
      </c>
      <c r="B53" s="49" t="s">
        <v>58</v>
      </c>
      <c r="C53" s="49" t="s">
        <v>59</v>
      </c>
      <c r="D53" s="59">
        <v>96625.02</v>
      </c>
      <c r="E53" s="59">
        <v>75000</v>
      </c>
      <c r="F53" s="59">
        <f>E53</f>
        <v>75000</v>
      </c>
      <c r="G53" s="59">
        <f t="shared" ref="G53:H53" si="18">F53</f>
        <v>75000</v>
      </c>
      <c r="H53" s="59">
        <f t="shared" si="18"/>
        <v>75000</v>
      </c>
      <c r="I53" s="59">
        <f>H53/2</f>
        <v>37500</v>
      </c>
      <c r="J53" s="22">
        <f>SUM(D53:I53)</f>
        <v>434125.02</v>
      </c>
      <c r="K53" s="35"/>
      <c r="Q53" s="14"/>
    </row>
    <row r="54" spans="1:17" x14ac:dyDescent="0.2">
      <c r="A54" s="46"/>
      <c r="B54" s="49"/>
      <c r="C54" s="49"/>
      <c r="D54" s="59"/>
      <c r="E54" s="59"/>
      <c r="F54" s="59"/>
      <c r="G54" s="59"/>
      <c r="H54" s="59"/>
      <c r="I54" s="59"/>
      <c r="J54" s="22"/>
      <c r="K54" s="35"/>
      <c r="Q54" s="14"/>
    </row>
    <row r="55" spans="1:17" x14ac:dyDescent="0.2">
      <c r="A55" s="46">
        <f>MAX($A$14:A53)+1</f>
        <v>23</v>
      </c>
      <c r="B55" s="49" t="s">
        <v>71</v>
      </c>
      <c r="C55" s="49" t="s">
        <v>72</v>
      </c>
      <c r="D55" s="71">
        <f>O45</f>
        <v>3621945.8450687975</v>
      </c>
      <c r="E55" s="71">
        <f>D58</f>
        <v>3538930.4120198512</v>
      </c>
      <c r="F55" s="71">
        <f t="shared" ref="F55:I55" si="19">E58</f>
        <v>3477265.0261722934</v>
      </c>
      <c r="G55" s="71">
        <f t="shared" si="19"/>
        <v>3415364.7979802997</v>
      </c>
      <c r="H55" s="71">
        <f t="shared" si="19"/>
        <v>3355396.296331312</v>
      </c>
      <c r="I55" s="71">
        <f t="shared" si="19"/>
        <v>3295160.9348499863</v>
      </c>
      <c r="K55" s="35"/>
      <c r="Q55" s="14"/>
    </row>
    <row r="56" spans="1:17" x14ac:dyDescent="0.2">
      <c r="A56" s="46">
        <f>MAX($A$12:A55)+1</f>
        <v>24</v>
      </c>
      <c r="B56" s="72" t="s">
        <v>73</v>
      </c>
      <c r="C56" s="49" t="s">
        <v>74</v>
      </c>
      <c r="D56" s="71">
        <f>-D53</f>
        <v>-96625.02</v>
      </c>
      <c r="E56" s="71">
        <f>-E53</f>
        <v>-75000</v>
      </c>
      <c r="F56" s="71">
        <f t="shared" ref="F56:I56" si="20">-F53</f>
        <v>-75000</v>
      </c>
      <c r="G56" s="71">
        <f t="shared" si="20"/>
        <v>-75000</v>
      </c>
      <c r="H56" s="71">
        <f t="shared" si="20"/>
        <v>-75000</v>
      </c>
      <c r="I56" s="71">
        <f t="shared" si="20"/>
        <v>-37500</v>
      </c>
      <c r="J56" s="22">
        <f>SUM(D56:I56)</f>
        <v>-434125.02</v>
      </c>
      <c r="K56" s="35"/>
      <c r="Q56" s="14"/>
    </row>
    <row r="57" spans="1:17" ht="13.5" thickBot="1" x14ac:dyDescent="0.25">
      <c r="A57" s="46">
        <f>MAX($A$12:A56)+1</f>
        <v>25</v>
      </c>
      <c r="B57" s="72" t="s">
        <v>67</v>
      </c>
      <c r="C57" s="49" t="s">
        <v>75</v>
      </c>
      <c r="D57" s="22">
        <f>(D55+0.5*D56)*$D$63/12</f>
        <v>13609.58695105367</v>
      </c>
      <c r="E57" s="22">
        <f>(E55+0.5*E56)*$D$63/12</f>
        <v>13334.614152442266</v>
      </c>
      <c r="F57" s="22">
        <f>(F55+0.5*F56)*$D$63/12</f>
        <v>13099.771808006151</v>
      </c>
      <c r="G57" s="22">
        <f>(G55+0.5*G56)*$D$64/12</f>
        <v>15031.498351012335</v>
      </c>
      <c r="H57" s="22">
        <f>(H55+0.5*H56)*$D$64/12</f>
        <v>14764.638518674341</v>
      </c>
      <c r="I57" s="22">
        <v>0</v>
      </c>
      <c r="J57" s="22">
        <f>SUM(D57:I57)</f>
        <v>69840.109781188759</v>
      </c>
      <c r="K57" s="52"/>
      <c r="Q57" s="14"/>
    </row>
    <row r="58" spans="1:17" ht="13.5" thickBot="1" x14ac:dyDescent="0.25">
      <c r="A58" s="46">
        <f>MAX($A$12:A57)+1</f>
        <v>26</v>
      </c>
      <c r="B58" s="73" t="s">
        <v>76</v>
      </c>
      <c r="C58" s="49" t="s">
        <v>77</v>
      </c>
      <c r="D58" s="22">
        <f>D55+D56+D57</f>
        <v>3538930.4120198512</v>
      </c>
      <c r="E58" s="22">
        <f t="shared" ref="E58:I58" si="21">E55+E56+E57</f>
        <v>3477265.0261722934</v>
      </c>
      <c r="F58" s="22">
        <f t="shared" si="21"/>
        <v>3415364.7979802997</v>
      </c>
      <c r="G58" s="22">
        <f t="shared" si="21"/>
        <v>3355396.296331312</v>
      </c>
      <c r="H58" s="22">
        <f t="shared" si="21"/>
        <v>3295160.9348499863</v>
      </c>
      <c r="I58" s="74">
        <f t="shared" si="21"/>
        <v>3257660.9348499863</v>
      </c>
      <c r="J58" s="22"/>
      <c r="K58" s="35"/>
      <c r="Q58" s="14"/>
    </row>
    <row r="59" spans="1:17" x14ac:dyDescent="0.2">
      <c r="A59" s="46"/>
      <c r="K59" s="35"/>
      <c r="Q59" s="14"/>
    </row>
    <row r="60" spans="1:17" x14ac:dyDescent="0.2">
      <c r="A60" s="46"/>
      <c r="D60" s="75"/>
      <c r="K60" s="35"/>
      <c r="Q60" s="14"/>
    </row>
    <row r="61" spans="1:17" s="13" customFormat="1" x14ac:dyDescent="0.2">
      <c r="A61" s="76" t="s">
        <v>78</v>
      </c>
      <c r="B61" s="77"/>
      <c r="C61" s="78"/>
      <c r="D61" s="77"/>
      <c r="E61" s="77"/>
      <c r="F61" s="77"/>
      <c r="G61" s="77"/>
      <c r="H61" s="77"/>
      <c r="I61" s="77"/>
      <c r="K61" s="79"/>
    </row>
    <row r="62" spans="1:17" s="13" customFormat="1" x14ac:dyDescent="0.2">
      <c r="A62" s="46">
        <f>MAX($A$12:A60)+1</f>
        <v>27</v>
      </c>
      <c r="B62" s="34" t="s">
        <v>79</v>
      </c>
      <c r="C62" s="49" t="s">
        <v>80</v>
      </c>
      <c r="D62" s="80">
        <v>3.0499999999999999E-2</v>
      </c>
      <c r="E62" s="34"/>
      <c r="F62" s="34"/>
      <c r="G62" s="34"/>
      <c r="H62" s="34"/>
      <c r="I62" s="34"/>
      <c r="K62" s="79"/>
    </row>
    <row r="63" spans="1:17" s="13" customFormat="1" x14ac:dyDescent="0.2">
      <c r="A63" s="46">
        <f>MAX($A$12:A62)+1</f>
        <v>28</v>
      </c>
      <c r="B63" s="34" t="s">
        <v>81</v>
      </c>
      <c r="C63" s="34" t="s">
        <v>82</v>
      </c>
      <c r="D63" s="80">
        <v>4.5699999999999998E-2</v>
      </c>
      <c r="E63" s="34"/>
      <c r="F63" s="34"/>
      <c r="G63" s="34"/>
      <c r="H63" s="34"/>
      <c r="I63" s="34"/>
      <c r="J63" s="34"/>
      <c r="K63" s="81"/>
      <c r="L63" s="81"/>
      <c r="M63" s="81"/>
      <c r="N63" s="81"/>
      <c r="O63" s="81"/>
      <c r="Q63" s="79"/>
    </row>
    <row r="64" spans="1:17" s="13" customFormat="1" x14ac:dyDescent="0.2">
      <c r="A64" s="46">
        <f>MAX($A$12:A63)+1</f>
        <v>29</v>
      </c>
      <c r="B64" s="34" t="s">
        <v>83</v>
      </c>
      <c r="C64" s="34" t="s">
        <v>84</v>
      </c>
      <c r="D64" s="80">
        <v>5.3400000000000003E-2</v>
      </c>
      <c r="E64" s="34"/>
      <c r="F64" s="34"/>
      <c r="G64" s="34"/>
      <c r="H64" s="34"/>
      <c r="I64" s="34"/>
      <c r="J64" s="34"/>
      <c r="K64" s="81"/>
      <c r="L64" s="81"/>
      <c r="M64" s="81"/>
      <c r="N64" s="81"/>
      <c r="O64" s="81"/>
      <c r="Q64" s="79"/>
    </row>
    <row r="65" spans="1:17" s="13" customFormat="1" x14ac:dyDescent="0.2">
      <c r="A65" s="46"/>
      <c r="B65" s="34"/>
      <c r="C65" s="33"/>
      <c r="D65" s="80"/>
      <c r="E65" s="81"/>
      <c r="F65" s="81"/>
      <c r="G65" s="81"/>
      <c r="H65" s="81"/>
      <c r="I65" s="81"/>
      <c r="J65" s="81"/>
      <c r="K65" s="81"/>
      <c r="L65" s="81"/>
      <c r="M65" s="81"/>
      <c r="N65" s="81"/>
      <c r="O65" s="81"/>
      <c r="Q65" s="79"/>
    </row>
    <row r="66" spans="1:17" x14ac:dyDescent="0.2">
      <c r="A66" s="46"/>
      <c r="D66" s="82"/>
      <c r="O66" s="22"/>
    </row>
    <row r="67" spans="1:17" ht="12.75" customHeight="1" x14ac:dyDescent="0.2">
      <c r="A67" s="228" t="s">
        <v>85</v>
      </c>
      <c r="B67" s="228"/>
      <c r="C67" s="228"/>
      <c r="D67" s="228"/>
      <c r="E67" s="228"/>
      <c r="F67" s="228"/>
      <c r="G67" s="228"/>
      <c r="H67" s="228"/>
      <c r="I67" s="228"/>
      <c r="J67" s="228"/>
      <c r="K67" s="228"/>
      <c r="L67" s="228"/>
      <c r="M67" s="228"/>
      <c r="N67" s="228"/>
      <c r="O67" s="228"/>
      <c r="P67" s="228"/>
    </row>
    <row r="68" spans="1:17" x14ac:dyDescent="0.2">
      <c r="A68" s="228"/>
      <c r="B68" s="228"/>
      <c r="C68" s="228"/>
      <c r="D68" s="228"/>
      <c r="E68" s="228"/>
      <c r="F68" s="228"/>
      <c r="G68" s="228"/>
      <c r="H68" s="228"/>
      <c r="I68" s="228"/>
      <c r="J68" s="228"/>
      <c r="K68" s="228"/>
      <c r="L68" s="228"/>
      <c r="M68" s="228"/>
      <c r="N68" s="228"/>
      <c r="O68" s="228"/>
      <c r="P68" s="228"/>
    </row>
    <row r="69" spans="1:17" x14ac:dyDescent="0.2">
      <c r="A69" s="228"/>
      <c r="B69" s="228"/>
      <c r="C69" s="228"/>
      <c r="D69" s="228"/>
      <c r="E69" s="228"/>
      <c r="F69" s="228"/>
      <c r="G69" s="228"/>
      <c r="H69" s="228"/>
      <c r="I69" s="228"/>
      <c r="J69" s="228"/>
      <c r="K69" s="228"/>
      <c r="L69" s="228"/>
      <c r="M69" s="228"/>
      <c r="N69" s="228"/>
      <c r="O69" s="228"/>
      <c r="P69" s="228"/>
    </row>
    <row r="70" spans="1:17" x14ac:dyDescent="0.2">
      <c r="A70" s="228"/>
      <c r="B70" s="228"/>
      <c r="C70" s="228"/>
      <c r="D70" s="228"/>
      <c r="E70" s="228"/>
      <c r="F70" s="228"/>
      <c r="G70" s="228"/>
      <c r="H70" s="228"/>
      <c r="I70" s="228"/>
      <c r="J70" s="228"/>
      <c r="K70" s="228"/>
      <c r="L70" s="228"/>
      <c r="M70" s="228"/>
      <c r="N70" s="228"/>
      <c r="O70" s="228"/>
      <c r="P70" s="228"/>
    </row>
    <row r="71" spans="1:17" x14ac:dyDescent="0.2">
      <c r="A71" s="228"/>
      <c r="B71" s="228"/>
      <c r="C71" s="228"/>
      <c r="D71" s="228"/>
      <c r="E71" s="228"/>
      <c r="F71" s="228"/>
      <c r="G71" s="228"/>
      <c r="H71" s="228"/>
      <c r="I71" s="228"/>
      <c r="J71" s="228"/>
      <c r="K71" s="228"/>
      <c r="L71" s="228"/>
      <c r="M71" s="228"/>
      <c r="N71" s="228"/>
      <c r="O71" s="228"/>
      <c r="P71" s="228"/>
    </row>
    <row r="72" spans="1:17" x14ac:dyDescent="0.2">
      <c r="A72" s="228"/>
      <c r="B72" s="228"/>
      <c r="C72" s="228"/>
      <c r="D72" s="228"/>
      <c r="E72" s="228"/>
      <c r="F72" s="228"/>
      <c r="G72" s="228"/>
      <c r="H72" s="228"/>
      <c r="I72" s="228"/>
      <c r="J72" s="228"/>
      <c r="K72" s="228"/>
      <c r="L72" s="228"/>
      <c r="M72" s="228"/>
      <c r="N72" s="228"/>
      <c r="O72" s="228"/>
      <c r="P72" s="228"/>
    </row>
    <row r="73" spans="1:17" x14ac:dyDescent="0.2">
      <c r="A73" s="228"/>
      <c r="B73" s="228"/>
      <c r="C73" s="228"/>
      <c r="D73" s="228"/>
      <c r="E73" s="228"/>
      <c r="F73" s="228"/>
      <c r="G73" s="228"/>
      <c r="H73" s="228"/>
      <c r="I73" s="228"/>
      <c r="J73" s="228"/>
      <c r="K73" s="228"/>
      <c r="L73" s="228"/>
      <c r="M73" s="228"/>
      <c r="N73" s="228"/>
      <c r="O73" s="228"/>
      <c r="P73" s="228"/>
    </row>
    <row r="74" spans="1:17" x14ac:dyDescent="0.2">
      <c r="A74" s="228"/>
      <c r="B74" s="228"/>
      <c r="C74" s="228"/>
      <c r="D74" s="228"/>
      <c r="E74" s="228"/>
      <c r="F74" s="228"/>
      <c r="G74" s="228"/>
      <c r="H74" s="228"/>
      <c r="I74" s="228"/>
      <c r="J74" s="228"/>
      <c r="K74" s="228"/>
      <c r="L74" s="228"/>
      <c r="M74" s="228"/>
      <c r="N74" s="228"/>
      <c r="O74" s="228"/>
      <c r="P74" s="228"/>
    </row>
    <row r="75" spans="1:17" x14ac:dyDescent="0.2">
      <c r="A75" s="228"/>
      <c r="B75" s="228"/>
      <c r="C75" s="228"/>
      <c r="D75" s="228"/>
      <c r="E75" s="228"/>
      <c r="F75" s="228"/>
      <c r="G75" s="228"/>
      <c r="H75" s="228"/>
      <c r="I75" s="228"/>
      <c r="J75" s="228"/>
      <c r="K75" s="228"/>
      <c r="L75" s="228"/>
      <c r="M75" s="228"/>
      <c r="N75" s="228"/>
      <c r="O75" s="228"/>
      <c r="P75" s="228"/>
    </row>
    <row r="76" spans="1:17" x14ac:dyDescent="0.2">
      <c r="A76" s="228"/>
      <c r="B76" s="228"/>
      <c r="C76" s="228"/>
      <c r="D76" s="228"/>
      <c r="E76" s="228"/>
      <c r="F76" s="228"/>
      <c r="G76" s="228"/>
      <c r="H76" s="228"/>
      <c r="I76" s="228"/>
      <c r="J76" s="228"/>
      <c r="K76" s="228"/>
      <c r="L76" s="228"/>
      <c r="M76" s="228"/>
      <c r="N76" s="228"/>
      <c r="O76" s="228"/>
      <c r="P76" s="228"/>
    </row>
    <row r="77" spans="1:17" x14ac:dyDescent="0.2">
      <c r="A77" s="228"/>
      <c r="B77" s="228"/>
      <c r="C77" s="228"/>
      <c r="D77" s="228"/>
      <c r="E77" s="228"/>
      <c r="F77" s="228"/>
      <c r="G77" s="228"/>
      <c r="H77" s="228"/>
      <c r="I77" s="228"/>
      <c r="J77" s="228"/>
      <c r="K77" s="228"/>
      <c r="L77" s="228"/>
      <c r="M77" s="228"/>
      <c r="N77" s="228"/>
      <c r="O77" s="228"/>
      <c r="P77" s="228"/>
    </row>
    <row r="78" spans="1:17" x14ac:dyDescent="0.2">
      <c r="A78" s="228"/>
      <c r="B78" s="228"/>
      <c r="C78" s="228"/>
      <c r="D78" s="228"/>
      <c r="E78" s="228"/>
      <c r="F78" s="228"/>
      <c r="G78" s="228"/>
      <c r="H78" s="228"/>
      <c r="I78" s="228"/>
      <c r="J78" s="228"/>
      <c r="K78" s="228"/>
      <c r="L78" s="228"/>
      <c r="M78" s="228"/>
      <c r="N78" s="228"/>
      <c r="O78" s="228"/>
      <c r="P78" s="228"/>
    </row>
    <row r="79" spans="1:17" x14ac:dyDescent="0.2">
      <c r="A79" s="228"/>
      <c r="B79" s="228"/>
      <c r="C79" s="228"/>
      <c r="D79" s="228"/>
      <c r="E79" s="228"/>
      <c r="F79" s="228"/>
      <c r="G79" s="228"/>
      <c r="H79" s="228"/>
      <c r="I79" s="228"/>
      <c r="J79" s="228"/>
      <c r="K79" s="228"/>
      <c r="L79" s="228"/>
      <c r="M79" s="228"/>
      <c r="N79" s="228"/>
      <c r="O79" s="228"/>
      <c r="P79" s="228"/>
    </row>
    <row r="80" spans="1:17" x14ac:dyDescent="0.2">
      <c r="A80" s="228"/>
      <c r="B80" s="228"/>
      <c r="C80" s="228"/>
      <c r="D80" s="228"/>
      <c r="E80" s="228"/>
      <c r="F80" s="228"/>
      <c r="G80" s="228"/>
      <c r="H80" s="228"/>
      <c r="I80" s="228"/>
      <c r="J80" s="228"/>
      <c r="K80" s="228"/>
      <c r="L80" s="228"/>
      <c r="M80" s="228"/>
      <c r="N80" s="228"/>
      <c r="O80" s="228"/>
      <c r="P80" s="228"/>
    </row>
    <row r="81" spans="1:16" x14ac:dyDescent="0.2">
      <c r="A81" s="228"/>
      <c r="B81" s="228"/>
      <c r="C81" s="228"/>
      <c r="D81" s="228"/>
      <c r="E81" s="228"/>
      <c r="F81" s="228"/>
      <c r="G81" s="228"/>
      <c r="H81" s="228"/>
      <c r="I81" s="228"/>
      <c r="J81" s="228"/>
      <c r="K81" s="228"/>
      <c r="L81" s="228"/>
      <c r="M81" s="228"/>
      <c r="N81" s="228"/>
      <c r="O81" s="228"/>
      <c r="P81" s="228"/>
    </row>
    <row r="82" spans="1:16" x14ac:dyDescent="0.2">
      <c r="A82" s="228"/>
      <c r="B82" s="228"/>
      <c r="C82" s="228"/>
      <c r="D82" s="228"/>
      <c r="E82" s="228"/>
      <c r="F82" s="228"/>
      <c r="G82" s="228"/>
      <c r="H82" s="228"/>
      <c r="I82" s="228"/>
      <c r="J82" s="228"/>
      <c r="K82" s="228"/>
      <c r="L82" s="228"/>
      <c r="M82" s="228"/>
      <c r="N82" s="228"/>
      <c r="O82" s="228"/>
      <c r="P82" s="228"/>
    </row>
  </sheetData>
  <mergeCells count="2">
    <mergeCell ref="D7:O7"/>
    <mergeCell ref="A67:P82"/>
  </mergeCells>
  <pageMargins left="0.7" right="0.7" top="0.75" bottom="0.75" header="0.3" footer="0.3"/>
  <pageSetup scale="5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6C2F1C-B7AF-47CA-B4DB-856351C5C177}">
  <sheetPr>
    <tabColor rgb="FF00B0F0"/>
    <pageSetUpPr fitToPage="1"/>
  </sheetPr>
  <dimension ref="A1:M146"/>
  <sheetViews>
    <sheetView view="pageBreakPreview" topLeftCell="A45" zoomScale="80" zoomScaleNormal="85" zoomScaleSheetLayoutView="80" workbookViewId="0">
      <selection activeCell="A3" sqref="A3"/>
    </sheetView>
  </sheetViews>
  <sheetFormatPr defaultColWidth="12.5703125" defaultRowHeight="12.75" x14ac:dyDescent="0.2"/>
  <cols>
    <col min="1" max="1" width="5.5703125" style="84" customWidth="1"/>
    <col min="2" max="2" width="52.42578125" style="84" customWidth="1"/>
    <col min="3" max="3" width="13" style="84" customWidth="1"/>
    <col min="4" max="4" width="17.28515625" style="84" bestFit="1" customWidth="1"/>
    <col min="5" max="13" width="13.140625" style="84" customWidth="1"/>
    <col min="14" max="16384" width="12.5703125" style="84"/>
  </cols>
  <sheetData>
    <row r="1" spans="1:12" x14ac:dyDescent="0.2">
      <c r="A1" s="83" t="s">
        <v>13</v>
      </c>
    </row>
    <row r="2" spans="1:12" x14ac:dyDescent="0.2">
      <c r="A2" s="83" t="s">
        <v>14</v>
      </c>
    </row>
    <row r="3" spans="1:12" x14ac:dyDescent="0.2">
      <c r="A3" s="15">
        <v>45366</v>
      </c>
    </row>
    <row r="4" spans="1:12" x14ac:dyDescent="0.2">
      <c r="A4" s="85"/>
    </row>
    <row r="5" spans="1:12" x14ac:dyDescent="0.2">
      <c r="A5" s="86" t="str">
        <f>"Calculation of Utah Allocated REC Actuals for CY "&amp;YEAR(A3)-1</f>
        <v>Calculation of Utah Allocated REC Actuals for CY 2023</v>
      </c>
      <c r="E5" s="87"/>
    </row>
    <row r="6" spans="1:12" x14ac:dyDescent="0.2">
      <c r="B6" s="88"/>
      <c r="C6" s="88"/>
      <c r="D6" s="88"/>
      <c r="E6" s="89"/>
      <c r="F6" s="88"/>
      <c r="G6" s="88"/>
      <c r="H6" s="88"/>
      <c r="I6" s="88"/>
      <c r="J6" s="90"/>
      <c r="K6" s="90"/>
      <c r="L6" s="90"/>
    </row>
    <row r="7" spans="1:12" x14ac:dyDescent="0.2">
      <c r="A7" s="88"/>
      <c r="B7" s="88"/>
      <c r="C7" s="88"/>
      <c r="D7" s="88"/>
      <c r="E7" s="88"/>
      <c r="F7" s="88"/>
      <c r="G7" s="91"/>
      <c r="H7" s="88"/>
      <c r="I7" s="88"/>
      <c r="J7" s="88"/>
      <c r="K7" s="88"/>
      <c r="L7" s="88"/>
    </row>
    <row r="8" spans="1:12" x14ac:dyDescent="0.2">
      <c r="A8" s="84" t="str">
        <f>"Jan - Dec "&amp;YEAR(A3)-1&amp;" - Actual REC Revenues - CA/OR/WA Eligible Resources(1)"</f>
        <v>Jan - Dec 2023 - Actual REC Revenues - CA/OR/WA Eligible Resources(1)</v>
      </c>
      <c r="B8" s="88"/>
      <c r="C8" s="88"/>
      <c r="D8" s="92">
        <v>8098004.9450156549</v>
      </c>
      <c r="E8" s="93"/>
      <c r="H8" s="88"/>
      <c r="I8" s="88"/>
      <c r="J8" s="88"/>
      <c r="K8" s="88"/>
      <c r="L8" s="88"/>
    </row>
    <row r="9" spans="1:12" x14ac:dyDescent="0.2">
      <c r="A9" s="94"/>
      <c r="B9" s="88"/>
      <c r="C9" s="88"/>
      <c r="D9" s="95"/>
      <c r="E9" s="88"/>
      <c r="G9" s="88"/>
      <c r="H9" s="88"/>
      <c r="I9" s="88"/>
      <c r="J9" s="88"/>
      <c r="K9" s="96"/>
      <c r="L9" s="97"/>
    </row>
    <row r="10" spans="1:12" x14ac:dyDescent="0.2">
      <c r="A10" s="84" t="str">
        <f>"Jan - Dec "&amp;YEAR(A3)-1&amp;" - Actual REC Revenues - CA/OR Eligible Resources(1)"</f>
        <v>Jan - Dec 2023 - Actual REC Revenues - CA/OR Eligible Resources(1)</v>
      </c>
      <c r="B10" s="88"/>
      <c r="C10" s="88"/>
      <c r="D10" s="95">
        <v>432511.90935127949</v>
      </c>
      <c r="E10" s="88"/>
      <c r="G10" s="88"/>
      <c r="H10" s="88"/>
      <c r="I10" s="98"/>
      <c r="J10" s="88"/>
      <c r="K10" s="96"/>
      <c r="L10" s="97"/>
    </row>
    <row r="11" spans="1:12" x14ac:dyDescent="0.2">
      <c r="A11" s="94"/>
      <c r="B11" s="88"/>
      <c r="C11" s="88"/>
      <c r="D11" s="99"/>
      <c r="E11" s="88"/>
      <c r="G11" s="88"/>
      <c r="H11" s="88"/>
      <c r="I11" s="88"/>
      <c r="J11" s="88"/>
      <c r="K11" s="96"/>
      <c r="L11" s="97"/>
    </row>
    <row r="12" spans="1:12" x14ac:dyDescent="0.2">
      <c r="A12" s="84" t="str">
        <f>"Jan - Dec "&amp;YEAR(A3)-1&amp;" -  Actual REC Revenues  - CA Eligible Resources(1)"</f>
        <v>Jan - Dec 2023 -  Actual REC Revenues  - CA Eligible Resources(1)</v>
      </c>
      <c r="B12" s="83"/>
      <c r="C12" s="88"/>
      <c r="D12" s="95">
        <v>44303.268554064191</v>
      </c>
      <c r="E12" s="100"/>
      <c r="F12" s="100"/>
      <c r="G12" s="88"/>
      <c r="H12" s="83"/>
      <c r="I12" s="88"/>
      <c r="J12" s="88"/>
      <c r="K12" s="101"/>
      <c r="L12" s="97"/>
    </row>
    <row r="13" spans="1:12" x14ac:dyDescent="0.2">
      <c r="B13" s="83"/>
      <c r="C13" s="88"/>
      <c r="D13" s="102"/>
      <c r="E13" s="100"/>
      <c r="F13" s="100"/>
      <c r="G13" s="88"/>
      <c r="H13" s="83"/>
      <c r="I13" s="88"/>
      <c r="J13" s="88"/>
      <c r="K13" s="101"/>
      <c r="L13" s="97"/>
    </row>
    <row r="14" spans="1:12" x14ac:dyDescent="0.2">
      <c r="A14" s="84" t="str">
        <f>"Jan - Dec "&amp;YEAR(A3)-1&amp;" -  Actual REC Revenues  - CA/WA Eligible Resources(1)"</f>
        <v>Jan - Dec 2023 -  Actual REC Revenues  - CA/WA Eligible Resources(1)</v>
      </c>
      <c r="B14" s="83"/>
      <c r="C14" s="88"/>
      <c r="D14" s="95">
        <v>541539.95309313224</v>
      </c>
      <c r="E14" s="100"/>
      <c r="F14" s="100"/>
      <c r="G14" s="88"/>
      <c r="H14" s="83"/>
      <c r="I14" s="88"/>
      <c r="J14" s="88"/>
      <c r="K14" s="101"/>
      <c r="L14" s="97"/>
    </row>
    <row r="15" spans="1:12" x14ac:dyDescent="0.2">
      <c r="B15" s="83"/>
      <c r="C15" s="88"/>
      <c r="D15" s="102"/>
      <c r="E15" s="100"/>
      <c r="F15" s="100"/>
      <c r="G15" s="88"/>
      <c r="H15" s="83"/>
      <c r="I15" s="88"/>
      <c r="J15" s="88"/>
      <c r="K15" s="101"/>
      <c r="L15" s="97"/>
    </row>
    <row r="16" spans="1:12" x14ac:dyDescent="0.2">
      <c r="A16" s="84" t="str">
        <f>"Jan - Dec "&amp;YEAR(A3)-1&amp;" -  Actual REC Revenues  - OR/WA Eligible Resources(1)"</f>
        <v>Jan - Dec 2023 -  Actual REC Revenues  - OR/WA Eligible Resources(1)</v>
      </c>
      <c r="B16" s="83"/>
      <c r="C16" s="88"/>
      <c r="D16" s="95">
        <v>227216.76332919602</v>
      </c>
      <c r="E16" s="100"/>
      <c r="F16" s="100"/>
      <c r="G16" s="88"/>
      <c r="H16" s="83"/>
      <c r="I16" s="88"/>
      <c r="J16" s="88"/>
      <c r="K16" s="101"/>
      <c r="L16" s="97"/>
    </row>
    <row r="17" spans="1:13" x14ac:dyDescent="0.2">
      <c r="B17" s="83"/>
      <c r="C17" s="88"/>
      <c r="D17" s="102"/>
      <c r="E17" s="100"/>
      <c r="F17" s="100"/>
      <c r="G17" s="88"/>
      <c r="H17" s="83"/>
      <c r="I17" s="88"/>
      <c r="J17" s="88"/>
      <c r="K17" s="101"/>
      <c r="L17" s="97"/>
    </row>
    <row r="18" spans="1:13" x14ac:dyDescent="0.2">
      <c r="A18" s="84" t="str">
        <f>"Jan - Dec "&amp;YEAR(A3)-1&amp;" -  Actual REC Revenues  - OR Eligible Resources(1)"</f>
        <v>Jan - Dec 2023 -  Actual REC Revenues  - OR Eligible Resources(1)</v>
      </c>
      <c r="B18" s="83"/>
      <c r="C18" s="88"/>
      <c r="D18" s="95">
        <v>51253.781340762747</v>
      </c>
      <c r="E18" s="100"/>
      <c r="F18" s="100"/>
      <c r="G18" s="88"/>
      <c r="H18" s="83"/>
      <c r="I18" s="88"/>
      <c r="J18" s="88"/>
      <c r="K18" s="101"/>
      <c r="L18" s="97"/>
    </row>
    <row r="19" spans="1:13" ht="14.1" customHeight="1" x14ac:dyDescent="0.2">
      <c r="B19" s="83"/>
      <c r="C19" s="88"/>
      <c r="D19" s="102"/>
      <c r="E19" s="100"/>
      <c r="F19" s="100"/>
      <c r="G19" s="88"/>
      <c r="H19" s="83"/>
      <c r="I19" s="88"/>
      <c r="J19" s="88"/>
      <c r="K19" s="101"/>
      <c r="L19" s="97"/>
    </row>
    <row r="20" spans="1:13" x14ac:dyDescent="0.2">
      <c r="A20" s="84" t="str">
        <f>"Jan - Dec "&amp;YEAR(A3)-1&amp;" -  Actual REC Revenues  - Not Eligibile for RPS Compliance(1)"</f>
        <v>Jan - Dec 2023 -  Actual REC Revenues  - Not Eligibile for RPS Compliance(1)</v>
      </c>
      <c r="B20" s="83"/>
      <c r="C20" s="88"/>
      <c r="D20" s="95">
        <v>210761.54931590997</v>
      </c>
      <c r="E20" s="100"/>
      <c r="F20" s="100"/>
      <c r="G20" s="88"/>
      <c r="H20" s="83"/>
      <c r="I20" s="88"/>
      <c r="J20" s="88"/>
      <c r="K20" s="101"/>
      <c r="L20" s="97"/>
    </row>
    <row r="21" spans="1:13" x14ac:dyDescent="0.2">
      <c r="A21" s="85"/>
      <c r="E21" s="103"/>
    </row>
    <row r="22" spans="1:13" x14ac:dyDescent="0.2">
      <c r="A22" s="84" t="str">
        <f>"Total Jan - Dec "&amp;YEAR(A3)-1&amp;" REC Revenues"</f>
        <v>Total Jan - Dec 2023 REC Revenues</v>
      </c>
      <c r="D22" s="104">
        <f>SUM(D8:D20)</f>
        <v>9605592.1699999999</v>
      </c>
      <c r="E22" s="103"/>
      <c r="F22" s="103"/>
    </row>
    <row r="23" spans="1:13" x14ac:dyDescent="0.2">
      <c r="A23" s="88"/>
      <c r="B23" s="83"/>
      <c r="C23" s="88"/>
      <c r="D23" s="88"/>
      <c r="F23" s="105"/>
      <c r="G23" s="88"/>
      <c r="H23" s="88"/>
      <c r="I23" s="88"/>
      <c r="J23" s="88"/>
      <c r="K23" s="101"/>
      <c r="L23" s="97"/>
    </row>
    <row r="24" spans="1:13" x14ac:dyDescent="0.2">
      <c r="A24" s="83" t="str">
        <f>"Reallocate Jan - Dec "&amp;YEAR(A3)-1&amp;" REC Revenues for Renewable Portfolio Standards"</f>
        <v>Reallocate Jan - Dec 2023 REC Revenues for Renewable Portfolio Standards</v>
      </c>
      <c r="B24" s="88"/>
      <c r="C24" s="88"/>
      <c r="D24" s="88"/>
      <c r="E24" s="88"/>
      <c r="F24" s="88"/>
      <c r="G24" s="88"/>
      <c r="H24" s="88"/>
      <c r="I24" s="88"/>
      <c r="J24" s="90" t="s">
        <v>86</v>
      </c>
      <c r="K24" s="88"/>
      <c r="L24" s="88"/>
      <c r="M24" s="106"/>
    </row>
    <row r="25" spans="1:13" ht="15.75" customHeight="1" x14ac:dyDescent="0.2">
      <c r="A25" s="88"/>
      <c r="B25" s="88"/>
      <c r="C25" s="107"/>
      <c r="D25" s="107" t="s">
        <v>87</v>
      </c>
      <c r="E25" s="107" t="s">
        <v>37</v>
      </c>
      <c r="F25" s="107" t="s">
        <v>88</v>
      </c>
      <c r="G25" s="107" t="s">
        <v>89</v>
      </c>
      <c r="H25" s="108" t="s">
        <v>90</v>
      </c>
      <c r="I25" s="107" t="s">
        <v>91</v>
      </c>
      <c r="J25" s="107" t="s">
        <v>92</v>
      </c>
      <c r="K25" s="107" t="s">
        <v>93</v>
      </c>
      <c r="L25" s="107" t="s">
        <v>94</v>
      </c>
      <c r="M25" s="109"/>
    </row>
    <row r="26" spans="1:13" x14ac:dyDescent="0.2">
      <c r="A26" s="88"/>
      <c r="B26" s="94" t="str">
        <f>"CY "&amp;YEAR(A3)-1&amp;" Actual SG Factor - See Page 2.2"</f>
        <v>CY 2023 Actual SG Factor - See Page 2.2</v>
      </c>
      <c r="C26" s="88"/>
      <c r="D26" s="110" t="s">
        <v>95</v>
      </c>
      <c r="E26" s="111">
        <f>SUM(F26:L26)</f>
        <v>1</v>
      </c>
      <c r="F26" s="90">
        <f>'Page 2.2'!E43</f>
        <v>1.4739767588807687E-2</v>
      </c>
      <c r="G26" s="90">
        <f>'Page 2.2'!F43</f>
        <v>0.2728292468282289</v>
      </c>
      <c r="H26" s="90">
        <f>'Page 2.2'!G43</f>
        <v>7.7386335360771719E-2</v>
      </c>
      <c r="I26" s="90">
        <f>'Page 2.2'!J43</f>
        <v>0.13953858963667157</v>
      </c>
      <c r="J26" s="90">
        <f>'Page 2.2'!H43</f>
        <v>0.4394763958322499</v>
      </c>
      <c r="K26" s="90">
        <f>'Page 2.2'!I43</f>
        <v>5.5791821637744883E-2</v>
      </c>
      <c r="L26" s="90">
        <f>'Page 2.2'!K43</f>
        <v>2.3784311552545019E-4</v>
      </c>
      <c r="M26" s="112"/>
    </row>
    <row r="27" spans="1:13" ht="13.5" thickBot="1" x14ac:dyDescent="0.25">
      <c r="A27" s="88"/>
      <c r="B27" s="88"/>
      <c r="C27" s="88"/>
      <c r="D27" s="110"/>
      <c r="E27" s="111"/>
      <c r="F27" s="90"/>
      <c r="G27" s="90"/>
      <c r="H27" s="90"/>
      <c r="I27" s="90"/>
      <c r="J27" s="90"/>
      <c r="K27" s="90"/>
      <c r="L27" s="90"/>
    </row>
    <row r="28" spans="1:13" x14ac:dyDescent="0.2">
      <c r="A28" s="83" t="str">
        <f>"Actual Jan - Dec "&amp;YEAR(A3)-1&amp;" REC Rev - Eligible for CA/OR/WA RPS"</f>
        <v>Actual Jan - Dec 2023 REC Rev - Eligible for CA/OR/WA RPS</v>
      </c>
      <c r="B28" s="88"/>
      <c r="C28" s="110"/>
      <c r="D28" s="110" t="s">
        <v>95</v>
      </c>
      <c r="E28" s="113">
        <f>D8</f>
        <v>8098004.9450156549</v>
      </c>
      <c r="F28" s="114">
        <f>$E$28*F26</f>
        <v>119362.71082254613</v>
      </c>
      <c r="G28" s="114">
        <f t="shared" ref="G28:L28" si="0">$E$28*G26</f>
        <v>2209372.5899598943</v>
      </c>
      <c r="H28" s="115">
        <f t="shared" si="0"/>
        <v>626674.92642816924</v>
      </c>
      <c r="I28" s="116">
        <f t="shared" si="0"/>
        <v>1129984.1888982765</v>
      </c>
      <c r="J28" s="116">
        <f t="shared" si="0"/>
        <v>3558882.0266672173</v>
      </c>
      <c r="K28" s="116">
        <f t="shared" si="0"/>
        <v>451802.44751388946</v>
      </c>
      <c r="L28" s="117">
        <f t="shared" si="0"/>
        <v>1926.0547256630252</v>
      </c>
    </row>
    <row r="29" spans="1:13" x14ac:dyDescent="0.2">
      <c r="A29" s="88"/>
      <c r="B29" s="88"/>
      <c r="C29" s="110"/>
      <c r="D29" s="110"/>
      <c r="E29" s="118"/>
      <c r="F29" s="119"/>
      <c r="G29" s="119"/>
      <c r="H29" s="120"/>
      <c r="I29" s="119"/>
      <c r="J29" s="119"/>
      <c r="K29" s="119"/>
      <c r="L29" s="121"/>
    </row>
    <row r="30" spans="1:13" x14ac:dyDescent="0.2">
      <c r="A30" s="88"/>
      <c r="B30" s="88" t="s">
        <v>96</v>
      </c>
      <c r="C30" s="110"/>
      <c r="D30" s="110" t="s">
        <v>95</v>
      </c>
      <c r="E30" s="122">
        <f>(E28/(1-SUM($F$26:$H$26)))-E28</f>
        <v>4653862.0964314239</v>
      </c>
      <c r="F30" s="119">
        <f t="shared" ref="F30:L30" si="1">$E$30*F26</f>
        <v>68596.845691760493</v>
      </c>
      <c r="G30" s="119">
        <f t="shared" si="1"/>
        <v>1269709.6906118277</v>
      </c>
      <c r="H30" s="120">
        <f t="shared" si="1"/>
        <v>360145.3329172263</v>
      </c>
      <c r="I30" s="119">
        <f t="shared" si="1"/>
        <v>649393.3532996045</v>
      </c>
      <c r="J30" s="119">
        <f t="shared" si="1"/>
        <v>2045262.5408400008</v>
      </c>
      <c r="K30" s="119">
        <f t="shared" si="1"/>
        <v>259647.44401076349</v>
      </c>
      <c r="L30" s="121">
        <f t="shared" si="1"/>
        <v>1106.8890602410529</v>
      </c>
    </row>
    <row r="31" spans="1:13" x14ac:dyDescent="0.2">
      <c r="A31" s="88"/>
      <c r="B31" s="88" t="s">
        <v>96</v>
      </c>
      <c r="C31" s="110"/>
      <c r="D31" s="110" t="s">
        <v>97</v>
      </c>
      <c r="E31" s="123">
        <f>-E30</f>
        <v>-4653862.0964314239</v>
      </c>
      <c r="F31" s="124">
        <f>-SUM(F28:F30)</f>
        <v>-187959.55651430663</v>
      </c>
      <c r="G31" s="124">
        <f>-SUM(G28:G30)</f>
        <v>-3479082.280571722</v>
      </c>
      <c r="H31" s="125">
        <f>-SUM(H28:H30)</f>
        <v>-986820.25934539549</v>
      </c>
      <c r="I31" s="126"/>
      <c r="J31" s="126"/>
      <c r="K31" s="126"/>
      <c r="L31" s="127"/>
    </row>
    <row r="32" spans="1:13" x14ac:dyDescent="0.2">
      <c r="A32" s="88"/>
      <c r="B32" s="88"/>
      <c r="C32" s="110"/>
      <c r="D32" s="110"/>
      <c r="E32" s="118"/>
      <c r="F32" s="128"/>
      <c r="G32" s="128"/>
      <c r="H32" s="129"/>
      <c r="I32" s="96"/>
      <c r="J32" s="96"/>
      <c r="K32" s="96"/>
      <c r="L32" s="130"/>
    </row>
    <row r="33" spans="1:13" ht="13.5" thickBot="1" x14ac:dyDescent="0.25">
      <c r="A33" s="83" t="str">
        <f>"Actual Jan - Dec "&amp;YEAR(A3)-1&amp;" REC Revenues - Reallocated totals"</f>
        <v>Actual Jan - Dec 2023 REC Revenues - Reallocated totals</v>
      </c>
      <c r="B33" s="88"/>
      <c r="C33" s="88"/>
      <c r="D33" s="88"/>
      <c r="E33" s="131">
        <f t="shared" ref="E33:L33" si="2">SUM(E28:E31)</f>
        <v>8098004.9450156549</v>
      </c>
      <c r="F33" s="132">
        <f t="shared" si="2"/>
        <v>0</v>
      </c>
      <c r="G33" s="132">
        <f t="shared" si="2"/>
        <v>0</v>
      </c>
      <c r="H33" s="133">
        <f t="shared" si="2"/>
        <v>0</v>
      </c>
      <c r="I33" s="126">
        <f t="shared" si="2"/>
        <v>1779377.542197881</v>
      </c>
      <c r="J33" s="126">
        <f t="shared" si="2"/>
        <v>5604144.5675072186</v>
      </c>
      <c r="K33" s="126">
        <f t="shared" si="2"/>
        <v>711449.89152465295</v>
      </c>
      <c r="L33" s="127">
        <f t="shared" si="2"/>
        <v>3032.9437859040781</v>
      </c>
    </row>
    <row r="34" spans="1:13" ht="13.5" thickBot="1" x14ac:dyDescent="0.25">
      <c r="A34" s="88"/>
      <c r="B34" s="88"/>
      <c r="C34" s="88"/>
      <c r="D34" s="88"/>
      <c r="E34" s="134"/>
      <c r="F34" s="134"/>
      <c r="G34" s="134"/>
      <c r="H34" s="96"/>
      <c r="I34" s="96"/>
      <c r="J34" s="96"/>
      <c r="K34" s="96"/>
      <c r="L34" s="96"/>
    </row>
    <row r="35" spans="1:13" x14ac:dyDescent="0.2">
      <c r="A35" s="83" t="str">
        <f>"Actual Jan - Dec "&amp;YEAR(A3)-1&amp;" REC Rev - Eligible for CA/OR RPS"</f>
        <v>Actual Jan - Dec 2023 REC Rev - Eligible for CA/OR RPS</v>
      </c>
      <c r="B35" s="88"/>
      <c r="C35" s="110"/>
      <c r="D35" s="110" t="s">
        <v>95</v>
      </c>
      <c r="E35" s="113">
        <f>D10</f>
        <v>432511.90935127949</v>
      </c>
      <c r="F35" s="114">
        <f t="shared" ref="F35:L35" si="3">$E$35*F26</f>
        <v>6375.1250232293178</v>
      </c>
      <c r="G35" s="115">
        <f t="shared" si="3"/>
        <v>118001.8984725488</v>
      </c>
      <c r="H35" s="116">
        <f t="shared" si="3"/>
        <v>33470.511664585814</v>
      </c>
      <c r="I35" s="116">
        <f t="shared" si="3"/>
        <v>60352.10183194148</v>
      </c>
      <c r="J35" s="116">
        <f t="shared" si="3"/>
        <v>190078.77507622508</v>
      </c>
      <c r="K35" s="116">
        <f t="shared" si="3"/>
        <v>24130.627302727069</v>
      </c>
      <c r="L35" s="117">
        <f t="shared" si="3"/>
        <v>102.86998002196941</v>
      </c>
    </row>
    <row r="36" spans="1:13" x14ac:dyDescent="0.2">
      <c r="A36" s="83"/>
      <c r="B36" s="88"/>
      <c r="C36" s="110"/>
      <c r="D36" s="110"/>
      <c r="E36" s="118"/>
      <c r="F36" s="119"/>
      <c r="G36" s="120"/>
      <c r="H36" s="119"/>
      <c r="I36" s="119"/>
      <c r="J36" s="119"/>
      <c r="K36" s="119"/>
      <c r="L36" s="121"/>
    </row>
    <row r="37" spans="1:13" x14ac:dyDescent="0.2">
      <c r="A37" s="83"/>
      <c r="B37" s="88" t="s">
        <v>96</v>
      </c>
      <c r="C37" s="110"/>
      <c r="D37" s="110" t="s">
        <v>95</v>
      </c>
      <c r="E37" s="122">
        <f>(E35/(1-SUM(F26:G26)))-E35</f>
        <v>174581.15384187526</v>
      </c>
      <c r="F37" s="119">
        <f>$E$37*F26</f>
        <v>2573.2856330151217</v>
      </c>
      <c r="G37" s="120">
        <f t="shared" ref="G37:L37" si="4">$E$37*G26</f>
        <v>47630.844713081984</v>
      </c>
      <c r="H37" s="119">
        <f t="shared" si="4"/>
        <v>13510.19571887784</v>
      </c>
      <c r="I37" s="119">
        <f t="shared" si="4"/>
        <v>24360.807984238061</v>
      </c>
      <c r="J37" s="119">
        <f t="shared" si="4"/>
        <v>76724.29627066289</v>
      </c>
      <c r="K37" s="119">
        <f t="shared" si="4"/>
        <v>9740.2005964576038</v>
      </c>
      <c r="L37" s="121">
        <f t="shared" si="4"/>
        <v>41.522925541779529</v>
      </c>
    </row>
    <row r="38" spans="1:13" x14ac:dyDescent="0.2">
      <c r="A38" s="83"/>
      <c r="B38" s="88" t="s">
        <v>96</v>
      </c>
      <c r="C38" s="110"/>
      <c r="D38" s="110" t="s">
        <v>97</v>
      </c>
      <c r="E38" s="123">
        <f>-E37</f>
        <v>-174581.15384187526</v>
      </c>
      <c r="F38" s="124">
        <f>-SUM(F35:F37)</f>
        <v>-8948.4106562444395</v>
      </c>
      <c r="G38" s="125">
        <f>-SUM(G35:G37)</f>
        <v>-165632.74318563077</v>
      </c>
      <c r="H38" s="126"/>
      <c r="I38" s="126"/>
      <c r="J38" s="126"/>
      <c r="K38" s="126"/>
      <c r="L38" s="127"/>
    </row>
    <row r="39" spans="1:13" x14ac:dyDescent="0.2">
      <c r="A39" s="83"/>
      <c r="B39" s="88"/>
      <c r="C39" s="110"/>
      <c r="D39" s="110"/>
      <c r="E39" s="118"/>
      <c r="F39" s="128"/>
      <c r="G39" s="129"/>
      <c r="H39" s="119"/>
      <c r="I39" s="96"/>
      <c r="J39" s="96"/>
      <c r="K39" s="96"/>
      <c r="L39" s="130"/>
    </row>
    <row r="40" spans="1:13" ht="13.5" thickBot="1" x14ac:dyDescent="0.25">
      <c r="A40" s="83" t="str">
        <f>"Actual Jan - Dec "&amp;YEAR(A3)-1&amp;" REC Revenues - Reallocated totals"</f>
        <v>Actual Jan - Dec 2023 REC Revenues - Reallocated totals</v>
      </c>
      <c r="B40" s="88"/>
      <c r="C40" s="88"/>
      <c r="D40" s="88"/>
      <c r="E40" s="131">
        <f t="shared" ref="E40:L40" si="5">SUM(E35:E38)</f>
        <v>432511.90935127949</v>
      </c>
      <c r="F40" s="132">
        <f>SUM(F35:F38)</f>
        <v>0</v>
      </c>
      <c r="G40" s="133">
        <f t="shared" si="5"/>
        <v>0</v>
      </c>
      <c r="H40" s="126">
        <f t="shared" si="5"/>
        <v>46980.707383463654</v>
      </c>
      <c r="I40" s="126">
        <f t="shared" si="5"/>
        <v>84712.909816179541</v>
      </c>
      <c r="J40" s="126">
        <f t="shared" si="5"/>
        <v>266803.07134688797</v>
      </c>
      <c r="K40" s="126">
        <f t="shared" si="5"/>
        <v>33870.827899184675</v>
      </c>
      <c r="L40" s="127">
        <f t="shared" si="5"/>
        <v>144.39290556374894</v>
      </c>
    </row>
    <row r="41" spans="1:13" ht="13.5" thickBot="1" x14ac:dyDescent="0.25">
      <c r="A41" s="88"/>
      <c r="B41" s="88"/>
      <c r="C41" s="88"/>
      <c r="D41" s="88"/>
      <c r="E41" s="134"/>
      <c r="F41" s="134"/>
      <c r="G41" s="134"/>
      <c r="H41" s="96"/>
      <c r="I41" s="96"/>
      <c r="J41" s="96"/>
      <c r="K41" s="96"/>
      <c r="L41" s="96"/>
      <c r="M41" s="128"/>
    </row>
    <row r="42" spans="1:13" x14ac:dyDescent="0.2">
      <c r="A42" s="83" t="str">
        <f>"Actual Jan - Dec "&amp;YEAR(A3)-1&amp;" REC Rev - Eligible for CA RPS Only"</f>
        <v>Actual Jan - Dec 2023 REC Rev - Eligible for CA RPS Only</v>
      </c>
      <c r="B42" s="88"/>
      <c r="C42" s="110"/>
      <c r="D42" s="110" t="s">
        <v>95</v>
      </c>
      <c r="E42" s="135">
        <f>D12</f>
        <v>44303.268554064191</v>
      </c>
      <c r="F42" s="136">
        <f t="shared" ref="F42:L42" si="6">$E$42*F26</f>
        <v>653.01988191143823</v>
      </c>
      <c r="G42" s="116">
        <f t="shared" si="6"/>
        <v>12087.227391634091</v>
      </c>
      <c r="H42" s="116">
        <f t="shared" si="6"/>
        <v>3428.4675979031435</v>
      </c>
      <c r="I42" s="116">
        <f t="shared" si="6"/>
        <v>6182.0156103288191</v>
      </c>
      <c r="J42" s="116">
        <f t="shared" si="6"/>
        <v>19470.240787728384</v>
      </c>
      <c r="K42" s="116">
        <f t="shared" si="6"/>
        <v>2471.760057137461</v>
      </c>
      <c r="L42" s="117">
        <f t="shared" si="6"/>
        <v>10.537227420859335</v>
      </c>
      <c r="M42" s="137"/>
    </row>
    <row r="43" spans="1:13" x14ac:dyDescent="0.2">
      <c r="A43" s="88"/>
      <c r="B43" s="88"/>
      <c r="C43" s="110"/>
      <c r="D43" s="110"/>
      <c r="E43" s="118"/>
      <c r="F43" s="138"/>
      <c r="G43" s="137"/>
      <c r="H43" s="137"/>
      <c r="I43" s="137"/>
      <c r="J43" s="137"/>
      <c r="K43" s="137"/>
      <c r="L43" s="139"/>
      <c r="M43" s="137"/>
    </row>
    <row r="44" spans="1:13" x14ac:dyDescent="0.2">
      <c r="A44" s="88"/>
      <c r="B44" s="88" t="s">
        <v>96</v>
      </c>
      <c r="C44" s="110"/>
      <c r="D44" s="110" t="s">
        <v>95</v>
      </c>
      <c r="E44" s="140">
        <f>(E42/(1-$F$26))-E42</f>
        <v>662.78924128838844</v>
      </c>
      <c r="F44" s="138">
        <f t="shared" ref="F44:L44" si="7">$E$44*F26</f>
        <v>9.7693593769530267</v>
      </c>
      <c r="G44" s="137">
        <f t="shared" si="7"/>
        <v>180.82828950656429</v>
      </c>
      <c r="H44" s="137">
        <f t="shared" si="7"/>
        <v>51.290830499854671</v>
      </c>
      <c r="I44" s="137">
        <f t="shared" si="7"/>
        <v>92.484675955741324</v>
      </c>
      <c r="J44" s="137">
        <f t="shared" si="7"/>
        <v>291.28022695781237</v>
      </c>
      <c r="K44" s="137">
        <f t="shared" si="7"/>
        <v>36.978219133378026</v>
      </c>
      <c r="L44" s="139">
        <f t="shared" si="7"/>
        <v>0.15763985808477965</v>
      </c>
      <c r="M44" s="137"/>
    </row>
    <row r="45" spans="1:13" x14ac:dyDescent="0.2">
      <c r="A45" s="88"/>
      <c r="B45" s="88" t="s">
        <v>96</v>
      </c>
      <c r="C45" s="110"/>
      <c r="D45" s="110" t="s">
        <v>97</v>
      </c>
      <c r="E45" s="141">
        <f>-E44</f>
        <v>-662.78924128838844</v>
      </c>
      <c r="F45" s="142">
        <f>-SUM(F42:F44)</f>
        <v>-662.78924128839128</v>
      </c>
      <c r="G45" s="143"/>
      <c r="H45" s="144"/>
      <c r="I45" s="144"/>
      <c r="J45" s="144"/>
      <c r="K45" s="144"/>
      <c r="L45" s="145"/>
      <c r="M45" s="146"/>
    </row>
    <row r="46" spans="1:13" x14ac:dyDescent="0.2">
      <c r="A46" s="88"/>
      <c r="B46" s="88"/>
      <c r="C46" s="110"/>
      <c r="D46" s="110"/>
      <c r="E46" s="118"/>
      <c r="F46" s="129"/>
      <c r="G46" s="128"/>
      <c r="H46" s="146"/>
      <c r="I46" s="146"/>
      <c r="J46" s="146"/>
      <c r="K46" s="146"/>
      <c r="L46" s="147"/>
      <c r="M46" s="146"/>
    </row>
    <row r="47" spans="1:13" ht="13.5" thickBot="1" x14ac:dyDescent="0.25">
      <c r="A47" s="83" t="str">
        <f>"Actual Jan - Dec "&amp;YEAR(A3)-1&amp;" REC Revenues - Reallocated totals"</f>
        <v>Actual Jan - Dec 2023 REC Revenues - Reallocated totals</v>
      </c>
      <c r="B47" s="88"/>
      <c r="C47" s="88"/>
      <c r="D47" s="88"/>
      <c r="E47" s="148">
        <f t="shared" ref="E47:L47" si="8">SUM(E42:E45)</f>
        <v>44303.268554064191</v>
      </c>
      <c r="F47" s="149">
        <f t="shared" si="8"/>
        <v>0</v>
      </c>
      <c r="G47" s="144">
        <f>SUM(G42:G45)</f>
        <v>12268.055681140655</v>
      </c>
      <c r="H47" s="144">
        <f t="shared" si="8"/>
        <v>3479.7584284029981</v>
      </c>
      <c r="I47" s="144">
        <f t="shared" si="8"/>
        <v>6274.5002862845604</v>
      </c>
      <c r="J47" s="144">
        <f t="shared" si="8"/>
        <v>19761.521014686197</v>
      </c>
      <c r="K47" s="144">
        <f t="shared" si="8"/>
        <v>2508.7382762708389</v>
      </c>
      <c r="L47" s="145">
        <f t="shared" si="8"/>
        <v>10.694867278944114</v>
      </c>
      <c r="M47" s="146"/>
    </row>
    <row r="48" spans="1:13" ht="13.5" thickBot="1" x14ac:dyDescent="0.25">
      <c r="A48" s="88"/>
      <c r="B48" s="88" t="s">
        <v>86</v>
      </c>
      <c r="C48" s="88"/>
      <c r="D48" s="88"/>
      <c r="E48" s="150"/>
      <c r="F48" s="150"/>
      <c r="G48" s="150"/>
      <c r="H48" s="146"/>
      <c r="I48" s="146"/>
      <c r="J48" s="146"/>
      <c r="K48" s="146"/>
      <c r="L48" s="146"/>
      <c r="M48" s="128"/>
    </row>
    <row r="49" spans="1:13" x14ac:dyDescent="0.2">
      <c r="A49" s="83" t="str">
        <f>"Actual Jan - Dec "&amp;YEAR(A3)-1&amp;" REC Rev - Eligible for CA/WA RPS"</f>
        <v>Actual Jan - Dec 2023 REC Rev - Eligible for CA/WA RPS</v>
      </c>
      <c r="B49" s="88"/>
      <c r="C49" s="88"/>
      <c r="D49" s="110" t="s">
        <v>95</v>
      </c>
      <c r="E49" s="135">
        <f>D14</f>
        <v>541539.95309313224</v>
      </c>
      <c r="F49" s="136">
        <f>$E$49*F26</f>
        <v>7982.1730486465858</v>
      </c>
      <c r="G49" s="116">
        <f t="shared" ref="G49:L49" si="9">$E$49*G26</f>
        <v>147747.93752979368</v>
      </c>
      <c r="H49" s="151">
        <f t="shared" si="9"/>
        <v>41907.792421321719</v>
      </c>
      <c r="I49" s="116">
        <f t="shared" si="9"/>
        <v>75565.721286524946</v>
      </c>
      <c r="J49" s="116">
        <f t="shared" si="9"/>
        <v>237994.02678453544</v>
      </c>
      <c r="K49" s="116">
        <f t="shared" si="9"/>
        <v>30213.500472684766</v>
      </c>
      <c r="L49" s="117">
        <f t="shared" si="9"/>
        <v>128.80154962517673</v>
      </c>
      <c r="M49" s="137"/>
    </row>
    <row r="50" spans="1:13" x14ac:dyDescent="0.2">
      <c r="A50" s="88"/>
      <c r="B50" s="88"/>
      <c r="C50" s="88"/>
      <c r="D50" s="88"/>
      <c r="E50" s="118"/>
      <c r="F50" s="138"/>
      <c r="G50" s="137"/>
      <c r="H50" s="152"/>
      <c r="I50" s="137"/>
      <c r="J50" s="137"/>
      <c r="K50" s="137"/>
      <c r="L50" s="139"/>
      <c r="M50" s="137"/>
    </row>
    <row r="51" spans="1:13" x14ac:dyDescent="0.2">
      <c r="A51" s="88"/>
      <c r="B51" s="88" t="s">
        <v>96</v>
      </c>
      <c r="C51" s="88"/>
      <c r="D51" s="110" t="s">
        <v>95</v>
      </c>
      <c r="E51" s="140">
        <f>(E49/(1-SUM(F26,H26))-E49)</f>
        <v>54952.527693609358</v>
      </c>
      <c r="F51" s="138">
        <f>$E$51*F26</f>
        <v>809.98748662132004</v>
      </c>
      <c r="G51" s="137">
        <f t="shared" ref="G51:L51" si="10">$E$51*G26</f>
        <v>14992.656741954832</v>
      </c>
      <c r="H51" s="152">
        <f t="shared" si="10"/>
        <v>4252.5747370197487</v>
      </c>
      <c r="I51" s="137">
        <f t="shared" si="10"/>
        <v>7667.9982113363858</v>
      </c>
      <c r="J51" s="137">
        <f t="shared" si="10"/>
        <v>24150.338812659342</v>
      </c>
      <c r="K51" s="137">
        <f t="shared" si="10"/>
        <v>3065.9016236250895</v>
      </c>
      <c r="L51" s="139">
        <f t="shared" si="10"/>
        <v>13.070080392646631</v>
      </c>
      <c r="M51" s="137"/>
    </row>
    <row r="52" spans="1:13" x14ac:dyDescent="0.2">
      <c r="A52" s="88"/>
      <c r="B52" s="88" t="s">
        <v>96</v>
      </c>
      <c r="C52" s="88"/>
      <c r="D52" s="110" t="s">
        <v>97</v>
      </c>
      <c r="E52" s="141">
        <f>-E51</f>
        <v>-54952.527693609358</v>
      </c>
      <c r="F52" s="142">
        <f>-SUM(F49:F51)</f>
        <v>-8792.1605352679053</v>
      </c>
      <c r="G52" s="143"/>
      <c r="H52" s="153">
        <f>-SUM(H49:H51)</f>
        <v>-46160.367158341469</v>
      </c>
      <c r="I52" s="144"/>
      <c r="J52" s="144"/>
      <c r="K52" s="144"/>
      <c r="L52" s="145"/>
      <c r="M52" s="146"/>
    </row>
    <row r="53" spans="1:13" x14ac:dyDescent="0.2">
      <c r="A53" s="88"/>
      <c r="B53" s="88"/>
      <c r="C53" s="88"/>
      <c r="D53" s="88"/>
      <c r="E53" s="118"/>
      <c r="F53" s="129"/>
      <c r="G53" s="128"/>
      <c r="H53" s="154"/>
      <c r="I53" s="146"/>
      <c r="J53" s="146"/>
      <c r="K53" s="146"/>
      <c r="L53" s="147"/>
      <c r="M53" s="146"/>
    </row>
    <row r="54" spans="1:13" ht="13.5" thickBot="1" x14ac:dyDescent="0.25">
      <c r="A54" s="83" t="str">
        <f>"Actual Jan - Dec "&amp;YEAR(A3)-1&amp;" REC Revenues - Reallocated totals"</f>
        <v>Actual Jan - Dec 2023 REC Revenues - Reallocated totals</v>
      </c>
      <c r="B54" s="88"/>
      <c r="C54" s="88"/>
      <c r="D54" s="88"/>
      <c r="E54" s="148">
        <f>SUM(E49:E52)</f>
        <v>541539.95309313224</v>
      </c>
      <c r="F54" s="149">
        <f>SUM(F49:F52)</f>
        <v>0</v>
      </c>
      <c r="G54" s="144">
        <f>SUM(G49:G52)</f>
        <v>162740.5942717485</v>
      </c>
      <c r="H54" s="155">
        <f t="shared" ref="H54:L54" si="11">SUM(H49:H52)</f>
        <v>0</v>
      </c>
      <c r="I54" s="144">
        <f t="shared" si="11"/>
        <v>83233.719497861326</v>
      </c>
      <c r="J54" s="144">
        <f t="shared" si="11"/>
        <v>262144.36559719476</v>
      </c>
      <c r="K54" s="144">
        <f t="shared" si="11"/>
        <v>33279.402096309852</v>
      </c>
      <c r="L54" s="145">
        <f t="shared" si="11"/>
        <v>141.87163001782335</v>
      </c>
      <c r="M54" s="146"/>
    </row>
    <row r="55" spans="1:13" ht="13.5" thickBot="1" x14ac:dyDescent="0.25">
      <c r="A55" s="83"/>
      <c r="B55" s="88"/>
      <c r="C55" s="88"/>
      <c r="D55" s="88"/>
      <c r="E55" s="150"/>
      <c r="F55" s="150"/>
      <c r="G55" s="150"/>
      <c r="H55" s="146"/>
      <c r="I55" s="146"/>
      <c r="J55" s="146"/>
      <c r="K55" s="146"/>
      <c r="L55" s="146"/>
      <c r="M55" s="128"/>
    </row>
    <row r="56" spans="1:13" x14ac:dyDescent="0.2">
      <c r="A56" s="83" t="str">
        <f>"Actual Jan - Dec "&amp;YEAR(A3)-1&amp;" REC Rev - Eligible for OR/WA RPS"</f>
        <v>Actual Jan - Dec 2023 REC Rev - Eligible for OR/WA RPS</v>
      </c>
      <c r="B56" s="88"/>
      <c r="C56" s="88"/>
      <c r="D56" s="110" t="s">
        <v>95</v>
      </c>
      <c r="E56" s="156">
        <f>D16</f>
        <v>227216.76332919602</v>
      </c>
      <c r="F56" s="157">
        <f>$E$56*F26</f>
        <v>3349.1222837534706</v>
      </c>
      <c r="G56" s="135">
        <f t="shared" ref="G56:L56" si="12">$E$56*G26</f>
        <v>61991.378405852491</v>
      </c>
      <c r="H56" s="136">
        <f t="shared" si="12"/>
        <v>17583.47264658226</v>
      </c>
      <c r="I56" s="158">
        <f t="shared" si="12"/>
        <v>31705.506696765409</v>
      </c>
      <c r="J56" s="159">
        <f t="shared" si="12"/>
        <v>99856.404220584402</v>
      </c>
      <c r="K56" s="159">
        <f t="shared" si="12"/>
        <v>12676.837132768196</v>
      </c>
      <c r="L56" s="160">
        <f t="shared" si="12"/>
        <v>54.041942889824846</v>
      </c>
      <c r="M56" s="137"/>
    </row>
    <row r="57" spans="1:13" x14ac:dyDescent="0.2">
      <c r="A57" s="83"/>
      <c r="B57" s="88"/>
      <c r="C57" s="88"/>
      <c r="D57" s="88"/>
      <c r="E57" s="161"/>
      <c r="F57" s="137"/>
      <c r="G57" s="162"/>
      <c r="H57" s="138"/>
      <c r="I57" s="137"/>
      <c r="J57" s="137"/>
      <c r="K57" s="137"/>
      <c r="L57" s="139"/>
      <c r="M57" s="137"/>
    </row>
    <row r="58" spans="1:13" x14ac:dyDescent="0.2">
      <c r="A58" s="83"/>
      <c r="B58" s="88" t="s">
        <v>96</v>
      </c>
      <c r="C58" s="88"/>
      <c r="D58" s="110" t="s">
        <v>95</v>
      </c>
      <c r="E58" s="154">
        <f>(E56/(1-SUM(G26,H26))-E56)</f>
        <v>122463.46460647264</v>
      </c>
      <c r="F58" s="137">
        <f>$E$58*F26</f>
        <v>1805.0830064195827</v>
      </c>
      <c r="G58" s="162">
        <f t="shared" ref="G58:L58" si="13">$E$58*G26</f>
        <v>33411.614812559397</v>
      </c>
      <c r="H58" s="138">
        <f t="shared" si="13"/>
        <v>9476.99874147849</v>
      </c>
      <c r="I58" s="137">
        <f t="shared" si="13"/>
        <v>17088.37913320764</v>
      </c>
      <c r="J58" s="137">
        <f t="shared" si="13"/>
        <v>53819.802046382894</v>
      </c>
      <c r="K58" s="137">
        <f t="shared" si="13"/>
        <v>6832.4597744646053</v>
      </c>
      <c r="L58" s="139">
        <f t="shared" si="13"/>
        <v>29.127091960044151</v>
      </c>
      <c r="M58" s="137"/>
    </row>
    <row r="59" spans="1:13" x14ac:dyDescent="0.2">
      <c r="A59" s="83"/>
      <c r="B59" s="88" t="s">
        <v>96</v>
      </c>
      <c r="C59" s="88"/>
      <c r="D59" s="110" t="s">
        <v>97</v>
      </c>
      <c r="E59" s="163">
        <f>-E58</f>
        <v>-122463.46460647264</v>
      </c>
      <c r="F59" s="164"/>
      <c r="G59" s="164">
        <f>-SUM(G56:G58)</f>
        <v>-95402.993218411895</v>
      </c>
      <c r="H59" s="142">
        <f>-SUM(H56:H58)</f>
        <v>-27060.471388060752</v>
      </c>
      <c r="I59" s="144"/>
      <c r="J59" s="144"/>
      <c r="K59" s="144"/>
      <c r="L59" s="145"/>
      <c r="M59" s="146"/>
    </row>
    <row r="60" spans="1:13" x14ac:dyDescent="0.2">
      <c r="A60" s="83"/>
      <c r="B60" s="88"/>
      <c r="C60" s="88"/>
      <c r="D60" s="88"/>
      <c r="E60" s="161"/>
      <c r="F60" s="128"/>
      <c r="G60" s="118"/>
      <c r="H60" s="165"/>
      <c r="I60" s="146"/>
      <c r="J60" s="146"/>
      <c r="K60" s="146"/>
      <c r="L60" s="147"/>
      <c r="M60" s="146"/>
    </row>
    <row r="61" spans="1:13" ht="13.5" thickBot="1" x14ac:dyDescent="0.25">
      <c r="A61" s="83" t="str">
        <f>"Actual Jan - Dec "&amp;YEAR(A3)-1&amp;" REC Revenues - Reallocated totals"</f>
        <v>Actual Jan - Dec 2023 REC Revenues - Reallocated totals</v>
      </c>
      <c r="B61" s="88"/>
      <c r="C61" s="88"/>
      <c r="D61" s="88"/>
      <c r="E61" s="155">
        <f t="shared" ref="E61:L61" si="14">SUM(E56:E59)</f>
        <v>227216.76332919602</v>
      </c>
      <c r="F61" s="141">
        <f t="shared" si="14"/>
        <v>5154.2052901730531</v>
      </c>
      <c r="G61" s="148">
        <f t="shared" si="14"/>
        <v>0</v>
      </c>
      <c r="H61" s="149">
        <f t="shared" si="14"/>
        <v>0</v>
      </c>
      <c r="I61" s="144">
        <f t="shared" si="14"/>
        <v>48793.885829973049</v>
      </c>
      <c r="J61" s="144">
        <f t="shared" si="14"/>
        <v>153676.20626696729</v>
      </c>
      <c r="K61" s="144">
        <f t="shared" si="14"/>
        <v>19509.296907232801</v>
      </c>
      <c r="L61" s="145">
        <f t="shared" si="14"/>
        <v>83.169034849868993</v>
      </c>
      <c r="M61" s="146"/>
    </row>
    <row r="62" spans="1:13" ht="13.5" thickBot="1" x14ac:dyDescent="0.25">
      <c r="A62" s="83"/>
      <c r="B62" s="88"/>
      <c r="C62" s="88"/>
      <c r="D62" s="88"/>
      <c r="E62" s="150"/>
      <c r="F62" s="150"/>
      <c r="G62" s="150"/>
      <c r="H62" s="146"/>
      <c r="I62" s="146"/>
      <c r="J62" s="146"/>
      <c r="K62" s="146"/>
      <c r="L62" s="146"/>
      <c r="M62" s="128"/>
    </row>
    <row r="63" spans="1:13" x14ac:dyDescent="0.2">
      <c r="A63" s="83" t="str">
        <f>"Actual Jan - Dec "&amp;YEAR(A3)-1&amp;" REC Rev - Eligible for OR RPS"</f>
        <v>Actual Jan - Dec 2023 REC Rev - Eligible for OR RPS</v>
      </c>
      <c r="B63" s="88"/>
      <c r="C63" s="88"/>
      <c r="D63" s="110" t="s">
        <v>95</v>
      </c>
      <c r="E63" s="156">
        <f>D18</f>
        <v>51253.781340762747</v>
      </c>
      <c r="F63" s="157">
        <f>$E$63*F26</f>
        <v>755.46882501041091</v>
      </c>
      <c r="G63" s="156">
        <f t="shared" ref="G63:L63" si="15">$E$63*G26</f>
        <v>13983.530560299032</v>
      </c>
      <c r="H63" s="158">
        <f t="shared" si="15"/>
        <v>3966.3423113439299</v>
      </c>
      <c r="I63" s="159">
        <f t="shared" si="15"/>
        <v>7151.8803618363872</v>
      </c>
      <c r="J63" s="159">
        <f t="shared" si="15"/>
        <v>22524.827096412631</v>
      </c>
      <c r="K63" s="159">
        <f t="shared" si="15"/>
        <v>2859.5418268238118</v>
      </c>
      <c r="L63" s="160">
        <f t="shared" si="15"/>
        <v>12.190359036547198</v>
      </c>
      <c r="M63" s="128"/>
    </row>
    <row r="64" spans="1:13" x14ac:dyDescent="0.2">
      <c r="A64" s="83"/>
      <c r="B64" s="88"/>
      <c r="C64" s="88"/>
      <c r="D64" s="110"/>
      <c r="E64" s="161"/>
      <c r="F64" s="137"/>
      <c r="G64" s="152"/>
      <c r="H64" s="137"/>
      <c r="I64" s="137"/>
      <c r="J64" s="137"/>
      <c r="K64" s="137"/>
      <c r="L64" s="139"/>
      <c r="M64" s="128"/>
    </row>
    <row r="65" spans="1:13" x14ac:dyDescent="0.2">
      <c r="A65" s="88"/>
      <c r="B65" s="88" t="s">
        <v>96</v>
      </c>
      <c r="C65" s="88"/>
      <c r="D65" s="110" t="s">
        <v>95</v>
      </c>
      <c r="E65" s="154">
        <f>(E63/(1-G26))-E63</f>
        <v>19230.050850238018</v>
      </c>
      <c r="F65" s="137">
        <f>$E$65*F26</f>
        <v>283.44648025346203</v>
      </c>
      <c r="G65" s="152">
        <f t="shared" ref="G65:L65" si="16">$E$65*G26</f>
        <v>5246.5202899389815</v>
      </c>
      <c r="H65" s="137">
        <f t="shared" si="16"/>
        <v>1488.1431641012125</v>
      </c>
      <c r="I65" s="137">
        <f t="shared" si="16"/>
        <v>2683.3341742836901</v>
      </c>
      <c r="J65" s="137">
        <f t="shared" si="16"/>
        <v>8451.1534393334969</v>
      </c>
      <c r="K65" s="137">
        <f t="shared" si="16"/>
        <v>1072.8795671212438</v>
      </c>
      <c r="L65" s="139">
        <f t="shared" si="16"/>
        <v>4.5737352059334428</v>
      </c>
      <c r="M65" s="128"/>
    </row>
    <row r="66" spans="1:13" x14ac:dyDescent="0.2">
      <c r="A66" s="88"/>
      <c r="B66" s="88" t="s">
        <v>96</v>
      </c>
      <c r="C66" s="88"/>
      <c r="D66" s="110" t="s">
        <v>97</v>
      </c>
      <c r="E66" s="163">
        <f>-E65</f>
        <v>-19230.050850238018</v>
      </c>
      <c r="F66" s="143"/>
      <c r="G66" s="153">
        <f>-SUM(G63:G65)</f>
        <v>-19230.050850238014</v>
      </c>
      <c r="H66" s="143"/>
      <c r="I66" s="144"/>
      <c r="J66" s="144"/>
      <c r="K66" s="144"/>
      <c r="L66" s="145"/>
      <c r="M66" s="128"/>
    </row>
    <row r="67" spans="1:13" x14ac:dyDescent="0.2">
      <c r="A67" s="88"/>
      <c r="B67" s="88"/>
      <c r="C67" s="88"/>
      <c r="D67" s="88"/>
      <c r="E67" s="161"/>
      <c r="F67" s="128"/>
      <c r="G67" s="161"/>
      <c r="H67" s="146"/>
      <c r="I67" s="146"/>
      <c r="J67" s="146"/>
      <c r="K67" s="146"/>
      <c r="L67" s="147"/>
      <c r="M67" s="128"/>
    </row>
    <row r="68" spans="1:13" ht="13.5" thickBot="1" x14ac:dyDescent="0.25">
      <c r="A68" s="83" t="str">
        <f>"Actual Jan - Dec "&amp;YEAR(A3)-1&amp;" REC Revenues - Reallocated totals"</f>
        <v>Actual Jan - Dec 2023 REC Revenues - Reallocated totals</v>
      </c>
      <c r="B68" s="88"/>
      <c r="C68" s="88"/>
      <c r="D68" s="88"/>
      <c r="E68" s="155">
        <f t="shared" ref="E68:L68" si="17">SUM(E63:E66)</f>
        <v>51253.781340762747</v>
      </c>
      <c r="F68" s="144">
        <f t="shared" si="17"/>
        <v>1038.9153052638731</v>
      </c>
      <c r="G68" s="155">
        <f t="shared" si="17"/>
        <v>0</v>
      </c>
      <c r="H68" s="144">
        <f t="shared" si="17"/>
        <v>5454.4854754451426</v>
      </c>
      <c r="I68" s="144">
        <f t="shared" si="17"/>
        <v>9835.2145361200783</v>
      </c>
      <c r="J68" s="144">
        <f t="shared" si="17"/>
        <v>30975.98053574613</v>
      </c>
      <c r="K68" s="144">
        <f t="shared" si="17"/>
        <v>3932.4213939450556</v>
      </c>
      <c r="L68" s="145">
        <f t="shared" si="17"/>
        <v>16.764094242480642</v>
      </c>
      <c r="M68" s="128"/>
    </row>
    <row r="69" spans="1:13" x14ac:dyDescent="0.2">
      <c r="A69" s="88"/>
      <c r="B69" s="88"/>
      <c r="C69" s="88"/>
      <c r="D69" s="88"/>
      <c r="E69" s="166"/>
      <c r="F69" s="166"/>
      <c r="G69" s="166"/>
      <c r="H69" s="167"/>
      <c r="I69" s="167"/>
      <c r="J69" s="167"/>
      <c r="K69" s="167"/>
      <c r="L69" s="167"/>
      <c r="M69" s="168"/>
    </row>
    <row r="70" spans="1:13" x14ac:dyDescent="0.2">
      <c r="A70" s="83" t="str">
        <f>"Reallocated REC Revenues for Jan - Dec "&amp;YEAR(A3)-1</f>
        <v>Reallocated REC Revenues for Jan - Dec 2023</v>
      </c>
      <c r="D70" s="110" t="s">
        <v>95</v>
      </c>
      <c r="E70" s="169">
        <f>E37+E30+E44+E51+E58+E65</f>
        <v>5025752.0826649079</v>
      </c>
      <c r="F70" s="170">
        <f t="shared" ref="F70:L71" si="18">F37+F30+F44+F51+F58+F65</f>
        <v>74078.417657446931</v>
      </c>
      <c r="G70" s="170">
        <f t="shared" si="18"/>
        <v>1371172.1554588694</v>
      </c>
      <c r="H70" s="170">
        <f t="shared" si="18"/>
        <v>388924.53610920341</v>
      </c>
      <c r="I70" s="170">
        <f t="shared" si="18"/>
        <v>701286.35747862596</v>
      </c>
      <c r="J70" s="170">
        <f t="shared" si="18"/>
        <v>2208699.4116359977</v>
      </c>
      <c r="K70" s="170">
        <f t="shared" si="18"/>
        <v>280395.86379156541</v>
      </c>
      <c r="L70" s="171">
        <f t="shared" si="18"/>
        <v>1195.3405331995416</v>
      </c>
      <c r="M70" s="170"/>
    </row>
    <row r="71" spans="1:13" x14ac:dyDescent="0.2">
      <c r="D71" s="110" t="s">
        <v>97</v>
      </c>
      <c r="E71" s="172">
        <f>E38+E31+E45+E52+E59+E66</f>
        <v>-5025752.0826649079</v>
      </c>
      <c r="F71" s="173">
        <f t="shared" si="18"/>
        <v>-206362.91694710735</v>
      </c>
      <c r="G71" s="173">
        <f t="shared" si="18"/>
        <v>-3759348.0678260024</v>
      </c>
      <c r="H71" s="173">
        <f t="shared" si="18"/>
        <v>-1060041.0978917978</v>
      </c>
      <c r="I71" s="173">
        <f t="shared" si="18"/>
        <v>0</v>
      </c>
      <c r="J71" s="173">
        <f t="shared" si="18"/>
        <v>0</v>
      </c>
      <c r="K71" s="173">
        <f t="shared" si="18"/>
        <v>0</v>
      </c>
      <c r="L71" s="174">
        <f t="shared" si="18"/>
        <v>0</v>
      </c>
      <c r="M71" s="170"/>
    </row>
    <row r="72" spans="1:13" x14ac:dyDescent="0.2">
      <c r="D72" s="110"/>
      <c r="E72" s="170"/>
      <c r="F72" s="170"/>
      <c r="G72" s="170"/>
      <c r="H72" s="170"/>
      <c r="I72" s="170"/>
      <c r="J72" s="170"/>
      <c r="K72" s="170"/>
      <c r="L72" s="170"/>
      <c r="M72" s="170"/>
    </row>
    <row r="73" spans="1:13" x14ac:dyDescent="0.2">
      <c r="A73" s="83" t="str">
        <f>"Actual Jan - Dec "&amp;YEAR(A3)-1&amp;" REC Rev - Not Eligibile for RPS Compliance"</f>
        <v>Actual Jan - Dec 2023 REC Rev - Not Eligibile for RPS Compliance</v>
      </c>
      <c r="D73" s="110" t="s">
        <v>95</v>
      </c>
      <c r="E73" s="175">
        <f>D20</f>
        <v>210761.54931590997</v>
      </c>
      <c r="F73" s="176">
        <f>$E$73*F26</f>
        <v>3106.576253573543</v>
      </c>
      <c r="G73" s="176">
        <f t="shared" ref="G73:L73" si="19">$E$73*G26</f>
        <v>57501.91476021034</v>
      </c>
      <c r="H73" s="176">
        <f t="shared" si="19"/>
        <v>16310.063936516835</v>
      </c>
      <c r="I73" s="176">
        <f t="shared" si="19"/>
        <v>29409.369341181879</v>
      </c>
      <c r="J73" s="176">
        <f t="shared" si="19"/>
        <v>92624.726073377111</v>
      </c>
      <c r="K73" s="176">
        <f t="shared" si="19"/>
        <v>11758.770767528022</v>
      </c>
      <c r="L73" s="177">
        <f t="shared" si="19"/>
        <v>50.128183522266845</v>
      </c>
      <c r="M73" s="170"/>
    </row>
    <row r="74" spans="1:13" ht="13.5" thickBot="1" x14ac:dyDescent="0.25">
      <c r="D74" s="110"/>
      <c r="E74" s="170"/>
      <c r="F74" s="170"/>
      <c r="G74" s="170"/>
      <c r="H74" s="170"/>
      <c r="I74" s="170"/>
      <c r="J74" s="170"/>
      <c r="K74" s="170"/>
      <c r="L74" s="170"/>
      <c r="M74" s="170"/>
    </row>
    <row r="75" spans="1:13" ht="13.5" thickBot="1" x14ac:dyDescent="0.25">
      <c r="A75" s="178" t="str">
        <f>"Actual Jan - Dec "&amp;YEAR(A3)-1&amp;" REC Revenues - Total Reallocated"</f>
        <v>Actual Jan - Dec 2023 REC Revenues - Total Reallocated</v>
      </c>
      <c r="B75" s="179"/>
      <c r="C75" s="179"/>
      <c r="D75" s="179"/>
      <c r="E75" s="180">
        <f>E40+E33+E47+E73+E54+E61+E68</f>
        <v>9605592.1699999999</v>
      </c>
      <c r="F75" s="181">
        <f t="shared" ref="F75:L75" si="20">F40+F33+F47+F73+F54+F61+F68</f>
        <v>9299.69684901047</v>
      </c>
      <c r="G75" s="181">
        <f t="shared" si="20"/>
        <v>232510.56471309951</v>
      </c>
      <c r="H75" s="181">
        <f t="shared" si="20"/>
        <v>72225.015223828625</v>
      </c>
      <c r="I75" s="181">
        <f t="shared" si="20"/>
        <v>2041637.1415054817</v>
      </c>
      <c r="J75" s="181">
        <f t="shared" si="20"/>
        <v>6430130.4383420786</v>
      </c>
      <c r="K75" s="181">
        <f t="shared" si="20"/>
        <v>816309.34886512405</v>
      </c>
      <c r="L75" s="182">
        <f t="shared" si="20"/>
        <v>3479.964501379211</v>
      </c>
      <c r="M75" s="183"/>
    </row>
    <row r="76" spans="1:13" x14ac:dyDescent="0.2">
      <c r="E76" s="184" t="s">
        <v>98</v>
      </c>
      <c r="F76" s="185"/>
      <c r="G76" s="185"/>
      <c r="H76" s="185"/>
      <c r="I76" s="18"/>
      <c r="J76" s="184" t="s">
        <v>99</v>
      </c>
      <c r="K76" s="186"/>
    </row>
    <row r="77" spans="1:13" x14ac:dyDescent="0.2">
      <c r="H77" s="187"/>
      <c r="I77" s="188"/>
    </row>
    <row r="78" spans="1:13" x14ac:dyDescent="0.2">
      <c r="A78" s="14"/>
      <c r="B78" s="14"/>
      <c r="C78" s="14"/>
      <c r="D78" s="14"/>
      <c r="E78" s="189"/>
      <c r="F78" s="190" t="s">
        <v>17</v>
      </c>
      <c r="J78" s="191"/>
    </row>
    <row r="79" spans="1:13" x14ac:dyDescent="0.2">
      <c r="A79" s="94" t="str">
        <f>"Utah % of Actual CY "&amp;YEAR(A3)-1&amp;" REC sales(2)"</f>
        <v>Utah % of Actual CY 2023 REC sales(2)</v>
      </c>
      <c r="B79" s="14"/>
      <c r="C79" s="14"/>
      <c r="D79" s="14"/>
      <c r="E79" s="192">
        <f>J75/E75</f>
        <v>0.66941530772298852</v>
      </c>
      <c r="F79" s="193" t="s">
        <v>100</v>
      </c>
      <c r="J79" s="191"/>
      <c r="K79" s="170"/>
      <c r="L79" s="170"/>
      <c r="M79" s="170"/>
    </row>
    <row r="80" spans="1:13" x14ac:dyDescent="0.2">
      <c r="A80" s="3" t="str">
        <f>"Utah allocated CY "&amp;YEAR(A3)-1&amp;" REC revenue(2)"</f>
        <v>Utah allocated CY 2023 REC revenue(2)</v>
      </c>
      <c r="B80" s="14"/>
      <c r="C80" s="14"/>
      <c r="D80" s="14"/>
      <c r="E80" s="194">
        <f>E79*E75</f>
        <v>6430130.4383420786</v>
      </c>
      <c r="F80" s="193" t="s">
        <v>101</v>
      </c>
    </row>
    <row r="81" spans="1:6" x14ac:dyDescent="0.2">
      <c r="A81" s="3"/>
      <c r="B81" s="14"/>
      <c r="C81" s="14"/>
      <c r="D81" s="14"/>
      <c r="E81" s="194"/>
      <c r="F81" s="193"/>
    </row>
    <row r="82" spans="1:6" x14ac:dyDescent="0.2">
      <c r="A82" s="3"/>
      <c r="B82" s="14"/>
      <c r="C82" s="14"/>
      <c r="D82" s="14"/>
    </row>
    <row r="83" spans="1:6" x14ac:dyDescent="0.2">
      <c r="A83" s="195"/>
      <c r="B83" s="14"/>
      <c r="C83" s="14"/>
      <c r="D83" s="196" t="s">
        <v>102</v>
      </c>
      <c r="E83" s="196" t="s">
        <v>37</v>
      </c>
    </row>
    <row r="84" spans="1:6" x14ac:dyDescent="0.2">
      <c r="A84" s="3" t="s">
        <v>103</v>
      </c>
      <c r="B84" s="14"/>
      <c r="C84" s="14"/>
      <c r="D84" s="14"/>
      <c r="E84" s="170">
        <v>766068.11</v>
      </c>
    </row>
    <row r="85" spans="1:6" x14ac:dyDescent="0.2">
      <c r="A85" s="3" t="s">
        <v>104</v>
      </c>
      <c r="B85" s="14"/>
      <c r="C85" s="14"/>
      <c r="D85" s="197">
        <f>'Page 2.2'!H43</f>
        <v>0.4394763958322499</v>
      </c>
      <c r="E85" s="183">
        <f>E84*D85</f>
        <v>336668.85194482357</v>
      </c>
    </row>
    <row r="86" spans="1:6" x14ac:dyDescent="0.2">
      <c r="A86" s="3"/>
      <c r="B86" s="14"/>
      <c r="C86" s="14"/>
      <c r="D86" s="14"/>
    </row>
    <row r="135" spans="2:2" x14ac:dyDescent="0.2">
      <c r="B135" s="84">
        <f>EDATE(B132,1)</f>
        <v>31</v>
      </c>
    </row>
    <row r="136" spans="2:2" x14ac:dyDescent="0.2">
      <c r="B136" s="84">
        <f>EDATE(B135,1)</f>
        <v>59</v>
      </c>
    </row>
    <row r="137" spans="2:2" x14ac:dyDescent="0.2">
      <c r="B137" s="84">
        <f t="shared" ref="B137:B146" si="21">EDATE(B136,1)</f>
        <v>88</v>
      </c>
    </row>
    <row r="138" spans="2:2" x14ac:dyDescent="0.2">
      <c r="B138" s="84">
        <f t="shared" si="21"/>
        <v>119</v>
      </c>
    </row>
    <row r="139" spans="2:2" x14ac:dyDescent="0.2">
      <c r="B139" s="84">
        <f t="shared" si="21"/>
        <v>149</v>
      </c>
    </row>
    <row r="140" spans="2:2" x14ac:dyDescent="0.2">
      <c r="B140" s="84">
        <f t="shared" si="21"/>
        <v>180</v>
      </c>
    </row>
    <row r="141" spans="2:2" x14ac:dyDescent="0.2">
      <c r="B141" s="84">
        <f t="shared" si="21"/>
        <v>210</v>
      </c>
    </row>
    <row r="142" spans="2:2" x14ac:dyDescent="0.2">
      <c r="B142" s="84">
        <f t="shared" si="21"/>
        <v>241</v>
      </c>
    </row>
    <row r="143" spans="2:2" x14ac:dyDescent="0.2">
      <c r="B143" s="84">
        <f t="shared" si="21"/>
        <v>272</v>
      </c>
    </row>
    <row r="144" spans="2:2" x14ac:dyDescent="0.2">
      <c r="B144" s="84">
        <f t="shared" si="21"/>
        <v>302</v>
      </c>
    </row>
    <row r="145" spans="2:2" x14ac:dyDescent="0.2">
      <c r="B145" s="84">
        <f t="shared" si="21"/>
        <v>333</v>
      </c>
    </row>
    <row r="146" spans="2:2" x14ac:dyDescent="0.2">
      <c r="B146" s="84">
        <f t="shared" si="21"/>
        <v>363</v>
      </c>
    </row>
  </sheetData>
  <pageMargins left="0.5" right="0.5" top="1" bottom="0.75" header="0.3" footer="0.3"/>
  <pageSetup scale="41" orientation="landscape" r:id="rId1"/>
  <headerFooter>
    <oddFooter>&amp;CPage 2.1</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B8B6EC3-3D17-4E60-A672-5F78E9AEB85F}">
  <sheetPr>
    <tabColor rgb="FF00B0F0"/>
    <pageSetUpPr fitToPage="1"/>
  </sheetPr>
  <dimension ref="A1:AI50"/>
  <sheetViews>
    <sheetView view="pageLayout" zoomScaleNormal="85" zoomScaleSheetLayoutView="80" workbookViewId="0">
      <selection activeCell="A3" sqref="A3"/>
    </sheetView>
  </sheetViews>
  <sheetFormatPr defaultColWidth="9.140625" defaultRowHeight="12.75" x14ac:dyDescent="0.2"/>
  <cols>
    <col min="1" max="1" width="28.42578125" style="34" customWidth="1"/>
    <col min="2" max="2" width="11.42578125" style="34" customWidth="1"/>
    <col min="3" max="3" width="9.42578125" style="34" bestFit="1" customWidth="1"/>
    <col min="4" max="4" width="10.42578125" style="34" bestFit="1" customWidth="1"/>
    <col min="5" max="5" width="10.5703125" style="34" bestFit="1" customWidth="1"/>
    <col min="6" max="6" width="12.7109375" style="34" bestFit="1" customWidth="1"/>
    <col min="7" max="7" width="12.42578125" style="34" bestFit="1" customWidth="1"/>
    <col min="8" max="8" width="13.28515625" style="34" bestFit="1" customWidth="1"/>
    <col min="9" max="9" width="11.85546875" style="34" bestFit="1" customWidth="1"/>
    <col min="10" max="10" width="12.42578125" style="34" bestFit="1" customWidth="1"/>
    <col min="11" max="11" width="9.7109375" style="34" bestFit="1" customWidth="1"/>
    <col min="12" max="12" width="12.42578125" style="34" bestFit="1" customWidth="1"/>
    <col min="13" max="13" width="9.140625" style="34"/>
    <col min="14" max="14" width="12.140625" style="34" bestFit="1" customWidth="1"/>
    <col min="15" max="15" width="12.7109375" style="34" bestFit="1" customWidth="1"/>
    <col min="16" max="17" width="11.5703125" style="34" bestFit="1" customWidth="1"/>
    <col min="18" max="18" width="13.42578125" style="34" bestFit="1" customWidth="1"/>
    <col min="19" max="19" width="11.85546875" style="34" bestFit="1" customWidth="1"/>
    <col min="20" max="20" width="11.5703125" style="34" bestFit="1" customWidth="1"/>
    <col min="21" max="21" width="9.42578125" style="34" bestFit="1" customWidth="1"/>
    <col min="22" max="22" width="14.85546875" style="34" bestFit="1" customWidth="1"/>
    <col min="23" max="23" width="9.28515625" style="34" bestFit="1" customWidth="1"/>
    <col min="24" max="16384" width="9.140625" style="34"/>
  </cols>
  <sheetData>
    <row r="1" spans="1:35" ht="15.75" x14ac:dyDescent="0.25">
      <c r="A1" s="33" t="str">
        <f>'RMP_(AJR-2)'!A1</f>
        <v>Rocky Mountain Power</v>
      </c>
      <c r="H1" s="198"/>
      <c r="I1" s="199"/>
    </row>
    <row r="2" spans="1:35" x14ac:dyDescent="0.2">
      <c r="A2" s="33" t="str">
        <f>'RMP_(AJR-2)'!A2</f>
        <v>Utah REC Balancing Account</v>
      </c>
    </row>
    <row r="3" spans="1:35" ht="15.75" x14ac:dyDescent="0.25">
      <c r="A3" s="15">
        <v>45366</v>
      </c>
      <c r="H3" s="198"/>
      <c r="I3" s="199"/>
    </row>
    <row r="4" spans="1:35" x14ac:dyDescent="0.2">
      <c r="C4" s="33"/>
    </row>
    <row r="5" spans="1:35" x14ac:dyDescent="0.2">
      <c r="A5" s="86" t="str">
        <f>"Calculation of Utah CY "&amp;YEAR(A3)-1&amp;" Actual Allocation Factors"</f>
        <v>Calculation of Utah CY 2023 Actual Allocation Factors</v>
      </c>
      <c r="C5" s="33"/>
    </row>
    <row r="7" spans="1:35" x14ac:dyDescent="0.2">
      <c r="A7" s="34" t="s">
        <v>105</v>
      </c>
      <c r="H7" s="200"/>
      <c r="N7" s="46"/>
      <c r="O7" s="46"/>
      <c r="P7" s="46"/>
      <c r="Q7" s="46"/>
      <c r="R7" s="46"/>
      <c r="S7" s="46"/>
      <c r="T7" s="46"/>
      <c r="U7" s="46"/>
      <c r="V7" s="46"/>
      <c r="W7" s="46"/>
      <c r="Z7" s="46"/>
      <c r="AA7" s="46"/>
      <c r="AB7" s="46"/>
      <c r="AC7" s="46"/>
      <c r="AD7" s="46"/>
      <c r="AE7" s="46"/>
      <c r="AF7" s="46"/>
      <c r="AG7" s="46"/>
      <c r="AH7" s="46"/>
    </row>
    <row r="8" spans="1:35" x14ac:dyDescent="0.2">
      <c r="A8" s="222" t="s">
        <v>106</v>
      </c>
      <c r="B8" s="222" t="s">
        <v>107</v>
      </c>
      <c r="C8" s="222" t="s">
        <v>108</v>
      </c>
      <c r="D8" s="222" t="s">
        <v>109</v>
      </c>
      <c r="E8" s="222" t="s">
        <v>110</v>
      </c>
      <c r="F8" s="222" t="s">
        <v>111</v>
      </c>
      <c r="G8" s="222" t="s">
        <v>112</v>
      </c>
      <c r="H8" s="222" t="s">
        <v>113</v>
      </c>
      <c r="I8" s="222" t="s">
        <v>114</v>
      </c>
      <c r="J8" s="222" t="s">
        <v>115</v>
      </c>
      <c r="K8" s="222" t="s">
        <v>94</v>
      </c>
      <c r="L8" s="222" t="s">
        <v>37</v>
      </c>
      <c r="N8" s="201"/>
      <c r="O8" s="201"/>
      <c r="P8" s="201"/>
      <c r="Q8" s="201"/>
      <c r="R8" s="201"/>
      <c r="S8" s="201"/>
      <c r="T8" s="201"/>
      <c r="U8" s="201"/>
      <c r="V8" s="46"/>
      <c r="W8" s="46"/>
      <c r="X8" s="46"/>
      <c r="Z8" s="46"/>
      <c r="AA8" s="46"/>
      <c r="AB8" s="46"/>
      <c r="AC8" s="46"/>
      <c r="AD8" s="46"/>
      <c r="AE8" s="46"/>
      <c r="AF8" s="46"/>
      <c r="AG8" s="46"/>
      <c r="AH8" s="46"/>
      <c r="AI8" s="46"/>
    </row>
    <row r="9" spans="1:35" x14ac:dyDescent="0.2">
      <c r="A9" s="34">
        <f t="shared" ref="A9:A20" si="0">YEAR($A$3)-1</f>
        <v>2023</v>
      </c>
      <c r="B9" s="34">
        <v>1</v>
      </c>
      <c r="C9" s="34">
        <v>30</v>
      </c>
      <c r="D9" s="34">
        <v>9</v>
      </c>
      <c r="E9" s="199">
        <v>147.88224500000001</v>
      </c>
      <c r="F9" s="199">
        <v>2746.371713</v>
      </c>
      <c r="G9" s="199">
        <v>806.89894600000002</v>
      </c>
      <c r="H9" s="199">
        <v>3477.893943</v>
      </c>
      <c r="I9" s="199">
        <v>482.42015800000001</v>
      </c>
      <c r="J9" s="199">
        <v>1255.427846</v>
      </c>
      <c r="K9" s="202">
        <v>3.2231679999999998</v>
      </c>
      <c r="L9" s="199">
        <f t="shared" ref="L9:L20" si="1">SUM(E9:K9)</f>
        <v>8920.1180190000014</v>
      </c>
      <c r="M9" s="203"/>
      <c r="N9" s="204"/>
      <c r="O9" s="205"/>
      <c r="P9" s="205"/>
      <c r="Q9" s="205"/>
      <c r="R9" s="205"/>
      <c r="S9" s="205"/>
      <c r="T9" s="205"/>
      <c r="U9" s="205"/>
      <c r="V9" s="205"/>
      <c r="W9" s="205"/>
      <c r="X9" s="202"/>
      <c r="Z9" s="206"/>
      <c r="AA9" s="207"/>
      <c r="AB9" s="207"/>
      <c r="AD9" s="207"/>
      <c r="AE9" s="208"/>
      <c r="AF9" s="207"/>
      <c r="AG9" s="207"/>
      <c r="AH9" s="207"/>
      <c r="AI9" s="208"/>
    </row>
    <row r="10" spans="1:35" x14ac:dyDescent="0.2">
      <c r="A10" s="34">
        <f t="shared" si="0"/>
        <v>2023</v>
      </c>
      <c r="B10" s="34">
        <v>2</v>
      </c>
      <c r="C10" s="34">
        <v>2</v>
      </c>
      <c r="D10" s="34">
        <v>8</v>
      </c>
      <c r="E10" s="199">
        <v>143.404067</v>
      </c>
      <c r="F10" s="199">
        <v>2606.19605</v>
      </c>
      <c r="G10" s="199">
        <v>778.61802599999999</v>
      </c>
      <c r="H10" s="199">
        <v>3451.7092350000003</v>
      </c>
      <c r="I10" s="199">
        <v>435.66512499999999</v>
      </c>
      <c r="J10" s="199">
        <v>1197.362725</v>
      </c>
      <c r="K10" s="202">
        <v>3.3082009999999995</v>
      </c>
      <c r="L10" s="199">
        <f t="shared" si="1"/>
        <v>8616.2634289999987</v>
      </c>
      <c r="M10" s="203"/>
      <c r="N10" s="204"/>
      <c r="O10" s="205"/>
      <c r="P10" s="205"/>
      <c r="Q10" s="205"/>
      <c r="R10" s="205"/>
      <c r="S10" s="205"/>
      <c r="T10" s="205"/>
      <c r="U10" s="205"/>
      <c r="V10" s="205"/>
      <c r="W10" s="205"/>
      <c r="X10" s="202"/>
      <c r="Z10" s="206"/>
      <c r="AA10" s="207"/>
      <c r="AB10" s="207"/>
      <c r="AD10" s="207"/>
      <c r="AE10" s="208"/>
      <c r="AF10" s="207"/>
      <c r="AG10" s="207"/>
      <c r="AH10" s="207"/>
      <c r="AI10" s="208"/>
    </row>
    <row r="11" spans="1:35" x14ac:dyDescent="0.2">
      <c r="A11" s="34">
        <f t="shared" si="0"/>
        <v>2023</v>
      </c>
      <c r="B11" s="34">
        <v>3</v>
      </c>
      <c r="C11" s="34">
        <v>6</v>
      </c>
      <c r="D11" s="34">
        <v>8</v>
      </c>
      <c r="E11" s="199">
        <v>145.733428</v>
      </c>
      <c r="F11" s="199">
        <v>2449.1737710000002</v>
      </c>
      <c r="G11" s="199">
        <v>622.09044300000005</v>
      </c>
      <c r="H11" s="199">
        <v>3285.149034</v>
      </c>
      <c r="I11" s="199">
        <v>426.260402</v>
      </c>
      <c r="J11" s="199">
        <v>1131.3189950000001</v>
      </c>
      <c r="K11" s="202">
        <v>1.6333520000000001</v>
      </c>
      <c r="L11" s="199">
        <f t="shared" si="1"/>
        <v>8061.3594249999996</v>
      </c>
      <c r="M11" s="203"/>
      <c r="N11" s="204"/>
      <c r="O11" s="205"/>
      <c r="P11" s="205"/>
      <c r="Q11" s="205"/>
      <c r="R11" s="205"/>
      <c r="S11" s="205"/>
      <c r="T11" s="205"/>
      <c r="U11" s="205"/>
      <c r="V11" s="205"/>
      <c r="W11" s="205"/>
      <c r="X11" s="202"/>
      <c r="Z11" s="206"/>
      <c r="AA11" s="207"/>
      <c r="AB11" s="207"/>
      <c r="AD11" s="207"/>
      <c r="AE11" s="208"/>
      <c r="AF11" s="207"/>
      <c r="AG11" s="207"/>
      <c r="AH11" s="207"/>
      <c r="AI11" s="208"/>
    </row>
    <row r="12" spans="1:35" x14ac:dyDescent="0.2">
      <c r="A12" s="34">
        <f t="shared" si="0"/>
        <v>2023</v>
      </c>
      <c r="B12" s="34">
        <v>4</v>
      </c>
      <c r="C12" s="34">
        <v>3</v>
      </c>
      <c r="D12" s="34">
        <v>9</v>
      </c>
      <c r="E12" s="199">
        <v>140.45899</v>
      </c>
      <c r="F12" s="199">
        <v>2305.3126219999999</v>
      </c>
      <c r="G12" s="199">
        <v>576.87295900000004</v>
      </c>
      <c r="H12" s="199">
        <v>3230.0349100000003</v>
      </c>
      <c r="I12" s="199">
        <v>351.59919200000002</v>
      </c>
      <c r="J12" s="199">
        <v>1167.1126939999999</v>
      </c>
      <c r="K12" s="202">
        <v>1.4715800000000001</v>
      </c>
      <c r="L12" s="199">
        <f t="shared" si="1"/>
        <v>7772.8629470000005</v>
      </c>
      <c r="M12" s="203"/>
      <c r="N12" s="204"/>
      <c r="O12" s="205"/>
      <c r="P12" s="205"/>
      <c r="Q12" s="205"/>
      <c r="R12" s="205"/>
      <c r="S12" s="205"/>
      <c r="T12" s="205"/>
      <c r="U12" s="205"/>
      <c r="V12" s="205"/>
      <c r="W12" s="205"/>
      <c r="X12" s="202"/>
      <c r="Z12" s="206"/>
      <c r="AA12" s="207"/>
      <c r="AB12" s="207"/>
      <c r="AD12" s="207"/>
      <c r="AE12" s="208"/>
      <c r="AF12" s="207"/>
      <c r="AG12" s="207"/>
      <c r="AH12" s="207"/>
      <c r="AI12" s="208"/>
    </row>
    <row r="13" spans="1:35" x14ac:dyDescent="0.2">
      <c r="A13" s="34">
        <f t="shared" si="0"/>
        <v>2023</v>
      </c>
      <c r="B13" s="34">
        <v>5</v>
      </c>
      <c r="C13" s="34">
        <v>19</v>
      </c>
      <c r="D13" s="34">
        <v>17</v>
      </c>
      <c r="E13" s="199">
        <v>117.900077</v>
      </c>
      <c r="F13" s="199">
        <v>2058.4962930000002</v>
      </c>
      <c r="G13" s="199">
        <v>630.24372400000004</v>
      </c>
      <c r="H13" s="199">
        <v>3520.3755729999998</v>
      </c>
      <c r="I13" s="199">
        <v>465.48205100000001</v>
      </c>
      <c r="J13" s="199">
        <v>1056.169034</v>
      </c>
      <c r="K13" s="202">
        <v>1.301112</v>
      </c>
      <c r="L13" s="199">
        <f t="shared" si="1"/>
        <v>7849.9678639999993</v>
      </c>
      <c r="M13" s="203"/>
      <c r="N13" s="204"/>
      <c r="O13" s="205"/>
      <c r="P13" s="205"/>
      <c r="Q13" s="205"/>
      <c r="R13" s="205"/>
      <c r="S13" s="205"/>
      <c r="T13" s="205"/>
      <c r="U13" s="205"/>
      <c r="V13" s="205"/>
      <c r="W13" s="205"/>
      <c r="X13" s="202"/>
      <c r="Z13" s="206"/>
      <c r="AA13" s="207"/>
      <c r="AB13" s="207"/>
      <c r="AD13" s="207"/>
      <c r="AE13" s="208"/>
      <c r="AF13" s="207"/>
      <c r="AG13" s="207"/>
      <c r="AH13" s="207"/>
      <c r="AI13" s="208"/>
    </row>
    <row r="14" spans="1:35" x14ac:dyDescent="0.2">
      <c r="A14" s="34">
        <f t="shared" si="0"/>
        <v>2023</v>
      </c>
      <c r="B14" s="34">
        <v>6</v>
      </c>
      <c r="C14" s="34">
        <v>30</v>
      </c>
      <c r="D14" s="34">
        <v>18</v>
      </c>
      <c r="E14" s="199">
        <v>134.583033</v>
      </c>
      <c r="F14" s="199">
        <v>2424.4585480000001</v>
      </c>
      <c r="G14" s="199">
        <v>706.96086400000002</v>
      </c>
      <c r="H14" s="199">
        <v>4106.1084600000004</v>
      </c>
      <c r="I14" s="199">
        <v>682.61954900000001</v>
      </c>
      <c r="J14" s="199">
        <v>1079.7271040000001</v>
      </c>
      <c r="K14" s="202">
        <v>1.89188</v>
      </c>
      <c r="L14" s="199">
        <f>SUM(E14:K14)</f>
        <v>9136.3494379999993</v>
      </c>
      <c r="M14" s="203"/>
      <c r="N14" s="204"/>
      <c r="O14" s="205"/>
      <c r="P14" s="205"/>
      <c r="Q14" s="205"/>
      <c r="R14" s="205"/>
      <c r="S14" s="205"/>
      <c r="T14" s="205"/>
      <c r="U14" s="205"/>
      <c r="V14" s="205"/>
      <c r="W14" s="205"/>
      <c r="X14" s="202"/>
      <c r="Z14" s="206"/>
      <c r="AA14" s="207"/>
      <c r="AB14" s="207"/>
      <c r="AD14" s="207"/>
      <c r="AE14" s="208"/>
      <c r="AF14" s="207"/>
      <c r="AG14" s="207"/>
      <c r="AH14" s="207"/>
      <c r="AI14" s="208"/>
    </row>
    <row r="15" spans="1:35" x14ac:dyDescent="0.2">
      <c r="A15" s="34">
        <f t="shared" si="0"/>
        <v>2023</v>
      </c>
      <c r="B15" s="34">
        <v>7</v>
      </c>
      <c r="C15" s="34">
        <v>21</v>
      </c>
      <c r="D15" s="34">
        <v>18</v>
      </c>
      <c r="E15" s="199">
        <v>134.965339</v>
      </c>
      <c r="F15" s="199">
        <v>2499.587043</v>
      </c>
      <c r="G15" s="199">
        <v>737.14128400000004</v>
      </c>
      <c r="H15" s="199">
        <v>5173.2722460000005</v>
      </c>
      <c r="I15" s="199">
        <v>759.11941200000001</v>
      </c>
      <c r="J15" s="199">
        <v>1156.1778949999998</v>
      </c>
      <c r="K15" s="202">
        <v>2.5879849999999998</v>
      </c>
      <c r="L15" s="199">
        <f t="shared" si="1"/>
        <v>10462.851204000001</v>
      </c>
      <c r="M15" s="203"/>
      <c r="N15" s="204"/>
      <c r="O15" s="205"/>
      <c r="P15" s="205"/>
      <c r="Q15" s="205"/>
      <c r="R15" s="205"/>
      <c r="S15" s="205"/>
      <c r="T15" s="205"/>
      <c r="U15" s="205"/>
      <c r="V15" s="205"/>
      <c r="W15" s="205"/>
      <c r="X15" s="202"/>
      <c r="Z15" s="206"/>
      <c r="AA15" s="207"/>
      <c r="AB15" s="207"/>
      <c r="AD15" s="207"/>
      <c r="AE15" s="208"/>
      <c r="AF15" s="207"/>
      <c r="AG15" s="207"/>
      <c r="AH15" s="207"/>
      <c r="AI15" s="208"/>
    </row>
    <row r="16" spans="1:35" x14ac:dyDescent="0.2">
      <c r="A16" s="34">
        <f t="shared" si="0"/>
        <v>2023</v>
      </c>
      <c r="B16" s="34">
        <v>8</v>
      </c>
      <c r="C16" s="34">
        <v>15</v>
      </c>
      <c r="D16" s="34">
        <v>17</v>
      </c>
      <c r="E16" s="199">
        <v>140.24251100000001</v>
      </c>
      <c r="F16" s="199">
        <v>2889.605779</v>
      </c>
      <c r="G16" s="199">
        <v>807.31428400000004</v>
      </c>
      <c r="H16" s="199">
        <v>5213.4041117500001</v>
      </c>
      <c r="I16" s="199">
        <v>508.50829499999998</v>
      </c>
      <c r="J16" s="199">
        <v>1222.84277</v>
      </c>
      <c r="K16" s="202">
        <v>2.6488499999999999</v>
      </c>
      <c r="L16" s="199">
        <f t="shared" si="1"/>
        <v>10784.566600749999</v>
      </c>
      <c r="M16" s="203"/>
      <c r="N16" s="204"/>
      <c r="O16" s="205"/>
      <c r="P16" s="205"/>
      <c r="Q16" s="205"/>
      <c r="R16" s="205"/>
      <c r="S16" s="205"/>
      <c r="T16" s="205"/>
      <c r="U16" s="205"/>
      <c r="V16" s="205"/>
      <c r="W16" s="205"/>
      <c r="X16" s="202"/>
      <c r="Z16" s="206"/>
      <c r="AA16" s="207"/>
      <c r="AB16" s="207"/>
      <c r="AD16" s="207"/>
      <c r="AE16" s="208"/>
      <c r="AF16" s="207"/>
      <c r="AG16" s="207"/>
      <c r="AH16" s="207"/>
      <c r="AI16" s="208"/>
    </row>
    <row r="17" spans="1:35" x14ac:dyDescent="0.2">
      <c r="A17" s="34">
        <f t="shared" si="0"/>
        <v>2023</v>
      </c>
      <c r="B17" s="34">
        <v>9</v>
      </c>
      <c r="C17" s="34">
        <v>8</v>
      </c>
      <c r="D17" s="34">
        <v>17</v>
      </c>
      <c r="E17" s="199">
        <v>72.434389999999993</v>
      </c>
      <c r="F17" s="199">
        <v>1958.7388989999999</v>
      </c>
      <c r="G17" s="199">
        <v>576.03102000000001</v>
      </c>
      <c r="H17" s="199">
        <v>4329.8445760000004</v>
      </c>
      <c r="I17" s="199">
        <v>457.79144400000001</v>
      </c>
      <c r="J17" s="199">
        <v>1115.8001999999999</v>
      </c>
      <c r="K17" s="202">
        <v>1.9192899999999999</v>
      </c>
      <c r="L17" s="199">
        <f t="shared" si="1"/>
        <v>8512.5598190000001</v>
      </c>
      <c r="M17" s="203"/>
      <c r="N17" s="204"/>
      <c r="O17" s="205"/>
      <c r="P17" s="205"/>
      <c r="Q17" s="205"/>
      <c r="R17" s="205"/>
      <c r="S17" s="205"/>
      <c r="T17" s="205"/>
      <c r="U17" s="205"/>
      <c r="V17" s="205"/>
      <c r="W17" s="205"/>
      <c r="X17" s="202"/>
      <c r="Z17" s="206"/>
      <c r="AA17" s="207"/>
      <c r="AB17" s="207"/>
      <c r="AD17" s="207"/>
      <c r="AE17" s="208"/>
      <c r="AF17" s="207"/>
      <c r="AG17" s="207"/>
      <c r="AH17" s="207"/>
      <c r="AI17" s="208"/>
    </row>
    <row r="18" spans="1:35" x14ac:dyDescent="0.2">
      <c r="A18" s="34">
        <f t="shared" si="0"/>
        <v>2023</v>
      </c>
      <c r="B18" s="34">
        <v>10</v>
      </c>
      <c r="C18" s="34">
        <v>30</v>
      </c>
      <c r="D18" s="34">
        <v>8</v>
      </c>
      <c r="E18" s="199">
        <v>121.85408200000001</v>
      </c>
      <c r="F18" s="199">
        <v>2307.9824920000001</v>
      </c>
      <c r="G18" s="199">
        <v>666.06861900000001</v>
      </c>
      <c r="H18" s="199">
        <v>3152.4085479999999</v>
      </c>
      <c r="I18" s="199">
        <v>413.72164900000001</v>
      </c>
      <c r="J18" s="199">
        <v>1181.625313</v>
      </c>
      <c r="K18" s="202">
        <v>1.6113049999999998</v>
      </c>
      <c r="L18" s="199">
        <f t="shared" si="1"/>
        <v>7845.2720079999999</v>
      </c>
      <c r="M18" s="203"/>
      <c r="N18" s="204"/>
      <c r="O18" s="205"/>
      <c r="P18" s="205"/>
      <c r="Q18" s="205"/>
      <c r="R18" s="205"/>
      <c r="S18" s="205"/>
      <c r="T18" s="205"/>
      <c r="U18" s="205"/>
      <c r="V18" s="205"/>
      <c r="W18" s="205"/>
      <c r="X18" s="202"/>
      <c r="Z18" s="206"/>
      <c r="AA18" s="207"/>
      <c r="AB18" s="207"/>
      <c r="AD18" s="207"/>
      <c r="AE18" s="208"/>
      <c r="AF18" s="207"/>
      <c r="AG18" s="207"/>
      <c r="AH18" s="207"/>
      <c r="AI18" s="208"/>
    </row>
    <row r="19" spans="1:35" x14ac:dyDescent="0.2">
      <c r="A19" s="34">
        <f t="shared" si="0"/>
        <v>2023</v>
      </c>
      <c r="B19" s="34">
        <v>11</v>
      </c>
      <c r="C19" s="34">
        <v>28</v>
      </c>
      <c r="D19" s="34">
        <v>8</v>
      </c>
      <c r="E19" s="199">
        <v>148.59808200000001</v>
      </c>
      <c r="F19" s="199">
        <v>2637.7952930000001</v>
      </c>
      <c r="G19" s="199">
        <v>710.53584599999999</v>
      </c>
      <c r="H19" s="199">
        <v>3241.5745519999996</v>
      </c>
      <c r="I19" s="199">
        <v>362.62870299999997</v>
      </c>
      <c r="J19" s="199">
        <v>1183.9366560000001</v>
      </c>
      <c r="K19" s="202">
        <v>1.69475</v>
      </c>
      <c r="L19" s="199">
        <f t="shared" si="1"/>
        <v>8286.7638820000011</v>
      </c>
      <c r="M19" s="203"/>
      <c r="N19" s="204"/>
      <c r="O19" s="205"/>
      <c r="P19" s="205"/>
      <c r="Q19" s="205"/>
      <c r="R19" s="205"/>
      <c r="S19" s="205"/>
      <c r="T19" s="205"/>
      <c r="U19" s="205"/>
      <c r="V19" s="205"/>
      <c r="W19" s="205"/>
      <c r="X19" s="202"/>
      <c r="Z19" s="206"/>
      <c r="AA19" s="207"/>
      <c r="AB19" s="207"/>
      <c r="AD19" s="207"/>
      <c r="AE19" s="208"/>
      <c r="AF19" s="207"/>
      <c r="AG19" s="207"/>
      <c r="AH19" s="207"/>
      <c r="AI19" s="208"/>
    </row>
    <row r="20" spans="1:35" x14ac:dyDescent="0.2">
      <c r="A20" s="34">
        <f t="shared" si="0"/>
        <v>2023</v>
      </c>
      <c r="B20" s="34">
        <v>12</v>
      </c>
      <c r="C20" s="34">
        <v>18</v>
      </c>
      <c r="D20" s="34">
        <v>18</v>
      </c>
      <c r="E20" s="199">
        <v>118.87814</v>
      </c>
      <c r="F20" s="199">
        <v>2232.96819</v>
      </c>
      <c r="G20" s="199">
        <v>657.89111800000001</v>
      </c>
      <c r="H20" s="199">
        <v>3628.867765</v>
      </c>
      <c r="I20" s="199">
        <v>356.86368099999999</v>
      </c>
      <c r="J20" s="199">
        <v>1211.7525499999999</v>
      </c>
      <c r="K20" s="202">
        <v>1.7952629999999998</v>
      </c>
      <c r="L20" s="199">
        <f t="shared" si="1"/>
        <v>8209.0167069999989</v>
      </c>
      <c r="M20" s="203"/>
      <c r="N20" s="204"/>
      <c r="O20" s="205"/>
      <c r="P20" s="205"/>
      <c r="Q20" s="205"/>
      <c r="R20" s="205"/>
      <c r="S20" s="205"/>
      <c r="T20" s="205"/>
      <c r="U20" s="205"/>
      <c r="V20" s="205"/>
      <c r="W20" s="205"/>
      <c r="X20" s="202"/>
      <c r="Z20" s="206"/>
      <c r="AA20" s="207"/>
      <c r="AB20" s="207"/>
      <c r="AD20" s="207"/>
      <c r="AE20" s="208"/>
      <c r="AF20" s="207"/>
      <c r="AG20" s="207"/>
      <c r="AH20" s="207"/>
      <c r="AI20" s="208"/>
    </row>
    <row r="21" spans="1:35" ht="13.5" thickBot="1" x14ac:dyDescent="0.25">
      <c r="B21" s="34" t="s">
        <v>116</v>
      </c>
      <c r="E21" s="209">
        <f>SUM(E9:E20)</f>
        <v>1566.9343839999999</v>
      </c>
      <c r="F21" s="209">
        <f>SUM(F9:F20)</f>
        <v>29116.686693</v>
      </c>
      <c r="G21" s="209">
        <f>SUM(G9:G20)</f>
        <v>8276.667132999999</v>
      </c>
      <c r="H21" s="209">
        <f t="shared" ref="H21:K21" si="2">SUM(H9:H20)</f>
        <v>45810.642953750001</v>
      </c>
      <c r="I21" s="209">
        <f>SUM(I9:I20)</f>
        <v>5702.6796610000001</v>
      </c>
      <c r="J21" s="209">
        <f t="shared" si="2"/>
        <v>13959.253782</v>
      </c>
      <c r="K21" s="209">
        <f t="shared" si="2"/>
        <v>25.086735999999995</v>
      </c>
      <c r="L21" s="209">
        <f>SUM(L9:L20)</f>
        <v>104457.95134274999</v>
      </c>
      <c r="M21" s="203"/>
      <c r="N21" s="210"/>
      <c r="O21" s="210"/>
      <c r="P21" s="210"/>
      <c r="Q21" s="210"/>
      <c r="R21" s="210"/>
      <c r="S21" s="210"/>
      <c r="T21" s="210"/>
      <c r="U21" s="210"/>
      <c r="V21" s="210"/>
      <c r="W21" s="203"/>
      <c r="Z21" s="206"/>
      <c r="AA21" s="207"/>
      <c r="AB21" s="207"/>
      <c r="AD21" s="207"/>
      <c r="AE21" s="208"/>
      <c r="AF21" s="207"/>
      <c r="AG21" s="207"/>
      <c r="AH21" s="207"/>
      <c r="AI21" s="208"/>
    </row>
    <row r="22" spans="1:35" ht="13.5" thickTop="1" x14ac:dyDescent="0.2">
      <c r="L22" s="206"/>
      <c r="M22" s="203"/>
      <c r="N22" s="211"/>
      <c r="O22" s="211"/>
      <c r="P22" s="211"/>
      <c r="Q22" s="211"/>
      <c r="R22" s="211"/>
      <c r="S22" s="211"/>
      <c r="T22" s="211"/>
      <c r="U22" s="211"/>
      <c r="V22" s="211"/>
      <c r="W22" s="203"/>
    </row>
    <row r="23" spans="1:35" x14ac:dyDescent="0.2">
      <c r="A23" s="34" t="s">
        <v>117</v>
      </c>
      <c r="E23" s="212">
        <f>E21/$L$21</f>
        <v>1.5000623349950034E-2</v>
      </c>
      <c r="F23" s="212">
        <f>F21/$L$21</f>
        <v>0.27874074035265745</v>
      </c>
      <c r="G23" s="212">
        <f>G21/$L$21</f>
        <v>7.9234438610062297E-2</v>
      </c>
      <c r="H23" s="212">
        <f t="shared" ref="H23:K23" si="3">H21/$L$21</f>
        <v>0.43855582428028861</v>
      </c>
      <c r="I23" s="212">
        <f>I21/$L$21</f>
        <v>5.4593064364130861E-2</v>
      </c>
      <c r="J23" s="212">
        <f t="shared" si="3"/>
        <v>0.13363514794768044</v>
      </c>
      <c r="K23" s="212">
        <f t="shared" si="3"/>
        <v>2.4016109523041269E-4</v>
      </c>
      <c r="L23" s="212">
        <f>SUM(E23:K23)</f>
        <v>1.0000000000000002</v>
      </c>
      <c r="M23" s="203"/>
      <c r="N23" s="203"/>
      <c r="O23" s="203"/>
      <c r="P23" s="203"/>
      <c r="Q23" s="203"/>
      <c r="R23" s="203"/>
      <c r="S23" s="203"/>
      <c r="T23" s="203"/>
      <c r="U23" s="203"/>
      <c r="V23" s="203"/>
      <c r="W23" s="203"/>
      <c r="Z23" s="206"/>
      <c r="AA23" s="207"/>
      <c r="AB23" s="207"/>
      <c r="AE23" s="208"/>
    </row>
    <row r="24" spans="1:35" x14ac:dyDescent="0.2">
      <c r="E24" s="213"/>
      <c r="F24" s="213"/>
      <c r="G24" s="213"/>
      <c r="H24" s="213"/>
      <c r="I24" s="213"/>
      <c r="J24" s="213"/>
      <c r="K24" s="213"/>
      <c r="M24" s="203"/>
      <c r="N24" s="203"/>
      <c r="O24" s="205"/>
      <c r="P24" s="203"/>
      <c r="Q24" s="203"/>
      <c r="R24" s="203"/>
      <c r="S24" s="203"/>
      <c r="T24" s="203"/>
      <c r="U24" s="203"/>
      <c r="V24" s="203"/>
      <c r="W24" s="203"/>
    </row>
    <row r="25" spans="1:35" x14ac:dyDescent="0.2">
      <c r="M25" s="203"/>
      <c r="N25" s="203"/>
      <c r="O25" s="205"/>
      <c r="P25" s="203"/>
      <c r="Q25" s="203"/>
      <c r="R25" s="203"/>
      <c r="S25" s="203"/>
      <c r="T25" s="203"/>
      <c r="U25" s="203"/>
      <c r="V25" s="203"/>
      <c r="W25" s="203"/>
    </row>
    <row r="26" spans="1:35" x14ac:dyDescent="0.2">
      <c r="A26" s="34" t="s">
        <v>118</v>
      </c>
      <c r="F26" s="200"/>
      <c r="K26" s="214"/>
      <c r="L26" s="214"/>
      <c r="M26" s="203"/>
      <c r="N26" s="203"/>
      <c r="O26" s="205"/>
      <c r="P26" s="203"/>
      <c r="Q26" s="203"/>
      <c r="R26" s="203"/>
      <c r="S26" s="203"/>
      <c r="T26" s="203"/>
      <c r="U26" s="203"/>
      <c r="V26" s="203"/>
      <c r="W26" s="203"/>
    </row>
    <row r="27" spans="1:35" x14ac:dyDescent="0.2">
      <c r="A27" s="222" t="s">
        <v>106</v>
      </c>
      <c r="B27" s="222" t="s">
        <v>107</v>
      </c>
      <c r="C27" s="223"/>
      <c r="D27" s="223"/>
      <c r="E27" s="222" t="s">
        <v>110</v>
      </c>
      <c r="F27" s="222" t="s">
        <v>111</v>
      </c>
      <c r="G27" s="222" t="s">
        <v>112</v>
      </c>
      <c r="H27" s="222" t="s">
        <v>113</v>
      </c>
      <c r="I27" s="222" t="s">
        <v>114</v>
      </c>
      <c r="J27" s="222" t="s">
        <v>115</v>
      </c>
      <c r="K27" s="222" t="s">
        <v>94</v>
      </c>
      <c r="L27" s="222" t="s">
        <v>37</v>
      </c>
      <c r="M27" s="203"/>
      <c r="N27" s="215"/>
      <c r="O27" s="215"/>
      <c r="P27" s="215"/>
      <c r="Q27" s="215"/>
      <c r="R27" s="215"/>
      <c r="S27" s="215"/>
      <c r="T27" s="215"/>
      <c r="U27" s="215"/>
      <c r="V27" s="203"/>
      <c r="W27" s="203"/>
    </row>
    <row r="28" spans="1:35" x14ac:dyDescent="0.2">
      <c r="A28" s="34">
        <f t="shared" ref="A28:A39" si="4">YEAR($A$3)-1</f>
        <v>2023</v>
      </c>
      <c r="B28" s="34">
        <v>1</v>
      </c>
      <c r="E28" s="71">
        <v>81541.146332999924</v>
      </c>
      <c r="F28" s="71">
        <v>1456875.6017640003</v>
      </c>
      <c r="G28" s="71">
        <v>447898.52906999981</v>
      </c>
      <c r="H28" s="71">
        <v>2312608.730495004</v>
      </c>
      <c r="I28" s="71">
        <v>303538.00848699984</v>
      </c>
      <c r="J28" s="71">
        <v>866266.44533199922</v>
      </c>
      <c r="K28" s="71">
        <v>2195.8585410000014</v>
      </c>
      <c r="L28" s="71">
        <f>SUM(E28:K28)</f>
        <v>5470924.3200220028</v>
      </c>
      <c r="M28" s="211"/>
      <c r="N28" s="211"/>
      <c r="O28" s="203"/>
      <c r="P28" s="203"/>
      <c r="Q28" s="203"/>
      <c r="R28" s="203"/>
      <c r="S28" s="203"/>
      <c r="T28" s="203"/>
      <c r="U28" s="203"/>
      <c r="V28" s="210"/>
      <c r="W28" s="203"/>
    </row>
    <row r="29" spans="1:35" x14ac:dyDescent="0.2">
      <c r="A29" s="34">
        <f t="shared" si="4"/>
        <v>2023</v>
      </c>
      <c r="B29" s="34">
        <v>2</v>
      </c>
      <c r="E29" s="71">
        <v>72614.325971000027</v>
      </c>
      <c r="F29" s="71">
        <v>1318549.5954460003</v>
      </c>
      <c r="G29" s="71">
        <v>381274.93786200014</v>
      </c>
      <c r="H29" s="71">
        <v>2089476.4708990001</v>
      </c>
      <c r="I29" s="71">
        <v>284568.11155000009</v>
      </c>
      <c r="J29" s="71">
        <v>772483.08669000014</v>
      </c>
      <c r="K29" s="71">
        <v>1363.6735190000072</v>
      </c>
      <c r="L29" s="71">
        <f t="shared" ref="L29:L39" si="5">SUM(E29:K29)</f>
        <v>4920330.2019370012</v>
      </c>
      <c r="M29" s="203"/>
      <c r="N29" s="211"/>
      <c r="O29" s="203"/>
      <c r="P29" s="203"/>
      <c r="Q29" s="203"/>
      <c r="R29" s="203"/>
      <c r="S29" s="203"/>
      <c r="T29" s="203"/>
      <c r="U29" s="203"/>
      <c r="V29" s="210"/>
      <c r="W29" s="203"/>
    </row>
    <row r="30" spans="1:35" x14ac:dyDescent="0.2">
      <c r="A30" s="34">
        <f t="shared" si="4"/>
        <v>2023</v>
      </c>
      <c r="B30" s="34">
        <v>3</v>
      </c>
      <c r="E30" s="71">
        <v>80624.123626000015</v>
      </c>
      <c r="F30" s="71">
        <v>1398954.9007660006</v>
      </c>
      <c r="G30" s="71">
        <v>375197.70555900026</v>
      </c>
      <c r="H30" s="71">
        <v>2163667.9031209992</v>
      </c>
      <c r="I30" s="71">
        <v>294801.88137500011</v>
      </c>
      <c r="J30" s="71">
        <v>820855.67024300038</v>
      </c>
      <c r="K30" s="71">
        <v>1141.5334450000009</v>
      </c>
      <c r="L30" s="71">
        <f t="shared" si="5"/>
        <v>5135243.7181350002</v>
      </c>
      <c r="M30" s="203"/>
      <c r="N30" s="211"/>
      <c r="O30" s="203"/>
      <c r="P30" s="203"/>
      <c r="Q30" s="203"/>
      <c r="R30" s="203"/>
      <c r="S30" s="203"/>
      <c r="T30" s="203"/>
      <c r="U30" s="203"/>
      <c r="V30" s="210"/>
      <c r="W30" s="203"/>
    </row>
    <row r="31" spans="1:35" x14ac:dyDescent="0.2">
      <c r="A31" s="34">
        <f t="shared" si="4"/>
        <v>2023</v>
      </c>
      <c r="B31" s="34">
        <v>4</v>
      </c>
      <c r="E31" s="71">
        <v>68358.301630999922</v>
      </c>
      <c r="F31" s="71">
        <v>1192240.8597380009</v>
      </c>
      <c r="G31" s="71">
        <v>309259.78108600026</v>
      </c>
      <c r="H31" s="71">
        <v>1961099.385404997</v>
      </c>
      <c r="I31" s="71">
        <v>252861.22888399987</v>
      </c>
      <c r="J31" s="71">
        <v>769275.86076999968</v>
      </c>
      <c r="K31" s="71">
        <v>1372.004743999998</v>
      </c>
      <c r="L31" s="71">
        <f t="shared" si="5"/>
        <v>4554467.422257998</v>
      </c>
      <c r="M31" s="203"/>
      <c r="N31" s="211"/>
      <c r="O31" s="203"/>
      <c r="P31" s="203"/>
      <c r="Q31" s="203"/>
      <c r="R31" s="203"/>
      <c r="S31" s="203"/>
      <c r="T31" s="203"/>
      <c r="U31" s="203"/>
      <c r="V31" s="210"/>
      <c r="W31" s="203"/>
    </row>
    <row r="32" spans="1:35" x14ac:dyDescent="0.2">
      <c r="A32" s="34">
        <f t="shared" si="4"/>
        <v>2023</v>
      </c>
      <c r="B32" s="34">
        <v>5</v>
      </c>
      <c r="E32" s="71">
        <v>69109.363507000089</v>
      </c>
      <c r="F32" s="71">
        <v>1138547.5124279999</v>
      </c>
      <c r="G32" s="71">
        <v>301253.78769899998</v>
      </c>
      <c r="H32" s="71">
        <v>2057308.4315389986</v>
      </c>
      <c r="I32" s="71">
        <v>273264.16380499996</v>
      </c>
      <c r="J32" s="71">
        <v>756165.76343099994</v>
      </c>
      <c r="K32" s="71">
        <v>793.20805200000177</v>
      </c>
      <c r="L32" s="71">
        <f t="shared" si="5"/>
        <v>4596442.2304609986</v>
      </c>
      <c r="M32" s="203"/>
      <c r="N32" s="211"/>
      <c r="O32" s="203"/>
      <c r="P32" s="203"/>
      <c r="Q32" s="203"/>
      <c r="R32" s="203"/>
      <c r="S32" s="203"/>
      <c r="T32" s="203"/>
      <c r="U32" s="203"/>
      <c r="V32" s="210"/>
      <c r="W32" s="203"/>
    </row>
    <row r="33" spans="1:23" x14ac:dyDescent="0.2">
      <c r="A33" s="34">
        <f t="shared" si="4"/>
        <v>2023</v>
      </c>
      <c r="B33" s="34">
        <v>6</v>
      </c>
      <c r="E33" s="71">
        <v>64613.620559999974</v>
      </c>
      <c r="F33" s="71">
        <v>1164604.9691969985</v>
      </c>
      <c r="G33" s="71">
        <v>322592.90385500004</v>
      </c>
      <c r="H33" s="71">
        <v>2071697.5466460011</v>
      </c>
      <c r="I33" s="71">
        <v>368186.26319500024</v>
      </c>
      <c r="J33" s="71">
        <v>734556.77022400021</v>
      </c>
      <c r="K33" s="71">
        <v>804.22078200000396</v>
      </c>
      <c r="L33" s="71">
        <f t="shared" si="5"/>
        <v>4727056.2944589993</v>
      </c>
      <c r="M33" s="203"/>
      <c r="N33" s="211"/>
      <c r="O33" s="203"/>
      <c r="P33" s="203"/>
      <c r="Q33" s="203"/>
      <c r="R33" s="203"/>
      <c r="S33" s="203"/>
      <c r="T33" s="203"/>
      <c r="U33" s="203"/>
      <c r="V33" s="210"/>
      <c r="W33" s="203"/>
    </row>
    <row r="34" spans="1:23" x14ac:dyDescent="0.2">
      <c r="A34" s="34">
        <f t="shared" si="4"/>
        <v>2023</v>
      </c>
      <c r="B34" s="34">
        <v>7</v>
      </c>
      <c r="E34" s="71">
        <v>81919.331597000171</v>
      </c>
      <c r="F34" s="71">
        <v>1363080.5607349991</v>
      </c>
      <c r="G34" s="71">
        <v>381876.0001100006</v>
      </c>
      <c r="H34" s="71">
        <v>2868671.4508829978</v>
      </c>
      <c r="I34" s="71">
        <v>481081.98883599933</v>
      </c>
      <c r="J34" s="71">
        <v>793229.24448099989</v>
      </c>
      <c r="K34" s="71">
        <v>1331.6634930000037</v>
      </c>
      <c r="L34" s="71">
        <f t="shared" si="5"/>
        <v>5971190.2401349973</v>
      </c>
      <c r="M34" s="203"/>
      <c r="N34" s="211"/>
      <c r="O34" s="203"/>
      <c r="P34" s="203"/>
      <c r="Q34" s="203"/>
      <c r="R34" s="203"/>
      <c r="S34" s="203"/>
      <c r="T34" s="203"/>
      <c r="U34" s="203"/>
      <c r="V34" s="210"/>
      <c r="W34" s="203"/>
    </row>
    <row r="35" spans="1:23" x14ac:dyDescent="0.2">
      <c r="A35" s="34">
        <f t="shared" si="4"/>
        <v>2023</v>
      </c>
      <c r="B35" s="34">
        <v>8</v>
      </c>
      <c r="E35" s="71">
        <v>69067.92586800002</v>
      </c>
      <c r="F35" s="71">
        <v>1376059.573891002</v>
      </c>
      <c r="G35" s="71">
        <v>368153.68218399992</v>
      </c>
      <c r="H35" s="71">
        <v>2673227.5545332511</v>
      </c>
      <c r="I35" s="71">
        <v>318522.51964299992</v>
      </c>
      <c r="J35" s="71">
        <v>792676.35318300023</v>
      </c>
      <c r="K35" s="71">
        <v>1155.8915749999978</v>
      </c>
      <c r="L35" s="71">
        <f t="shared" si="5"/>
        <v>5598863.5008772546</v>
      </c>
      <c r="M35" s="203"/>
      <c r="N35" s="211"/>
      <c r="O35" s="203"/>
      <c r="P35" s="203"/>
      <c r="Q35" s="203"/>
      <c r="R35" s="203"/>
      <c r="S35" s="203"/>
      <c r="T35" s="203"/>
      <c r="U35" s="203"/>
      <c r="V35" s="210"/>
      <c r="W35" s="203"/>
    </row>
    <row r="36" spans="1:23" x14ac:dyDescent="0.2">
      <c r="A36" s="34">
        <f t="shared" si="4"/>
        <v>2023</v>
      </c>
      <c r="B36" s="34">
        <v>9</v>
      </c>
      <c r="E36" s="71">
        <v>53028.425225000101</v>
      </c>
      <c r="F36" s="71">
        <v>1117274.6628220011</v>
      </c>
      <c r="G36" s="71">
        <v>313610.63747100055</v>
      </c>
      <c r="H36" s="71">
        <v>2153964.6863410021</v>
      </c>
      <c r="I36" s="71">
        <v>285199.32847299997</v>
      </c>
      <c r="J36" s="71">
        <v>745142.98489700037</v>
      </c>
      <c r="K36" s="71">
        <v>838.61651999999958</v>
      </c>
      <c r="L36" s="71">
        <f t="shared" si="5"/>
        <v>4669059.3417490041</v>
      </c>
      <c r="M36" s="203"/>
      <c r="N36" s="211"/>
      <c r="O36" s="203"/>
      <c r="P36" s="203"/>
      <c r="Q36" s="203"/>
      <c r="R36" s="203"/>
      <c r="S36" s="203"/>
      <c r="T36" s="203"/>
      <c r="U36" s="203"/>
      <c r="V36" s="210"/>
      <c r="W36" s="203"/>
    </row>
    <row r="37" spans="1:23" x14ac:dyDescent="0.2">
      <c r="A37" s="34">
        <f t="shared" si="4"/>
        <v>2023</v>
      </c>
      <c r="B37" s="34">
        <v>10</v>
      </c>
      <c r="E37" s="71">
        <v>59888.091701999954</v>
      </c>
      <c r="F37" s="71">
        <v>1192045.857662</v>
      </c>
      <c r="G37" s="71">
        <v>324091.29506400018</v>
      </c>
      <c r="H37" s="71">
        <v>2030356.5921980003</v>
      </c>
      <c r="I37" s="71">
        <v>258137.38654600011</v>
      </c>
      <c r="J37" s="71">
        <v>793705.68056700006</v>
      </c>
      <c r="K37" s="71">
        <v>853.03898499999923</v>
      </c>
      <c r="L37" s="71">
        <f t="shared" si="5"/>
        <v>4659077.9427240007</v>
      </c>
      <c r="M37" s="203"/>
      <c r="N37" s="211"/>
      <c r="O37" s="203"/>
      <c r="P37" s="203"/>
      <c r="Q37" s="203"/>
      <c r="R37" s="203"/>
      <c r="S37" s="203"/>
      <c r="T37" s="203"/>
      <c r="U37" s="203"/>
      <c r="V37" s="210"/>
      <c r="W37" s="203"/>
    </row>
    <row r="38" spans="1:23" x14ac:dyDescent="0.2">
      <c r="A38" s="34">
        <f t="shared" si="4"/>
        <v>2023</v>
      </c>
      <c r="B38" s="34">
        <v>11</v>
      </c>
      <c r="E38" s="71">
        <v>67418.547031999988</v>
      </c>
      <c r="F38" s="71">
        <v>1302262.0741970008</v>
      </c>
      <c r="G38" s="71">
        <v>392824.55465999973</v>
      </c>
      <c r="H38" s="71">
        <v>2067431.8177870009</v>
      </c>
      <c r="I38" s="71">
        <v>221546.48148199994</v>
      </c>
      <c r="J38" s="71">
        <v>801592.94195200049</v>
      </c>
      <c r="K38" s="71">
        <v>970.90258499999982</v>
      </c>
      <c r="L38" s="71">
        <f t="shared" si="5"/>
        <v>4854047.3196950015</v>
      </c>
      <c r="M38" s="203"/>
      <c r="N38" s="211"/>
      <c r="O38" s="203"/>
      <c r="P38" s="203"/>
      <c r="Q38" s="203"/>
      <c r="R38" s="203"/>
      <c r="S38" s="203"/>
      <c r="T38" s="203"/>
      <c r="U38" s="203"/>
      <c r="V38" s="210"/>
      <c r="W38" s="203"/>
    </row>
    <row r="39" spans="1:23" x14ac:dyDescent="0.2">
      <c r="A39" s="34">
        <f t="shared" si="4"/>
        <v>2023</v>
      </c>
      <c r="B39" s="34">
        <v>12</v>
      </c>
      <c r="E39" s="71">
        <v>74920.165449999971</v>
      </c>
      <c r="F39" s="71">
        <v>1388844.6741489994</v>
      </c>
      <c r="G39" s="71">
        <v>421679.9151380001</v>
      </c>
      <c r="H39" s="71">
        <v>2264474.5041339998</v>
      </c>
      <c r="I39" s="71">
        <v>245709.92402199999</v>
      </c>
      <c r="J39" s="71">
        <v>852880.39497200062</v>
      </c>
      <c r="K39" s="71">
        <v>1126.5575439999993</v>
      </c>
      <c r="L39" s="71">
        <f t="shared" si="5"/>
        <v>5249636.1354090003</v>
      </c>
      <c r="M39" s="203"/>
      <c r="N39" s="211"/>
      <c r="O39" s="203"/>
      <c r="P39" s="203"/>
      <c r="Q39" s="203"/>
      <c r="R39" s="203"/>
      <c r="S39" s="203"/>
      <c r="T39" s="203"/>
      <c r="U39" s="203"/>
      <c r="V39" s="210"/>
      <c r="W39" s="203"/>
    </row>
    <row r="40" spans="1:23" ht="13.5" thickBot="1" x14ac:dyDescent="0.25">
      <c r="B40" s="34" t="s">
        <v>119</v>
      </c>
      <c r="E40" s="216">
        <f>SUM(E28:E39)</f>
        <v>843103.36850200023</v>
      </c>
      <c r="F40" s="216">
        <f>SUM(F28:F39)</f>
        <v>15409340.842795003</v>
      </c>
      <c r="G40" s="216">
        <f>SUM(G28:G39)</f>
        <v>4339713.7297580009</v>
      </c>
      <c r="H40" s="216">
        <f t="shared" ref="H40:L40" si="6">SUM(H28:H39)</f>
        <v>26713985.073981248</v>
      </c>
      <c r="I40" s="216">
        <f>SUM(I28:I39)</f>
        <v>3587417.2862979989</v>
      </c>
      <c r="J40" s="216">
        <f t="shared" si="6"/>
        <v>9498831.1967420019</v>
      </c>
      <c r="K40" s="216">
        <f t="shared" si="6"/>
        <v>13947.169785000013</v>
      </c>
      <c r="L40" s="216">
        <f t="shared" si="6"/>
        <v>60406338.66786126</v>
      </c>
      <c r="M40" s="203"/>
      <c r="N40" s="211"/>
      <c r="O40" s="211"/>
      <c r="P40" s="211"/>
      <c r="Q40" s="211"/>
      <c r="R40" s="211"/>
      <c r="S40" s="211"/>
      <c r="T40" s="211"/>
      <c r="U40" s="211"/>
      <c r="V40" s="210"/>
      <c r="W40" s="203"/>
    </row>
    <row r="41" spans="1:23" ht="14.25" thickTop="1" thickBot="1" x14ac:dyDescent="0.25">
      <c r="C41" s="71"/>
      <c r="D41" s="71"/>
      <c r="E41" s="71"/>
      <c r="F41" s="71"/>
      <c r="G41" s="71"/>
      <c r="H41" s="71"/>
      <c r="I41" s="71"/>
      <c r="M41" s="203"/>
      <c r="N41" s="203"/>
      <c r="O41" s="203"/>
      <c r="P41" s="203"/>
      <c r="Q41" s="203"/>
      <c r="R41" s="203"/>
      <c r="S41" s="203"/>
      <c r="T41" s="203"/>
      <c r="U41" s="203"/>
      <c r="V41" s="203"/>
      <c r="W41" s="203"/>
    </row>
    <row r="42" spans="1:23" x14ac:dyDescent="0.2">
      <c r="A42" s="34" t="s">
        <v>120</v>
      </c>
      <c r="E42" s="212">
        <f>E40/$L$40</f>
        <v>1.3957200305380651E-2</v>
      </c>
      <c r="F42" s="212">
        <f>F40/$L$40</f>
        <v>0.25509476625494315</v>
      </c>
      <c r="G42" s="212">
        <f>G40/$L$40</f>
        <v>7.1842025612900012E-2</v>
      </c>
      <c r="H42" s="217">
        <f t="shared" ref="H42:K42" si="7">H40/$L$40</f>
        <v>0.44223811048813366</v>
      </c>
      <c r="I42" s="212">
        <f>I40/$L$40</f>
        <v>5.9388093458586942E-2</v>
      </c>
      <c r="J42" s="212">
        <f t="shared" si="7"/>
        <v>0.15724891470364491</v>
      </c>
      <c r="K42" s="212">
        <f t="shared" si="7"/>
        <v>2.3088917641056269E-4</v>
      </c>
      <c r="L42" s="218">
        <f>SUM(E42:K42)</f>
        <v>0.99999999999999989</v>
      </c>
      <c r="M42" s="203"/>
      <c r="N42" s="203"/>
      <c r="O42" s="203"/>
      <c r="P42" s="203"/>
      <c r="Q42" s="203"/>
      <c r="R42" s="203"/>
      <c r="S42" s="203"/>
      <c r="T42" s="203"/>
      <c r="U42" s="203"/>
      <c r="V42" s="203"/>
      <c r="W42" s="203"/>
    </row>
    <row r="43" spans="1:23" ht="13.5" thickBot="1" x14ac:dyDescent="0.25">
      <c r="A43" s="34" t="s">
        <v>121</v>
      </c>
      <c r="E43" s="212">
        <f>(E42*0.25)+(E23*0.75)</f>
        <v>1.4739767588807687E-2</v>
      </c>
      <c r="F43" s="212">
        <f>(F42*0.25)+(F23*0.75)</f>
        <v>0.2728292468282289</v>
      </c>
      <c r="G43" s="212">
        <f>(G42*0.25)+(G23*0.75)</f>
        <v>7.7386335360771719E-2</v>
      </c>
      <c r="H43" s="219">
        <f t="shared" ref="H43:K43" si="8">(H42*0.25)+(H23*0.75)</f>
        <v>0.4394763958322499</v>
      </c>
      <c r="I43" s="212">
        <f>(I42*0.25)+(I23*0.75)</f>
        <v>5.5791821637744883E-2</v>
      </c>
      <c r="J43" s="212">
        <f>(J42*0.25)+(J23*0.75)</f>
        <v>0.13953858963667157</v>
      </c>
      <c r="K43" s="212">
        <f t="shared" si="8"/>
        <v>2.3784311552545019E-4</v>
      </c>
      <c r="L43" s="218">
        <f>SUM(E43:K43)</f>
        <v>1.0000000000000002</v>
      </c>
    </row>
    <row r="45" spans="1:23" x14ac:dyDescent="0.2">
      <c r="E45" s="213"/>
      <c r="F45" s="213"/>
      <c r="G45" s="213"/>
      <c r="H45" s="213"/>
      <c r="I45" s="213"/>
      <c r="J45" s="213"/>
      <c r="K45" s="213"/>
      <c r="L45" s="220"/>
    </row>
    <row r="48" spans="1:23" x14ac:dyDescent="0.2">
      <c r="E48" s="221"/>
      <c r="F48" s="221"/>
      <c r="G48" s="221"/>
      <c r="H48" s="221"/>
      <c r="I48" s="221"/>
      <c r="J48" s="221"/>
      <c r="K48" s="221"/>
      <c r="L48" s="221"/>
    </row>
    <row r="49" spans="5:12" x14ac:dyDescent="0.2">
      <c r="E49" s="220"/>
      <c r="F49" s="220"/>
      <c r="G49" s="220"/>
      <c r="H49" s="220"/>
      <c r="I49" s="220"/>
      <c r="J49" s="220"/>
      <c r="K49" s="220"/>
      <c r="L49" s="220"/>
    </row>
    <row r="50" spans="5:12" x14ac:dyDescent="0.2">
      <c r="E50" s="220"/>
      <c r="F50" s="220"/>
      <c r="G50" s="220"/>
      <c r="H50" s="220"/>
      <c r="I50" s="220"/>
      <c r="J50" s="220"/>
      <c r="K50" s="220"/>
      <c r="L50" s="220"/>
    </row>
  </sheetData>
  <pageMargins left="0.7" right="0.7" top="0.75" bottom="0.75" header="0.3" footer="0.3"/>
  <pageSetup scale="78" orientation="landscape" r:id="rId1"/>
  <headerFooter>
    <oddFooter>&amp;CPage 2.2</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AB4DA3614AAD347BE4FEDC2ECD2F677" ma:contentTypeVersion="6" ma:contentTypeDescription="Create a new document." ma:contentTypeScope="" ma:versionID="86d0b27dfe291c85b93d7c5a51c0823d">
  <xsd:schema xmlns:xsd="http://www.w3.org/2001/XMLSchema" xmlns:xs="http://www.w3.org/2001/XMLSchema" xmlns:p="http://schemas.microsoft.com/office/2006/metadata/properties" xmlns:ns2="ba9b2b69-7f9d-4a4b-902b-e1ff65f1b0af" xmlns:ns3="70d1ac05-f8ec-49f9-a53b-b3ecacc8895e" targetNamespace="http://schemas.microsoft.com/office/2006/metadata/properties" ma:root="true" ma:fieldsID="615111ae1589df9b161947d770c63524" ns2:_="" ns3:_="">
    <xsd:import namespace="ba9b2b69-7f9d-4a4b-902b-e1ff65f1b0af"/>
    <xsd:import namespace="70d1ac05-f8ec-49f9-a53b-b3ecacc8895e"/>
    <xsd:element name="properties">
      <xsd:complexType>
        <xsd:sequence>
          <xsd:element name="documentManagement">
            <xsd:complexType>
              <xsd:all>
                <xsd:element ref="ns2:MediaServiceMetadata" minOccurs="0"/>
                <xsd:element ref="ns2:MediaServiceFastMetadata" minOccurs="0"/>
                <xsd:element ref="ns2:MediaServiceObjectDetectorVersions" minOccurs="0"/>
                <xsd:element ref="ns3:SharedWithUsers" minOccurs="0"/>
                <xsd:element ref="ns3:SharedWithDetail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9b2b69-7f9d-4a4b-902b-e1ff65f1b0a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0" nillable="true" ma:displayName="MediaServiceObjectDetectorVersions" ma:hidden="true" ma:indexed="true" ma:internalName="MediaServiceObjectDetectorVersions" ma:readOnly="true">
      <xsd:simpleType>
        <xsd:restriction base="dms:Text"/>
      </xsd:simpleType>
    </xsd:element>
    <xsd:element name="MediaServiceSearchProperties" ma:index="13"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70d1ac05-f8ec-49f9-a53b-b3ecacc8895e" elementFormDefault="qualified">
    <xsd:import namespace="http://schemas.microsoft.com/office/2006/documentManagement/types"/>
    <xsd:import namespace="http://schemas.microsoft.com/office/infopath/2007/PartnerControls"/>
    <xsd:element name="SharedWithUsers" ma:index="1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226180D-848F-4A69-A693-88C6C81A726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9b2b69-7f9d-4a4b-902b-e1ff65f1b0af"/>
    <ds:schemaRef ds:uri="70d1ac05-f8ec-49f9-a53b-b3ecacc8895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5D26402-E7F8-415C-A55B-E77515C2035E}">
  <ds:schemaRefs>
    <ds:schemaRef ds:uri="http://schemas.microsoft.com/sharepoint/v3/contenttype/forms"/>
  </ds:schemaRefs>
</ds:datastoreItem>
</file>

<file path=customXml/itemProps3.xml><?xml version="1.0" encoding="utf-8"?>
<ds:datastoreItem xmlns:ds="http://schemas.openxmlformats.org/officeDocument/2006/customXml" ds:itemID="{902FF19A-3D1B-4BF8-8606-845A7938C6B0}">
  <ds:schemaRefs>
    <ds:schemaRef ds:uri="http://schemas.microsoft.com/office/2006/metadata/properties"/>
    <ds:schemaRef ds:uri="http://schemas.microsoft.com/office/infopath/2007/PartnerControl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3</vt:i4>
      </vt:variant>
    </vt:vector>
  </HeadingPairs>
  <TitlesOfParts>
    <vt:vector size="8" baseType="lpstr">
      <vt:lpstr>Index</vt:lpstr>
      <vt:lpstr>RMP_(AJR-1)</vt:lpstr>
      <vt:lpstr>RMP_(AJR-2)</vt:lpstr>
      <vt:lpstr>Page 2.1</vt:lpstr>
      <vt:lpstr>Page 2.2</vt:lpstr>
      <vt:lpstr>'Page 2.1'!Print_Area</vt:lpstr>
      <vt:lpstr>'RMP_(AJR-1)'!Print_Area</vt:lpstr>
      <vt:lpstr>'RMP_(AJR-2)'!Print_Area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
  <dcterms:created xsi:type="dcterms:W3CDTF">2024-02-28T20:12:21Z</dcterms:created>
  <dcterms:modified xsi:type="dcterms:W3CDTF">2024-03-15T17:39:46Z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0x0101004AB4DA3614AAD347BE4FEDC2ECD2F677</vt:lpwstr>
  </property>
</Properties>
</file>