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Websites\Pscweb\utilities\electric\25docs\2503501\"/>
    </mc:Choice>
  </mc:AlternateContent>
  <xr:revisionPtr revIDLastSave="0" documentId="8_{EE262782-3AA4-4A2B-B29D-A26942F486BB}" xr6:coauthVersionLast="47" xr6:coauthVersionMax="47" xr10:uidLastSave="{00000000-0000-0000-0000-000000000000}"/>
  <bookViews>
    <workbookView xWindow="870" yWindow="1320" windowWidth="22560" windowHeight="19875" tabRatio="826" xr2:uid="{00000000-000D-0000-FFFF-FFFF00000000}"/>
  </bookViews>
  <sheets>
    <sheet name="Exhibit-RMP(RMM-1) page 1" sheetId="10" r:id="rId1"/>
    <sheet name="Exhibit-RMP(RMM-1) page 2" sheetId="6" r:id="rId2"/>
    <sheet name="Exhibit-RMP(RMM-1) page 3" sheetId="38" r:id="rId3"/>
    <sheet name="Exhibit-RMP(RMM-2)" sheetId="33" r:id="rId4"/>
    <sheet name="Comparison" sheetId="30" r:id="rId5"/>
    <sheet name="Sh1 Bill Impact" sheetId="34" r:id="rId6"/>
    <sheet name="Table 1" sheetId="40" r:id="rId7"/>
    <sheet name="Sch9 Adj" sheetId="39" r:id="rId8"/>
    <sheet name="EBA Base" sheetId="36" r:id="rId9"/>
    <sheet name="Cost Factor" sheetId="37" r:id="rId10"/>
    <sheet name="Note" sheetId="11" r:id="rId11"/>
  </sheets>
  <definedNames>
    <definedName name="________________________OM1" localSheetId="4" hidden="1">{#N/A,#N/A,FALSE,"Summary";#N/A,#N/A,FALSE,"SmPlants";#N/A,#N/A,FALSE,"Utah";#N/A,#N/A,FALSE,"Idaho";#N/A,#N/A,FALSE,"Lewis River";#N/A,#N/A,FALSE,"NrthUmpq";#N/A,#N/A,FALSE,"KlamRog"}</definedName>
    <definedName name="__________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4" hidden="1">{#N/A,#N/A,FALSE,"Summary";#N/A,#N/A,FALSE,"SmPlants";#N/A,#N/A,FALSE,"Utah";#N/A,#N/A,FALSE,"Idaho";#N/A,#N/A,FALSE,"Lewis River";#N/A,#N/A,FALSE,"NrthUmpq";#N/A,#N/A,FALSE,"KlamRog"}</definedName>
    <definedName name="________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4" hidden="1">{#N/A,#N/A,FALSE,"Summary";#N/A,#N/A,FALSE,"SmPlants";#N/A,#N/A,FALSE,"Utah";#N/A,#N/A,FALSE,"Idaho";#N/A,#N/A,FALSE,"Lewis River";#N/A,#N/A,FALSE,"NrthUmpq";#N/A,#N/A,FALSE,"KlamRog"}</definedName>
    <definedName name="______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4" hidden="1">{#N/A,#N/A,FALSE,"Summary";#N/A,#N/A,FALSE,"SmPlants";#N/A,#N/A,FALSE,"Utah";#N/A,#N/A,FALSE,"Idaho";#N/A,#N/A,FALSE,"Lewis River";#N/A,#N/A,FALSE,"NrthUmpq";#N/A,#N/A,FALSE,"KlamRog"}</definedName>
    <definedName name="_____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localSheetId="4" hidden="1">{#N/A,#N/A,FALSE,"Summary";#N/A,#N/A,FALSE,"SmPlants";#N/A,#N/A,FALSE,"Utah";#N/A,#N/A,FALSE,"Idaho";#N/A,#N/A,FALSE,"Lewis River";#N/A,#N/A,FALSE,"NrthUmpq";#N/A,#N/A,FALSE,"KlamRog"}</definedName>
    <definedName name="___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localSheetId="4" hidden="1">{#N/A,#N/A,FALSE,"Summary";#N/A,#N/A,FALSE,"SmPlants";#N/A,#N/A,FALSE,"Utah";#N/A,#N/A,FALSE,"Idaho";#N/A,#N/A,FALSE,"Lewis River";#N/A,#N/A,FALSE,"NrthUmpq";#N/A,#N/A,FALSE,"KlamRog"}</definedName>
    <definedName name="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localSheetId="4" hidden="1">{#N/A,#N/A,FALSE,"Summary";#N/A,#N/A,FALSE,"SmPlants";#N/A,#N/A,FALSE,"Utah";#N/A,#N/A,FALSE,"Idaho";#N/A,#N/A,FALSE,"Lewis River";#N/A,#N/A,FALSE,"NrthUmpq";#N/A,#N/A,FALSE,"KlamRog"}</definedName>
    <definedName name="____________OM1" localSheetId="5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localSheetId="4" hidden="1">{#N/A,#N/A,FALSE,"Summary";#N/A,#N/A,FALSE,"SmPlants";#N/A,#N/A,FALSE,"Utah";#N/A,#N/A,FALSE,"Idaho";#N/A,#N/A,FALSE,"Lewis River";#N/A,#N/A,FALSE,"NrthUmpq";#N/A,#N/A,FALSE,"KlamRog"}</definedName>
    <definedName name="___________OM1" localSheetId="5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4" hidden="1">{#N/A,#N/A,FALSE,"Summary";#N/A,#N/A,FALSE,"SmPlants";#N/A,#N/A,FALSE,"Utah";#N/A,#N/A,FALSE,"Idaho";#N/A,#N/A,FALSE,"Lewis River";#N/A,#N/A,FALSE,"NrthUmpq";#N/A,#N/A,FALSE,"KlamRog"}</definedName>
    <definedName name="_________OM1" localSheetId="5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4" hidden="1">{#N/A,#N/A,FALSE,"Summary";#N/A,#N/A,FALSE,"SmPlants";#N/A,#N/A,FALSE,"Utah";#N/A,#N/A,FALSE,"Idaho";#N/A,#N/A,FALSE,"Lewis River";#N/A,#N/A,FALSE,"NrthUmpq";#N/A,#N/A,FALSE,"KlamRog"}</definedName>
    <definedName name="_______OM1" localSheetId="5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4" hidden="1">{#N/A,#N/A,FALSE,"Summary";#N/A,#N/A,FALSE,"SmPlants";#N/A,#N/A,FALSE,"Utah";#N/A,#N/A,FALSE,"Idaho";#N/A,#N/A,FALSE,"Lewis River";#N/A,#N/A,FALSE,"NrthUmpq";#N/A,#N/A,FALSE,"KlamRog"}</definedName>
    <definedName name="______OM1" localSheetId="5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4" hidden="1">{#N/A,#N/A,FALSE,"Summary";#N/A,#N/A,FALSE,"SmPlants";#N/A,#N/A,FALSE,"Utah";#N/A,#N/A,FALSE,"Idaho";#N/A,#N/A,FALSE,"Lewis River";#N/A,#N/A,FALSE,"NrthUmpq";#N/A,#N/A,FALSE,"KlamRog"}</definedName>
    <definedName name="_____OM1" localSheetId="5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4" hidden="1">{#N/A,#N/A,FALSE,"Summary";#N/A,#N/A,FALSE,"SmPlants";#N/A,#N/A,FALSE,"Utah";#N/A,#N/A,FALSE,"Idaho";#N/A,#N/A,FALSE,"Lewis River";#N/A,#N/A,FALSE,"NrthUmpq";#N/A,#N/A,FALSE,"KlamRog"}</definedName>
    <definedName name="____OM1" localSheetId="5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localSheetId="4" hidden="1">{"PRINT",#N/A,TRUE,"APPA";"PRINT",#N/A,TRUE,"APS";"PRINT",#N/A,TRUE,"BHPL";"PRINT",#N/A,TRUE,"BHPL2";"PRINT",#N/A,TRUE,"CDWR";"PRINT",#N/A,TRUE,"EWEB";"PRINT",#N/A,TRUE,"LADWP";"PRINT",#N/A,TRUE,"NEVBASE"}</definedName>
    <definedName name="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4" hidden="1">{"PRINT",#N/A,TRUE,"APPA";"PRINT",#N/A,TRUE,"APS";"PRINT",#N/A,TRUE,"BHPL";"PRINT",#N/A,TRUE,"BHPL2";"PRINT",#N/A,TRUE,"CDWR";"PRINT",#N/A,TRUE,"EWEB";"PRINT",#N/A,TRUE,"LADWP";"PRINT",#N/A,TRUE,"NEVBASE"}</definedName>
    <definedName name="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4" hidden="1">{"PRINT",#N/A,TRUE,"APPA";"PRINT",#N/A,TRUE,"APS";"PRINT",#N/A,TRUE,"BHPL";"PRINT",#N/A,TRUE,"BHPL2";"PRINT",#N/A,TRUE,"CDWR";"PRINT",#N/A,TRUE,"EWEB";"PRINT",#N/A,TRUE,"LADWP";"PRINT",#N/A,TRUE,"NEVBASE"}</definedName>
    <definedName name="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4" hidden="1">{"PRINT",#N/A,TRUE,"APPA";"PRINT",#N/A,TRUE,"APS";"PRINT",#N/A,TRUE,"BHPL";"PRINT",#N/A,TRUE,"BHPL2";"PRINT",#N/A,TRUE,"CDWR";"PRINT",#N/A,TRUE,"EWEB";"PRINT",#N/A,TRUE,"LADWP";"PRINT",#N/A,TRUE,"NEVBASE"}</definedName>
    <definedName name="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4" hidden="1">{"PRINT",#N/A,TRUE,"APPA";"PRINT",#N/A,TRUE,"APS";"PRINT",#N/A,TRUE,"BHPL";"PRINT",#N/A,TRUE,"BHPL2";"PRINT",#N/A,TRUE,"CDWR";"PRINT",#N/A,TRUE,"EWEB";"PRINT",#N/A,TRUE,"LADWP";"PRINT",#N/A,TRUE,"NEVBASE"}</definedName>
    <definedName name="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4" hidden="1">{#N/A,#N/A,FALSE,"Summary";#N/A,#N/A,FALSE,"SmPlants";#N/A,#N/A,FALSE,"Utah";#N/A,#N/A,FALSE,"Idaho";#N/A,#N/A,FALSE,"Lewis River";#N/A,#N/A,FALSE,"NrthUmpq";#N/A,#N/A,FALSE,"KlamRog"}</definedName>
    <definedName name="___OM1" localSheetId="5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0" hidden="1">#REF!</definedName>
    <definedName name="__123Graph_A" localSheetId="5" hidden="1">#REF!</definedName>
    <definedName name="__123Graph_A" hidden="1">#REF!</definedName>
    <definedName name="__123Graph_B" localSheetId="0" hidden="1">#REF!</definedName>
    <definedName name="__123Graph_B" localSheetId="5" hidden="1">#REF!</definedName>
    <definedName name="__123Graph_B" hidden="1">#REF!</definedName>
    <definedName name="__123Graph_D" localSheetId="0" hidden="1">#REF!</definedName>
    <definedName name="__123Graph_D" localSheetId="5" hidden="1">#REF!</definedName>
    <definedName name="__123Graph_D" hidden="1">#REF!</definedName>
    <definedName name="__123Graph_E" localSheetId="5" hidden="1">#REF!</definedName>
    <definedName name="__123Graph_E" hidden="1">#REF!</definedName>
    <definedName name="__123Graph_F" localSheetId="5" hidden="1">#REF!</definedName>
    <definedName name="__123Graph_F" hidden="1">#REF!</definedName>
    <definedName name="__j1" localSheetId="4" hidden="1">{"PRINT",#N/A,TRUE,"APPA";"PRINT",#N/A,TRUE,"APS";"PRINT",#N/A,TRUE,"BHPL";"PRINT",#N/A,TRUE,"BHPL2";"PRINT",#N/A,TRUE,"CDWR";"PRINT",#N/A,TRUE,"EWEB";"PRINT",#N/A,TRUE,"LADWP";"PRINT",#N/A,TRUE,"NEVBASE"}</definedName>
    <definedName name="__j1" localSheetId="5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4" hidden="1">{"PRINT",#N/A,TRUE,"APPA";"PRINT",#N/A,TRUE,"APS";"PRINT",#N/A,TRUE,"BHPL";"PRINT",#N/A,TRUE,"BHPL2";"PRINT",#N/A,TRUE,"CDWR";"PRINT",#N/A,TRUE,"EWEB";"PRINT",#N/A,TRUE,"LADWP";"PRINT",#N/A,TRUE,"NEVBASE"}</definedName>
    <definedName name="__j2" localSheetId="5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4" hidden="1">{"PRINT",#N/A,TRUE,"APPA";"PRINT",#N/A,TRUE,"APS";"PRINT",#N/A,TRUE,"BHPL";"PRINT",#N/A,TRUE,"BHPL2";"PRINT",#N/A,TRUE,"CDWR";"PRINT",#N/A,TRUE,"EWEB";"PRINT",#N/A,TRUE,"LADWP";"PRINT",#N/A,TRUE,"NEVBASE"}</definedName>
    <definedName name="__j3" localSheetId="5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4" hidden="1">{"PRINT",#N/A,TRUE,"APPA";"PRINT",#N/A,TRUE,"APS";"PRINT",#N/A,TRUE,"BHPL";"PRINT",#N/A,TRUE,"BHPL2";"PRINT",#N/A,TRUE,"CDWR";"PRINT",#N/A,TRUE,"EWEB";"PRINT",#N/A,TRUE,"LADWP";"PRINT",#N/A,TRUE,"NEVBASE"}</definedName>
    <definedName name="__j4" localSheetId="5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4" hidden="1">{"PRINT",#N/A,TRUE,"APPA";"PRINT",#N/A,TRUE,"APS";"PRINT",#N/A,TRUE,"BHPL";"PRINT",#N/A,TRUE,"BHPL2";"PRINT",#N/A,TRUE,"CDWR";"PRINT",#N/A,TRUE,"EWEB";"PRINT",#N/A,TRUE,"LADWP";"PRINT",#N/A,TRUE,"NEVBASE"}</definedName>
    <definedName name="__j5" localSheetId="5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4" hidden="1">{#N/A,#N/A,FALSE,"Summary";#N/A,#N/A,FALSE,"SmPlants";#N/A,#N/A,FALSE,"Utah";#N/A,#N/A,FALSE,"Idaho";#N/A,#N/A,FALSE,"Lewis River";#N/A,#N/A,FALSE,"NrthUmpq";#N/A,#N/A,FALSE,"KlamRog"}</definedName>
    <definedName name="__OM1" localSheetId="5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localSheetId="4" hidden="1">#REF!</definedName>
    <definedName name="_Fill" localSheetId="0" hidden="1">#REF!</definedName>
    <definedName name="_Fill" localSheetId="1" hidden="1">#REF!</definedName>
    <definedName name="_Fill" localSheetId="5" hidden="1">#REF!</definedName>
    <definedName name="_Fill" hidden="1">#REF!</definedName>
    <definedName name="_xlnm._FilterDatabase" localSheetId="4" hidden="1">#REF!</definedName>
    <definedName name="_xlnm._FilterDatabase" localSheetId="0" hidden="1">'Exhibit-RMP(RMM-1) page 1'!$M$15:$M$49</definedName>
    <definedName name="_xlnm._FilterDatabase" localSheetId="3" hidden="1">'Exhibit-RMP(RMM-2)'!$G$1:$G$772</definedName>
    <definedName name="_xlnm._FilterDatabase" localSheetId="5" hidden="1">#REF!</definedName>
    <definedName name="_xlnm._FilterDatabase" hidden="1">#REF!</definedName>
    <definedName name="_j1" localSheetId="4" hidden="1">{"PRINT",#N/A,TRUE,"APPA";"PRINT",#N/A,TRUE,"APS";"PRINT",#N/A,TRUE,"BHPL";"PRINT",#N/A,TRUE,"BHPL2";"PRINT",#N/A,TRUE,"CDWR";"PRINT",#N/A,TRUE,"EWEB";"PRINT",#N/A,TRUE,"LADWP";"PRINT",#N/A,TRUE,"NEVBASE"}</definedName>
    <definedName name="_j1" localSheetId="5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4" hidden="1">{"PRINT",#N/A,TRUE,"APPA";"PRINT",#N/A,TRUE,"APS";"PRINT",#N/A,TRUE,"BHPL";"PRINT",#N/A,TRUE,"BHPL2";"PRINT",#N/A,TRUE,"CDWR";"PRINT",#N/A,TRUE,"EWEB";"PRINT",#N/A,TRUE,"LADWP";"PRINT",#N/A,TRUE,"NEVBASE"}</definedName>
    <definedName name="_j2" localSheetId="5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4" hidden="1">{"PRINT",#N/A,TRUE,"APPA";"PRINT",#N/A,TRUE,"APS";"PRINT",#N/A,TRUE,"BHPL";"PRINT",#N/A,TRUE,"BHPL2";"PRINT",#N/A,TRUE,"CDWR";"PRINT",#N/A,TRUE,"EWEB";"PRINT",#N/A,TRUE,"LADWP";"PRINT",#N/A,TRUE,"NEVBASE"}</definedName>
    <definedName name="_j3" localSheetId="5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4" hidden="1">{"PRINT",#N/A,TRUE,"APPA";"PRINT",#N/A,TRUE,"APS";"PRINT",#N/A,TRUE,"BHPL";"PRINT",#N/A,TRUE,"BHPL2";"PRINT",#N/A,TRUE,"CDWR";"PRINT",#N/A,TRUE,"EWEB";"PRINT",#N/A,TRUE,"LADWP";"PRINT",#N/A,TRUE,"NEVBASE"}</definedName>
    <definedName name="_j4" localSheetId="5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4" hidden="1">{"PRINT",#N/A,TRUE,"APPA";"PRINT",#N/A,TRUE,"APS";"PRINT",#N/A,TRUE,"BHPL";"PRINT",#N/A,TRUE,"BHPL2";"PRINT",#N/A,TRUE,"CDWR";"PRINT",#N/A,TRUE,"EWEB";"PRINT",#N/A,TRUE,"LADWP";"PRINT",#N/A,TRUE,"NEVBASE"}</definedName>
    <definedName name="_j5" localSheetId="5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4" hidden="1">#REF!</definedName>
    <definedName name="_Key1" localSheetId="0" hidden="1">#REF!</definedName>
    <definedName name="_Key1" localSheetId="1" hidden="1">#REF!</definedName>
    <definedName name="_Key1" localSheetId="5" hidden="1">#REF!</definedName>
    <definedName name="_Key1" hidden="1">#REF!</definedName>
    <definedName name="_Key2" localSheetId="4" hidden="1">#REF!</definedName>
    <definedName name="_Key2" localSheetId="0" hidden="1">#REF!</definedName>
    <definedName name="_Key2" localSheetId="1" hidden="1">#REF!</definedName>
    <definedName name="_Key2" localSheetId="5" hidden="1">#REF!</definedName>
    <definedName name="_Key2" hidden="1">#REF!</definedName>
    <definedName name="_OM1" localSheetId="4" hidden="1">{#N/A,#N/A,FALSE,"Summary";#N/A,#N/A,FALSE,"SmPlants";#N/A,#N/A,FALSE,"Utah";#N/A,#N/A,FALSE,"Idaho";#N/A,#N/A,FALSE,"Lewis River";#N/A,#N/A,FALSE,"NrthUmpq";#N/A,#N/A,FALSE,"KlamRog"}</definedName>
    <definedName name="_OM1" localSheetId="5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localSheetId="0" hidden="1">255</definedName>
    <definedName name="_Order1" localSheetId="1" hidden="1">255</definedName>
    <definedName name="_Order1" localSheetId="5" hidden="1">255</definedName>
    <definedName name="_Order1" hidden="1">0</definedName>
    <definedName name="_Order2" localSheetId="0" hidden="1">255</definedName>
    <definedName name="_Order2" localSheetId="1" hidden="1">255</definedName>
    <definedName name="_Order2" localSheetId="5" hidden="1">255</definedName>
    <definedName name="_Order2" hidden="1">0</definedName>
    <definedName name="_Regression_Out" localSheetId="4" hidden="1">#REF!</definedName>
    <definedName name="_Regression_Out" localSheetId="1" hidden="1">#REF!</definedName>
    <definedName name="_Regression_Out" localSheetId="5" hidden="1">#REF!</definedName>
    <definedName name="_Regression_Out" hidden="1">#REF!</definedName>
    <definedName name="_Regression_X" localSheetId="4" hidden="1">#REF!</definedName>
    <definedName name="_Regression_X" localSheetId="1" hidden="1">#REF!</definedName>
    <definedName name="_Regression_X" localSheetId="5" hidden="1">#REF!</definedName>
    <definedName name="_Regression_X" hidden="1">#REF!</definedName>
    <definedName name="_Regression_Y" localSheetId="4" hidden="1">#REF!</definedName>
    <definedName name="_Regression_Y" localSheetId="1" hidden="1">#REF!</definedName>
    <definedName name="_Regression_Y" localSheetId="5" hidden="1">#REF!</definedName>
    <definedName name="_Regression_Y" hidden="1">#REF!</definedName>
    <definedName name="_Sort" localSheetId="4" hidden="1">#REF!</definedName>
    <definedName name="_Sort" localSheetId="0" hidden="1">#REF!</definedName>
    <definedName name="_Sort" localSheetId="1" hidden="1">#REF!</definedName>
    <definedName name="_Sort" localSheetId="5" hidden="1">#REF!</definedName>
    <definedName name="_Sort" hidden="1">#REF!</definedName>
    <definedName name="_x1" localSheetId="5" hidden="1">{"PRINT",#N/A,TRUE,"APPA";"PRINT",#N/A,TRUE,"APS";"PRINT",#N/A,TRUE,"BHPL";"PRINT",#N/A,TRUE,"BHPL2";"PRINT",#N/A,TRUE,"CDWR";"PRINT",#N/A,TRUE,"EWEB";"PRINT",#N/A,TRUE,"LADWP";"PRINT",#N/A,TRUE,"NEVBASE"}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localSheetId="5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localSheetId="5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localSheetId="5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localSheetId="5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1" hidden="1">#REF!</definedName>
    <definedName name="a" localSheetId="5" hidden="1">#REF!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lkjslkj" localSheetId="4" hidden="1">{0,#N/A,TRUE,0;0,#N/A,TRUE,0;0,#N/A,TRUE,0;0,#N/A,TRUE,0;0,#N/A,TRUE,0;0,#N/A,TRUE,0;0,#N/A,TRUE,0;0,#N/A,TRUE,0}</definedName>
    <definedName name="alkjslkj" localSheetId="5" hidden="1">{0,#N/A,TRUE,0;0,#N/A,TRUE,0;0,#N/A,TRUE,0;0,#N/A,TRUE,0;0,#N/A,TRUE,0;0,#N/A,TRUE,0;0,#N/A,TRUE,0;0,#N/A,TRUE,0}</definedName>
    <definedName name="alkjslkj" hidden="1">{0,#N/A,TRUE,0;0,#N/A,TRUE,0;0,#N/A,TRUE,0;0,#N/A,TRUE,0;0,#N/A,TRUE,0;0,#N/A,TRUE,0;0,#N/A,TRUE,0;0,#N/A,TRUE,0}</definedName>
    <definedName name="anscount" hidden="1">1</definedName>
    <definedName name="asa" localSheetId="4" hidden="1">{"Factors Pages 1-2",#N/A,FALSE,"Factors";"Factors Page 3",#N/A,FALSE,"Factors";"Factors Page 4",#N/A,FALSE,"Factors";"Factors Page 5",#N/A,FALSE,"Factors";"Factors Pages 8-27",#N/A,FALSE,"Factors"}</definedName>
    <definedName name="asa" localSheetId="5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amas" localSheetId="4" hidden="1">{#N/A,#N/A,FALSE,"Summary";#N/A,#N/A,FALSE,"SmPlants";#N/A,#N/A,FALSE,"Utah";#N/A,#N/A,FALSE,"Idaho";#N/A,#N/A,FALSE,"Lewis River";#N/A,#N/A,FALSE,"NrthUmpq";#N/A,#N/A,FALSE,"KlamRog"}</definedName>
    <definedName name="Camas" localSheetId="5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gf" localSheetId="4" hidden="1">{"PRINT",#N/A,TRUE,"APPA";"PRINT",#N/A,TRUE,"APS";"PRINT",#N/A,TRUE,"BHPL";"PRINT",#N/A,TRUE,"BHPL2";"PRINT",#N/A,TRUE,"CDWR";"PRINT",#N/A,TRUE,"EWEB";"PRINT",#N/A,TRUE,"LADWP";"PRINT",#N/A,TRUE,"NEVBASE"}</definedName>
    <definedName name="cgf" localSheetId="5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gs" localSheetId="4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localSheetId="5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localSheetId="4" hidden="1">{"YTD-Total",#N/A,TRUE,"Provision";"YTD-Utility",#N/A,TRUE,"Prov Utility";"YTD-NonUtility",#N/A,TRUE,"Prov NonUtility"}</definedName>
    <definedName name="combined1" localSheetId="5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py" localSheetId="5" hidden="1">#REF!</definedName>
    <definedName name="copy" hidden="1">#REF!</definedName>
    <definedName name="dana" localSheetId="4" hidden="1">{#N/A,#N/A,FALSE,"Summary EPS";#N/A,#N/A,FALSE,"1st Qtr Electric";#N/A,#N/A,FALSE,"1st Qtr Australia";#N/A,#N/A,FALSE,"1st Qtr Telecom";#N/A,#N/A,FALSE,"1st QTR Other"}</definedName>
    <definedName name="dana" localSheetId="5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4" hidden="1">{#N/A,#N/A,FALSE,"Summary 1";#N/A,#N/A,FALSE,"Domestic";#N/A,#N/A,FALSE,"Australia";#N/A,#N/A,FALSE,"Other"}</definedName>
    <definedName name="dana1" localSheetId="5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sd" localSheetId="5" hidden="1">#REF!</definedName>
    <definedName name="dsd" hidden="1">#REF!</definedName>
    <definedName name="DUDE" localSheetId="4" hidden="1">#REF!</definedName>
    <definedName name="DUDE" localSheetId="0" hidden="1">#REF!</definedName>
    <definedName name="DUDE" localSheetId="5" hidden="1">#REF!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localSheetId="4" hidden="1">{#N/A,#N/A,FALSE,"Loans";#N/A,#N/A,FALSE,"Program Costs";#N/A,#N/A,FALSE,"Measures";#N/A,#N/A,FALSE,"Net Lost Rev";#N/A,#N/A,FALSE,"Incentive"}</definedName>
    <definedName name="extra2" localSheetId="5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4" hidden="1">{#N/A,#N/A,FALSE,"Loans";#N/A,#N/A,FALSE,"Program Costs";#N/A,#N/A,FALSE,"Measures";#N/A,#N/A,FALSE,"Net Lost Rev";#N/A,#N/A,FALSE,"Incentive"}</definedName>
    <definedName name="extra3" localSheetId="5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4" hidden="1">{#N/A,#N/A,FALSE,"Loans";#N/A,#N/A,FALSE,"Program Costs";#N/A,#N/A,FALSE,"Measures";#N/A,#N/A,FALSE,"Net Lost Rev";#N/A,#N/A,FALSE,"Incentive"}</definedName>
    <definedName name="extra4" localSheetId="5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4" hidden="1">{#N/A,#N/A,FALSE,"Loans";#N/A,#N/A,FALSE,"Program Costs";#N/A,#N/A,FALSE,"Measures";#N/A,#N/A,FALSE,"Net Lost Rev";#N/A,#N/A,FALSE,"Incentive"}</definedName>
    <definedName name="extra5" localSheetId="5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hfjhke" localSheetId="4" hidden="1">{0,#N/A,TRUE,0;0,#N/A,TRUE,0;0,#N/A,TRUE,0;0,#N/A,TRUE,0;0,#N/A,TRUE,0;0,#N/A,TRUE,0;0,#N/A,TRUE,0;0,#N/A,TRUE,0}</definedName>
    <definedName name="fhfjhke" localSheetId="5" hidden="1">{0,#N/A,TRUE,0;0,#N/A,TRUE,0;0,#N/A,TRUE,0;0,#N/A,TRUE,0;0,#N/A,TRUE,0;0,#N/A,TRUE,0;0,#N/A,TRUE,0;0,#N/A,TRUE,0}</definedName>
    <definedName name="fhfjhke" hidden="1">{0,#N/A,TRUE,0;0,#N/A,TRUE,0;0,#N/A,TRUE,0;0,#N/A,TRUE,0;0,#N/A,TRUE,0;0,#N/A,TRUE,0;0,#N/A,TRUE,0;0,#N/A,TRUE,0}</definedName>
    <definedName name="fjljelj" localSheetId="4" hidden="1">{0,#N/A,TRUE,0;0,#N/A,TRUE,0;0,#N/A,TRUE,0;0,#N/A,TRUE,0;0,#N/A,TRUE,0;0,#N/A,TRUE,0;0,#N/A,TRUE,0;0,#N/A,TRUE,0}</definedName>
    <definedName name="fjljelj" localSheetId="5" hidden="1">{0,#N/A,TRUE,0;0,#N/A,TRUE,0;0,#N/A,TRUE,0;0,#N/A,TRUE,0;0,#N/A,TRUE,0;0,#N/A,TRUE,0;0,#N/A,TRUE,0;0,#N/A,TRUE,0}</definedName>
    <definedName name="fjljelj" hidden="1">{0,#N/A,TRUE,0;0,#N/A,TRUE,0;0,#N/A,TRUE,0;0,#N/A,TRUE,0;0,#N/A,TRUE,0;0,#N/A,TRUE,0;0,#N/A,TRUE,0;0,#N/A,TRUE,0}</definedName>
    <definedName name="foo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4" hidden="1">{"PRINT",#N/A,TRUE,"APPA";"PRINT",#N/A,TRUE,"APS";"PRINT",#N/A,TRUE,"BHPL";"PRINT",#N/A,TRUE,"BHPL2";"PRINT",#N/A,TRUE,"CDWR";"PRINT",#N/A,TRUE,"EWEB";"PRINT",#N/A,TRUE,"LADWP";"PRINT",#N/A,TRUE,"NEVBASE"}</definedName>
    <definedName name="friend" localSheetId="5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localSheetId="4" hidden="1">{#N/A,#N/A,FALSE,"Summary";#N/A,#N/A,FALSE,"SmPlants";#N/A,#N/A,FALSE,"Utah";#N/A,#N/A,FALSE,"Idaho";#N/A,#N/A,FALSE,"Lewis River";#N/A,#N/A,FALSE,"NrthUmpq";#N/A,#N/A,FALSE,"KlamRog"}</definedName>
    <definedName name="HROptim" localSheetId="5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localSheetId="4" hidden="1">{#N/A,#N/A,FALSE,"Summary";#N/A,#N/A,FALSE,"SmPlants";#N/A,#N/A,FALSE,"Utah";#N/A,#N/A,FALSE,"Idaho";#N/A,#N/A,FALSE,"Lewis River";#N/A,#N/A,FALSE,"NrthUmpq";#N/A,#N/A,FALSE,"KlamRog"}</definedName>
    <definedName name="inventory" localSheetId="5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fkejflj" localSheetId="4" hidden="1">{0,#N/A,TRUE,0;0,#N/A,TRUE,0;0,#N/A,TRUE,0;0,#N/A,TRUE,0;0,#N/A,TRUE,0;0,#N/A,TRUE,0;0,#N/A,TRUE,0;0,#N/A,TRUE,0}</definedName>
    <definedName name="jfkejflj" localSheetId="5" hidden="1">{0,#N/A,TRUE,0;0,#N/A,TRUE,0;0,#N/A,TRUE,0;0,#N/A,TRUE,0;0,#N/A,TRUE,0;0,#N/A,TRUE,0;0,#N/A,TRUE,0;0,#N/A,TRUE,0}</definedName>
    <definedName name="jfkejflj" hidden="1">{0,#N/A,TRUE,0;0,#N/A,TRUE,0;0,#N/A,TRUE,0;0,#N/A,TRUE,0;0,#N/A,TRUE,0;0,#N/A,TRUE,0;0,#N/A,TRUE,0;0,#N/A,TRUE,0}</definedName>
    <definedName name="jfkjlllje" localSheetId="4" hidden="1">{0,#N/A,TRUE,0;0,#N/A,TRUE,0;0,#N/A,TRUE,0;0,#N/A,TRUE,0;0,#N/A,TRUE,0;0,#N/A,TRUE,0;0,#N/A,TRUE,0;0,#N/A,TRUE,0}</definedName>
    <definedName name="jfkjlllje" localSheetId="5" hidden="1">{0,#N/A,TRUE,0;0,#N/A,TRUE,0;0,#N/A,TRUE,0;0,#N/A,TRUE,0;0,#N/A,TRUE,0;0,#N/A,TRUE,0;0,#N/A,TRUE,0;0,#N/A,TRUE,0}</definedName>
    <definedName name="jfkjlllje" hidden="1">{0,#N/A,TRUE,0;0,#N/A,TRUE,0;0,#N/A,TRUE,0;0,#N/A,TRUE,0;0,#N/A,TRUE,0;0,#N/A,TRUE,0;0,#N/A,TRUE,0;0,#N/A,TRUE,0}</definedName>
    <definedName name="junk" localSheetId="4" hidden="1">{"PRINT",#N/A,TRUE,"APPA";"PRINT",#N/A,TRUE,"APS";"PRINT",#N/A,TRUE,"BHPL";"PRINT",#N/A,TRUE,"BHPL2";"PRINT",#N/A,TRUE,"CDWR";"PRINT",#N/A,TRUE,"EWEB";"PRINT",#N/A,TRUE,"LADWP";"PRINT",#N/A,TRUE,"NEVBASE"}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localSheetId="5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4" hidden="1">{"PRINT",#N/A,TRUE,"APPA";"PRINT",#N/A,TRUE,"APS";"PRINT",#N/A,TRUE,"BHPL";"PRINT",#N/A,TRUE,"BHPL2";"PRINT",#N/A,TRUE,"CDWR";"PRINT",#N/A,TRUE,"EWEB";"PRINT",#N/A,TRUE,"LADWP";"PRINT",#N/A,TRUE,"NEVBASE"}</definedName>
    <definedName name="junk1" localSheetId="5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4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localSheetId="5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4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localSheetId="5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4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localSheetId="5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4" hidden="1">{"PRINT",#N/A,TRUE,"APPA";"PRINT",#N/A,TRUE,"APS";"PRINT",#N/A,TRUE,"BHPL";"PRINT",#N/A,TRUE,"BHPL2";"PRINT",#N/A,TRUE,"CDWR";"PRINT",#N/A,TRUE,"EWEB";"PRINT",#N/A,TRUE,"LADWP";"PRINT",#N/A,TRUE,"NEVBASE"}</definedName>
    <definedName name="junk5" localSheetId="5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localSheetId="4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4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5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localSheetId="4" hidden="1">{#N/A,#N/A,FALSE,"Actual";#N/A,#N/A,FALSE,"Normalized";#N/A,#N/A,FALSE,"Electric Actual";#N/A,#N/A,FALSE,"Electric Normalized"}</definedName>
    <definedName name="Master" localSheetId="5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4" hidden="1">{"PRINT",#N/A,TRUE,"APPA";"PRINT",#N/A,TRUE,"APS";"PRINT",#N/A,TRUE,"BHPL";"PRINT",#N/A,TRUE,"BHPL2";"PRINT",#N/A,TRUE,"CDWR";"PRINT",#N/A,TRUE,"EWEB";"PRINT",#N/A,TRUE,"LADWP";"PRINT",#N/A,TRUE,"NEVBASE"}</definedName>
    <definedName name="mmm" localSheetId="5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localSheetId="4" hidden="1">{#N/A,#N/A,TRUE,"Section6";#N/A,#N/A,TRUE,"OHcycles";#N/A,#N/A,TRUE,"OHtiming";#N/A,#N/A,TRUE,"OHcosts";#N/A,#N/A,TRUE,"GTdegradation";#N/A,#N/A,TRUE,"GTperformance";#N/A,#N/A,TRUE,"GraphEquip"}</definedName>
    <definedName name="new" localSheetId="5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localSheetId="4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localSheetId="5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localSheetId="4" hidden="1">{#N/A,#N/A,FALSE,"Summary";#N/A,#N/A,FALSE,"SmPlants";#N/A,#N/A,FALSE,"Utah";#N/A,#N/A,FALSE,"Idaho";#N/A,#N/A,FALSE,"Lewis River";#N/A,#N/A,FALSE,"NrthUmpq";#N/A,#N/A,FALSE,"KlamRog"}</definedName>
    <definedName name="OHSch10YR" localSheetId="5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4" hidden="1">{#N/A,#N/A,FALSE,"Summary";#N/A,#N/A,FALSE,"SmPlants";#N/A,#N/A,FALSE,"Utah";#N/A,#N/A,FALSE,"Idaho";#N/A,#N/A,FALSE,"Lewis River";#N/A,#N/A,FALSE,"NrthUmpq";#N/A,#N/A,FALSE,"KlamRog"}</definedName>
    <definedName name="om" localSheetId="5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4" hidden="1">{"Factors Pages 1-2",#N/A,FALSE,"Factors";"Factors Page 3",#N/A,FALSE,"Factors";"Factors Page 4",#N/A,FALSE,"Factors";"Factors Page 5",#N/A,FALSE,"Factors";"Factors Pages 8-27",#N/A,FALSE,"Factors"}</definedName>
    <definedName name="others" localSheetId="5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5" hidden="1">#REF!</definedName>
    <definedName name="PricingInfo" hidden="1">#REF!</definedName>
    <definedName name="_xlnm.Print_Area" localSheetId="0">'Exhibit-RMP(RMM-1) page 1'!$A$1:$AC$49</definedName>
    <definedName name="_xlnm.Print_Area" localSheetId="1">'Exhibit-RMP(RMM-1) page 2'!$A$1:$M$54</definedName>
    <definedName name="_xlnm.Print_Area" localSheetId="3">'Exhibit-RMP(RMM-2)'!$A$1:$O$768</definedName>
    <definedName name="_xlnm.Print_Area" localSheetId="5">'Sh1 Bill Impact'!$A$1:$Q$34</definedName>
    <definedName name="retail" localSheetId="4" hidden="1">{#N/A,#N/A,FALSE,"Loans";#N/A,#N/A,FALSE,"Program Costs";#N/A,#N/A,FALSE,"Measures";#N/A,#N/A,FALSE,"Net Lost Rev";#N/A,#N/A,FALSE,"Incentive"}</definedName>
    <definedName name="retail" localSheetId="5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4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5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4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5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4" hidden="1">{"PRINT",#N/A,TRUE,"APPA";"PRINT",#N/A,TRUE,"APS";"PRINT",#N/A,TRUE,"BHPL";"PRINT",#N/A,TRUE,"BHPL2";"PRINT",#N/A,TRUE,"CDWR";"PRINT",#N/A,TRUE,"EWEB";"PRINT",#N/A,TRUE,"LADWP";"PRINT",#N/A,TRUE,"NEVBASE"}</definedName>
    <definedName name="rrr" localSheetId="5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localSheetId="5" hidden="1">"45EQYSCWE9WJMGB34OOD1BOQZ"</definedName>
    <definedName name="SAPBEXwbID" hidden="1">"44KU92Q9LH2VK4DK86GZ93AXN"</definedName>
    <definedName name="shit" localSheetId="4" hidden="1">{"PRINT",#N/A,TRUE,"APPA";"PRINT",#N/A,TRUE,"APS";"PRINT",#N/A,TRUE,"BHPL";"PRINT",#N/A,TRUE,"BHPL2";"PRINT",#N/A,TRUE,"CDWR";"PRINT",#N/A,TRUE,"EWEB";"PRINT",#N/A,TRUE,"LADWP";"PRINT",#N/A,TRUE,"NEVBASE"}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5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localSheetId="4" hidden="1">{#N/A,#N/A,FALSE,"Summary";#N/A,#N/A,FALSE,"SmPlants";#N/A,#N/A,FALSE,"Utah";#N/A,#N/A,FALSE,"Idaho";#N/A,#N/A,FALSE,"Lewis River";#N/A,#N/A,FALSE,"NrthUmpq";#N/A,#N/A,FALSE,"KlamRog"}</definedName>
    <definedName name="SpecMaint" localSheetId="5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4" hidden="1">{#N/A,#N/A,FALSE,"Actual";#N/A,#N/A,FALSE,"Normalized";#N/A,#N/A,FALSE,"Electric Actual";#N/A,#N/A,FALSE,"Electric Normalized"}</definedName>
    <definedName name="spippw" localSheetId="5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4" hidden="1">{"PRINT",#N/A,TRUE,"APPA";"PRINT",#N/A,TRUE,"APS";"PRINT",#N/A,TRUE,"BHPL";"PRINT",#N/A,TRUE,"BHPL2";"PRINT",#N/A,TRUE,"CDWR";"PRINT",#N/A,TRUE,"EWEB";"PRINT",#N/A,TRUE,"LADWP";"PRINT",#N/A,TRUE,"NEVBASE"}</definedName>
    <definedName name="ss" localSheetId="5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4" hidden="1">{"YTD-Total",#N/A,FALSE,"Provision"}</definedName>
    <definedName name="standard1" localSheetId="5" hidden="1">{"YTD-Total",#N/A,FALSE,"Provision"}</definedName>
    <definedName name="standard1" hidden="1">{"YTD-Total",#N/A,FALSE,"Provision"}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localSheetId="5" hidden="1">#REF!</definedName>
    <definedName name="w" hidden="1">#REF!</definedName>
    <definedName name="wrn.1996._.Hydro._.5._.Year._.Forecast._.Budget." localSheetId="4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5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4" hidden="1">{"Page 3.4.1",#N/A,FALSE,"Totals";"Page 3.4.2",#N/A,FALSE,"Totals"}</definedName>
    <definedName name="wrn.Adj._.Back_Up." localSheetId="5" hidden="1">{"Page 3.4.1",#N/A,FALSE,"Totals";"Page 3.4.2",#N/A,FALSE,"Totals"}</definedName>
    <definedName name="wrn.Adj._.Back_Up." hidden="1">{"Page 3.4.1",#N/A,FALSE,"Totals";"Page 3.4.2",#N/A,FALSE,"Totals"}</definedName>
    <definedName name="wrn.ALL." localSheetId="4" hidden="1">{#N/A,#N/A,FALSE,"Summary EPS";#N/A,#N/A,FALSE,"1st Qtr Electric";#N/A,#N/A,FALSE,"1st Qtr Australia";#N/A,#N/A,FALSE,"1st Qtr Telecom";#N/A,#N/A,FALSE,"1st QTR Other"}</definedName>
    <definedName name="wrn.ALL." localSheetId="5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4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5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ut._.Syn._.and._.JE." localSheetId="4" hidden="1">{#N/A,#N/A,FALSE,"June 01 Mapping";#N/A,#N/A,FALSE,"June 01 conv";#N/A,#N/A,FALSE,"reclass";#N/A,#N/A,FALSE,"US FV";#N/A,#N/A,FALSE,"UK FV";#N/A,#N/A,FALSE,"UK GAAP"}</definedName>
    <definedName name="wrn.All._.but._.Syn._.and._.JE." localSheetId="5" hidden="1">{#N/A,#N/A,FALSE,"June 01 Mapping";#N/A,#N/A,FALSE,"June 01 conv";#N/A,#N/A,FALSE,"reclass";#N/A,#N/A,FALSE,"US FV";#N/A,#N/A,FALSE,"UK FV";#N/A,#N/A,FALSE,"UK GAAP"}</definedName>
    <definedName name="wrn.All._.but._.Syn._.and._.JE." hidden="1">{#N/A,#N/A,FALSE,"June 01 Mapping";#N/A,#N/A,FALSE,"June 01 conv";#N/A,#N/A,FALSE,"reclass";#N/A,#N/A,FALSE,"US FV";#N/A,#N/A,FALSE,"UK FV";#N/A,#N/A,FALSE,"UK GAAP"}</definedName>
    <definedName name="wrn.All._.ISs._.and._.JEs." localSheetId="4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5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4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5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4" hidden="1">{#N/A,#N/A,FALSE,"cover";#N/A,#N/A,FALSE,"lead sheet";#N/A,#N/A,FALSE,"Adj backup";#N/A,#N/A,FALSE,"t Accounts"}</definedName>
    <definedName name="wrn.All._.Pages." localSheetId="0" hidden="1">{#N/A,#N/A,FALSE,"cover";#N/A,#N/A,FALSE,"lead sheet";#N/A,#N/A,FALSE,"Adj backup";#N/A,#N/A,FALSE,"t Accounts"}</definedName>
    <definedName name="wrn.All._.Pages." localSheetId="5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llocation._.factor." localSheetId="4" hidden="1">{#N/A,#N/A,TRUE,"11.1";#N/A,#N/A,TRUE,"11.2";#N/A,#N/A,TRUE,"11.3-.4";#N/A,#N/A,TRUE,"11.5-11.6";#N/A,#N/A,TRUE,"11.7-.10";#N/A,#N/A,TRUE,"11.11-11.22";#N/A,#N/A,TRUE,"11.23_ECD"}</definedName>
    <definedName name="wrn.Allocation._.factor." localSheetId="5" hidden="1">{#N/A,#N/A,TRUE,"11.1";#N/A,#N/A,TRUE,"11.2";#N/A,#N/A,TRUE,"11.3-.4";#N/A,#N/A,TRUE,"11.5-11.6";#N/A,#N/A,TRUE,"11.7-.10";#N/A,#N/A,TRUE,"11.11-11.22";#N/A,#N/A,TRUE,"11.23_ECD"}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BUS._.RPT." localSheetId="4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5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4" hidden="1">{"YTD-Total",#N/A,TRUE,"Provision";"YTD-Utility",#N/A,TRUE,"Prov Utility";"YTD-NonUtility",#N/A,TRUE,"Prov NonUtility"}</definedName>
    <definedName name="wrn.Combined._.YTD." localSheetId="5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4" hidden="1">{"Conol gross povision grouped",#N/A,FALSE,"Consol Gross";"Consol Gross Grouped",#N/A,FALSE,"Consol Gross"}</definedName>
    <definedName name="wrn.ConsolGrossGrp." localSheetId="5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4" hidden="1">{#N/A,#N/A,TRUE,"Cover";#N/A,#N/A,TRUE,"Contents"}</definedName>
    <definedName name="wrn.Cover." localSheetId="5" hidden="1">{#N/A,#N/A,TRUE,"Cover";#N/A,#N/A,TRUE,"Contents"}</definedName>
    <definedName name="wrn.Cover." hidden="1">{#N/A,#N/A,TRUE,"Cover";#N/A,#N/A,TRUE,"Contents"}</definedName>
    <definedName name="wrn.CoverContents." localSheetId="4" hidden="1">{#N/A,#N/A,FALSE,"Cover";#N/A,#N/A,FALSE,"Contents"}</definedName>
    <definedName name="wrn.CoverContents." localSheetId="5" hidden="1">{#N/A,#N/A,FALSE,"Cover";#N/A,#N/A,FALSE,"Contents"}</definedName>
    <definedName name="wrn.CoverContents." hidden="1">{#N/A,#N/A,FALSE,"Cover";#N/A,#N/A,FALSE,"Contents"}</definedName>
    <definedName name="wrn.El._.Paso._.Offshore." localSheetId="4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5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localSheetId="4" hidden="1">{#N/A,#N/A,FALSE,"Output Ass";#N/A,#N/A,FALSE,"Sum Tot";#N/A,#N/A,FALSE,"Ex Sum Year";#N/A,#N/A,FALSE,"Sum Qtr"}</definedName>
    <definedName name="wrn.Exec._.Summary." localSheetId="5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4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5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4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5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4" hidden="1">{"FullView",#N/A,FALSE,"Consltd-For contngcy"}</definedName>
    <definedName name="wrn.Full._.View." localSheetId="5" hidden="1">{"FullView",#N/A,FALSE,"Consltd-For contngcy"}</definedName>
    <definedName name="wrn.Full._.View." hidden="1">{"FullView",#N/A,FALSE,"Consltd-For contngcy"}</definedName>
    <definedName name="wrn.GLReport." localSheetId="4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5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localSheetId="4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5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localSheetId="4" hidden="1">{#N/A,#N/A,TRUE,"Filing Back-Up Pages_4.8.4-7";#N/A,#N/A,TRUE,"GI Back-up Page_4.8.8"}</definedName>
    <definedName name="wrn.new." localSheetId="5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4" hidden="1">{#N/A,#N/A,TRUE,"Detail Lead Sheet_4.8.1-3";#N/A,#N/A,TRUE,"Filing Back-Up Pages_4.8.4-7";#N/A,#N/A,TRUE,"GI Back-up Page_4.8.8"}</definedName>
    <definedName name="wrn.om." localSheetId="5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4" hidden="1">{"Open issues Only",#N/A,FALSE,"TIMELINE"}</definedName>
    <definedName name="wrn.Open._.Issues._.Only." localSheetId="5" hidden="1">{"Open issues Only",#N/A,FALSE,"TIMELINE"}</definedName>
    <definedName name="wrn.Open._.Issues._.Only." hidden="1">{"Open issues Only",#N/A,FALSE,"TIMELINE"}</definedName>
    <definedName name="wrn.OR._.Carrying._.Charge._.JV." localSheetId="4" hidden="1">{#N/A,#N/A,FALSE,"Loans";#N/A,#N/A,FALSE,"Program Costs";#N/A,#N/A,FALSE,"Measures";#N/A,#N/A,FALSE,"Net Lost Rev";#N/A,#N/A,FALSE,"Incentive"}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5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4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5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egon._.Rate._.case." localSheetId="4" hidden="1">{#N/A,#N/A,TRUE,"10.1_Historical Cover Sheet";#N/A,#N/A,TRUE,"10.2-10.3_Historical";#N/A,#N/A,TRUE,"10.4_Historical";#N/A,#N/A,TRUE,"10.4.1_Historical";#N/A,#N/A,TRUE,"10.7-10.17_Historical"}</definedName>
    <definedName name="wrn.Oregon._.Rate._.case." localSheetId="5" hidden="1">{#N/A,#N/A,TRUE,"10.1_Historical Cover Sheet";#N/A,#N/A,TRUE,"10.2-10.3_Historical";#N/A,#N/A,TRUE,"10.4_Historical";#N/A,#N/A,TRUE,"10.4.1_Historical";#N/A,#N/A,TRUE,"10.7-10.17_Historical"}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4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5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4" hidden="1">{#N/A,#N/A,FALSE,"Consltd-For contngcy";"PaymentView",#N/A,FALSE,"Consltd-For contngcy"}</definedName>
    <definedName name="wrn.Payment._.View." localSheetId="5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4" hidden="1">{"PFS recon view",#N/A,FALSE,"Hyperion Proof"}</definedName>
    <definedName name="wrn.PFSreconview." localSheetId="5" hidden="1">{"PFS recon view",#N/A,FALSE,"Hyperion Proof"}</definedName>
    <definedName name="wrn.PFSreconview." hidden="1">{"PFS recon view",#N/A,FALSE,"Hyperion Proof"}</definedName>
    <definedName name="wrn.PGHCreconview." localSheetId="4" hidden="1">{"PGHC recon view",#N/A,FALSE,"Hyperion Proof"}</definedName>
    <definedName name="wrn.PGHCreconview." localSheetId="5" hidden="1">{"PGHC recon view",#N/A,FALSE,"Hyperion Proof"}</definedName>
    <definedName name="wrn.PGHCreconview." hidden="1">{"PGHC recon view",#N/A,FALSE,"Hyperion Proof"}</definedName>
    <definedName name="wrn.PHI._.all._.other._.months." localSheetId="4" hidden="1">{#N/A,#N/A,FALSE,"PHI MTD";#N/A,#N/A,FALSE,"PHI YTD"}</definedName>
    <definedName name="wrn.PHI._.all._.other._.months." localSheetId="5" hidden="1">{#N/A,#N/A,FALSE,"PHI MTD";#N/A,#N/A,FALSE,"PHI YTD"}</definedName>
    <definedName name="wrn.PHI._.all._.other._.months." hidden="1">{#N/A,#N/A,FALSE,"PHI MTD";#N/A,#N/A,FALSE,"PHI YTD"}</definedName>
    <definedName name="wrn.PHI._.only." localSheetId="4" hidden="1">{#N/A,#N/A,FALSE,"PHI"}</definedName>
    <definedName name="wrn.PHI._.only." localSheetId="5" hidden="1">{#N/A,#N/A,FALSE,"PHI"}</definedName>
    <definedName name="wrn.PHI._.only." hidden="1">{#N/A,#N/A,FALSE,"PHI"}</definedName>
    <definedName name="wrn.PHI._.Sept._.Dec._.March." localSheetId="4" hidden="1">{#N/A,#N/A,FALSE,"PHI MTD";#N/A,#N/A,FALSE,"PHI QTD";#N/A,#N/A,FALSE,"PHI YTD"}</definedName>
    <definedName name="wrn.PHI._.Sept._.Dec._.March." localSheetId="5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4" hidden="1">{"PPM Co Code View",#N/A,FALSE,"Comp Codes"}</definedName>
    <definedName name="wrn.PPMCoCodeView." localSheetId="5" hidden="1">{"PPM Co Code View",#N/A,FALSE,"Comp Codes"}</definedName>
    <definedName name="wrn.PPMCoCodeView." hidden="1">{"PPM Co Code View",#N/A,FALSE,"Comp Codes"}</definedName>
    <definedName name="wrn.PPMreconview." localSheetId="4" hidden="1">{"PPM Recon View",#N/A,FALSE,"Hyperion Proof"}</definedName>
    <definedName name="wrn.PPMreconview." localSheetId="5" hidden="1">{"PPM Recon View",#N/A,FALSE,"Hyperion Proof"}</definedName>
    <definedName name="wrn.PPMreconview." hidden="1">{"PPM Recon View",#N/A,FALSE,"Hyperion Proof"}</definedName>
    <definedName name="wrn.print._.reports." localSheetId="4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localSheetId="5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4" hidden="1">{"DATA_SET",#N/A,FALSE,"HOURLY SPREAD"}</definedName>
    <definedName name="wrn.PRINT._.SOURCE._.DATA." localSheetId="5" hidden="1">{"DATA_SET",#N/A,FALSE,"HOURLY SPREAD"}</definedName>
    <definedName name="wrn.PRINT._.SOURCE._.DATA." hidden="1">{"DATA_SET",#N/A,FALSE,"HOURLY SPREAD"}</definedName>
    <definedName name="wrn.PrintHistory." localSheetId="4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5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4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5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localSheetId="4" hidden="1">{"Electric Only",#N/A,FALSE,"Hyperion Proof"}</definedName>
    <definedName name="wrn.ProofElectricOnly." localSheetId="5" hidden="1">{"Electric Only",#N/A,FALSE,"Hyperion Proof"}</definedName>
    <definedName name="wrn.ProofElectricOnly." hidden="1">{"Electric Only",#N/A,FALSE,"Hyperion Proof"}</definedName>
    <definedName name="wrn.ProofTotal." localSheetId="4" hidden="1">{"Proof Total",#N/A,FALSE,"Hyperion Proof"}</definedName>
    <definedName name="wrn.ProofTotal." localSheetId="5" hidden="1">{"Proof Total",#N/A,FALSE,"Hyperion Proof"}</definedName>
    <definedName name="wrn.ProofTotal." hidden="1">{"Proof Total",#N/A,FALSE,"Hyperion Proof"}</definedName>
    <definedName name="wrn.Reformat._.only." localSheetId="4" hidden="1">{#N/A,#N/A,FALSE,"Dec 1999 mapping"}</definedName>
    <definedName name="wrn.Reformat._.only." localSheetId="5" hidden="1">{#N/A,#N/A,FALSE,"Dec 1999 mapping"}</definedName>
    <definedName name="wrn.Reformat._.only." hidden="1">{#N/A,#N/A,FALSE,"Dec 1999 mapping"}</definedName>
    <definedName name="wrn.SALES._.VAR._.95._.BUDGET." localSheetId="4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5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localSheetId="4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5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4" hidden="1">{#N/A,#N/A,TRUE,"Section1";#N/A,#N/A,TRUE,"SumF";#N/A,#N/A,TRUE,"FigExchange";#N/A,#N/A,TRUE,"Escalation";#N/A,#N/A,TRUE,"GraphEscalate";#N/A,#N/A,TRUE,"Scenarios"}</definedName>
    <definedName name="wrn.Section1Summaries." localSheetId="5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4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5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4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5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4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5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4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5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4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5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4" hidden="1">{#N/A,#N/A,TRUE,"Section4";#N/A,#N/A,TRUE,"PPAtable";#N/A,#N/A,TRUE,"RFPtable";#N/A,#N/A,TRUE,"RevCap";#N/A,#N/A,TRUE,"RevOther";#N/A,#N/A,TRUE,"RevGas";#N/A,#N/A,TRUE,"GraphRev"}</definedName>
    <definedName name="wrn.Section4Revenue." localSheetId="5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4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5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4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5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4" hidden="1">{#N/A,#N/A,TRUE,"Section7";#N/A,#N/A,TRUE,"DebtService";#N/A,#N/A,TRUE,"LoanSchedules";#N/A,#N/A,TRUE,"GraphDebt"}</definedName>
    <definedName name="wrn.Section7DebtService." localSheetId="5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4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5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localSheetId="4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5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4" hidden="1">{"YTD-Total",#N/A,FALSE,"Provision"}</definedName>
    <definedName name="wrn.Standard." localSheetId="5" hidden="1">{"YTD-Total",#N/A,FALSE,"Provision"}</definedName>
    <definedName name="wrn.Standard." hidden="1">{"YTD-Total",#N/A,FALSE,"Provision"}</definedName>
    <definedName name="wrn.Standard._.NonUtility._.Only." localSheetId="4" hidden="1">{"YTD-NonUtility",#N/A,FALSE,"Prov NonUtility"}</definedName>
    <definedName name="wrn.Standard._.NonUtility._.Only." localSheetId="5" hidden="1">{"YTD-NonUtility",#N/A,FALSE,"Prov NonUtility"}</definedName>
    <definedName name="wrn.Standard._.NonUtility._.Only." hidden="1">{"YTD-NonUtility",#N/A,FALSE,"Prov NonUtility"}</definedName>
    <definedName name="wrn.Standard._.Utility._.Only." localSheetId="4" hidden="1">{"YTD-Utility",#N/A,FALSE,"Prov Utility"}</definedName>
    <definedName name="wrn.Standard._.Utility._.Only." localSheetId="5" hidden="1">{"YTD-Utility",#N/A,FALSE,"Prov Utility"}</definedName>
    <definedName name="wrn.Standard._.Utility._.Only." hidden="1">{"YTD-Utility",#N/A,FALSE,"Prov Utility"}</definedName>
    <definedName name="wrn.Summary." localSheetId="4" hidden="1">{"Table A",#N/A,FALSE,"Summary";"Table D",#N/A,FALSE,"Summary";"Table E",#N/A,FALSE,"Summary"}</definedName>
    <definedName name="wrn.Summary." localSheetId="5" hidden="1">{#N/A,#N/A,FALSE,"Sum Qtr";#N/A,#N/A,FALSE,"Oper Sum";#N/A,#N/A,FALSE,"Land Sales";#N/A,#N/A,FALSE,"Finance";#N/A,#N/A,FALSE,"Oper Ass"}</definedName>
    <definedName name="wrn.Summary." hidden="1">{"Table A",#N/A,FALSE,"Summary";"Table D",#N/A,FALSE,"Summary";"Table E",#N/A,FALSE,"Summary"}</definedName>
    <definedName name="wrn.Summary._.View." localSheetId="4" hidden="1">{#N/A,#N/A,FALSE,"Consltd-For contngcy"}</definedName>
    <definedName name="wrn.Summary._.View." localSheetId="5" hidden="1">{#N/A,#N/A,FALSE,"Consltd-For contngcy"}</definedName>
    <definedName name="wrn.Summary._.View." hidden="1">{#N/A,#N/A,FALSE,"Consltd-For contngcy"}</definedName>
    <definedName name="wrn.test." localSheetId="4" hidden="1">{#N/A,#N/A,TRUE,"10.1_Historical Cover Sheet";#N/A,#N/A,TRUE,"10.2-10.3_Historical"}</definedName>
    <definedName name="wrn.test." localSheetId="5" hidden="1">{#N/A,#N/A,TRUE,"10.1_Historical Cover Sheet";#N/A,#N/A,TRUE,"10.2-10.3_Historical"}</definedName>
    <definedName name="wrn.test." hidden="1">{#N/A,#N/A,TRUE,"10.1_Historical Cover Sheet";#N/A,#N/A,TRUE,"10.2-10.3_Historical"}</definedName>
    <definedName name="wrn.Total._.Summary." localSheetId="4" hidden="1">{"Total Summary",#N/A,FALSE,"Summary"}</definedName>
    <definedName name="wrn.Total._.Summary." localSheetId="5" hidden="1">{"Total Summary",#N/A,FALSE,"Summary"}</definedName>
    <definedName name="wrn.Total._.Summary." hidden="1">{"Total Summary",#N/A,FALSE,"Summary"}</definedName>
    <definedName name="wrn.UK._.Conversion._.Only." localSheetId="4" hidden="1">{#N/A,#N/A,FALSE,"Dec 1999 UK Continuing Ops"}</definedName>
    <definedName name="wrn.UK._.Conversion._.Only." localSheetId="5" hidden="1">{#N/A,#N/A,FALSE,"Dec 1999 UK Continuing Ops"}</definedName>
    <definedName name="wrn.UK._.Conversion._.Only." hidden="1">{#N/A,#N/A,FALSE,"Dec 1999 UK Continuing Ops"}</definedName>
    <definedName name="wrn.YearEnd." localSheetId="4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5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#REF!</definedName>
    <definedName name="z" hidden="1">#REF!</definedName>
    <definedName name="Z_01844156_6462_4A28_9785_1A86F4D0C834_.wvu.PrintTitles" localSheetId="4" hidden="1">#REF!</definedName>
    <definedName name="Z_01844156_6462_4A28_9785_1A86F4D0C834_.wvu.PrintTitles" localSheetId="5" hidden="1">#REF!</definedName>
    <definedName name="Z_01844156_6462_4A28_9785_1A86F4D0C834_.wvu.PrintTitles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6" l="1"/>
  <c r="F20" i="11" l="1"/>
  <c r="K51" i="6"/>
  <c r="K53" i="6" l="1"/>
  <c r="F19" i="11" l="1"/>
  <c r="J20" i="11" s="1"/>
  <c r="J19" i="11" l="1"/>
  <c r="J18" i="11"/>
  <c r="T15" i="34" l="1"/>
  <c r="T17" i="34" l="1"/>
  <c r="E18" i="11"/>
  <c r="F18" i="11" s="1"/>
  <c r="J6" i="11"/>
  <c r="J7" i="11"/>
  <c r="J8" i="11"/>
  <c r="J9" i="11"/>
  <c r="J10" i="11"/>
  <c r="J11" i="11"/>
  <c r="J12" i="11"/>
  <c r="J13" i="11"/>
  <c r="J14" i="11"/>
  <c r="J15" i="11"/>
  <c r="J16" i="11"/>
  <c r="J17" i="11"/>
  <c r="J5" i="11"/>
  <c r="E17" i="11"/>
  <c r="F17" i="11" s="1"/>
  <c r="F22" i="38" l="1"/>
  <c r="K36" i="36"/>
  <c r="H31" i="38"/>
  <c r="J31" i="38"/>
  <c r="K31" i="38"/>
  <c r="K29" i="36"/>
  <c r="K24" i="36"/>
  <c r="G29" i="38"/>
  <c r="H29" i="38"/>
  <c r="I29" i="38"/>
  <c r="J29" i="38"/>
  <c r="K29" i="38"/>
  <c r="L29" i="38"/>
  <c r="L30" i="38" s="1"/>
  <c r="L31" i="38" s="1"/>
  <c r="M29" i="38"/>
  <c r="M30" i="38" s="1"/>
  <c r="M31" i="38" s="1"/>
  <c r="N29" i="38"/>
  <c r="O29" i="38"/>
  <c r="P29" i="38"/>
  <c r="Q29" i="38"/>
  <c r="G28" i="38"/>
  <c r="G30" i="38" s="1"/>
  <c r="G31" i="38" s="1"/>
  <c r="Q28" i="38"/>
  <c r="Q30" i="38" s="1"/>
  <c r="Q31" i="38" s="1"/>
  <c r="P28" i="38"/>
  <c r="P30" i="38" s="1"/>
  <c r="P31" i="38" s="1"/>
  <c r="O28" i="38"/>
  <c r="O30" i="38" s="1"/>
  <c r="O31" i="38" s="1"/>
  <c r="N28" i="38"/>
  <c r="N30" i="38" s="1"/>
  <c r="N31" i="38" s="1"/>
  <c r="M28" i="38"/>
  <c r="L28" i="38"/>
  <c r="K28" i="38"/>
  <c r="J28" i="38"/>
  <c r="J30" i="38" s="1"/>
  <c r="I28" i="38"/>
  <c r="H28" i="38"/>
  <c r="F29" i="38"/>
  <c r="F28" i="38"/>
  <c r="K30" i="38"/>
  <c r="I30" i="38"/>
  <c r="I31" i="38" s="1"/>
  <c r="H30" i="38"/>
  <c r="H33" i="38"/>
  <c r="I33" i="38"/>
  <c r="J33" i="38"/>
  <c r="K33" i="38"/>
  <c r="L33" i="38"/>
  <c r="M33" i="38"/>
  <c r="N33" i="38"/>
  <c r="O33" i="38"/>
  <c r="P33" i="38"/>
  <c r="Q33" i="38"/>
  <c r="H34" i="38"/>
  <c r="I34" i="38"/>
  <c r="J34" i="38"/>
  <c r="K34" i="38"/>
  <c r="L34" i="38"/>
  <c r="M34" i="38"/>
  <c r="N34" i="38"/>
  <c r="O34" i="38"/>
  <c r="P34" i="38"/>
  <c r="Q34" i="38"/>
  <c r="G34" i="38"/>
  <c r="G33" i="38"/>
  <c r="F25" i="38"/>
  <c r="F24" i="38"/>
  <c r="Q24" i="38" s="1"/>
  <c r="I36" i="36"/>
  <c r="I29" i="36"/>
  <c r="F21" i="38"/>
  <c r="O21" i="38" s="1"/>
  <c r="I21" i="36"/>
  <c r="F11" i="38"/>
  <c r="N11" i="38" s="1"/>
  <c r="F12" i="38"/>
  <c r="H12" i="38" s="1"/>
  <c r="F13" i="38"/>
  <c r="F14" i="38"/>
  <c r="F15" i="38"/>
  <c r="J15" i="38" s="1"/>
  <c r="F16" i="38"/>
  <c r="H16" i="38" s="1"/>
  <c r="F17" i="38"/>
  <c r="I17" i="38" s="1"/>
  <c r="F18" i="38"/>
  <c r="I18" i="38" s="1"/>
  <c r="F19" i="38"/>
  <c r="J19" i="38" s="1"/>
  <c r="F10" i="38"/>
  <c r="I10" i="38" s="1"/>
  <c r="N51" i="6" l="1"/>
  <c r="F30" i="38"/>
  <c r="F31" i="38" s="1"/>
  <c r="M24" i="38"/>
  <c r="J18" i="38"/>
  <c r="I13" i="38"/>
  <c r="Q25" i="38"/>
  <c r="Q26" i="38" s="1"/>
  <c r="F34" i="38"/>
  <c r="N19" i="38"/>
  <c r="N15" i="38"/>
  <c r="Q14" i="38"/>
  <c r="M14" i="38"/>
  <c r="I14" i="38"/>
  <c r="F33" i="38"/>
  <c r="P10" i="38"/>
  <c r="O16" i="38"/>
  <c r="G19" i="38"/>
  <c r="G15" i="38"/>
  <c r="G11" i="38"/>
  <c r="L10" i="38"/>
  <c r="Q18" i="38"/>
  <c r="K16" i="38"/>
  <c r="O12" i="38"/>
  <c r="J11" i="38"/>
  <c r="G12" i="38"/>
  <c r="J14" i="38"/>
  <c r="P24" i="38"/>
  <c r="H10" i="38"/>
  <c r="M18" i="38"/>
  <c r="G16" i="38"/>
  <c r="K12" i="38"/>
  <c r="I24" i="38"/>
  <c r="L17" i="38"/>
  <c r="H17" i="38"/>
  <c r="P13" i="38"/>
  <c r="H21" i="38"/>
  <c r="L21" i="38"/>
  <c r="P21" i="38"/>
  <c r="F26" i="38"/>
  <c r="H13" i="38"/>
  <c r="J25" i="38"/>
  <c r="O10" i="38"/>
  <c r="K10" i="38"/>
  <c r="Q19" i="38"/>
  <c r="M19" i="38"/>
  <c r="I19" i="38"/>
  <c r="P18" i="38"/>
  <c r="L18" i="38"/>
  <c r="H18" i="38"/>
  <c r="O17" i="38"/>
  <c r="K17" i="38"/>
  <c r="G17" i="38"/>
  <c r="N16" i="38"/>
  <c r="J16" i="38"/>
  <c r="Q15" i="38"/>
  <c r="M15" i="38"/>
  <c r="I15" i="38"/>
  <c r="P14" i="38"/>
  <c r="L14" i="38"/>
  <c r="H14" i="38"/>
  <c r="O13" i="38"/>
  <c r="K13" i="38"/>
  <c r="G13" i="38"/>
  <c r="N12" i="38"/>
  <c r="J12" i="38"/>
  <c r="Q11" i="38"/>
  <c r="M11" i="38"/>
  <c r="I11" i="38"/>
  <c r="I21" i="38"/>
  <c r="M21" i="38"/>
  <c r="Q21" i="38"/>
  <c r="J24" i="38"/>
  <c r="N24" i="38"/>
  <c r="G25" i="38"/>
  <c r="K25" i="38"/>
  <c r="O25" i="38"/>
  <c r="G10" i="38"/>
  <c r="N10" i="38"/>
  <c r="J10" i="38"/>
  <c r="P19" i="38"/>
  <c r="L19" i="38"/>
  <c r="H19" i="38"/>
  <c r="O18" i="38"/>
  <c r="K18" i="38"/>
  <c r="G18" i="38"/>
  <c r="N17" i="38"/>
  <c r="J17" i="38"/>
  <c r="Q16" i="38"/>
  <c r="M16" i="38"/>
  <c r="I16" i="38"/>
  <c r="P15" i="38"/>
  <c r="L15" i="38"/>
  <c r="H15" i="38"/>
  <c r="O14" i="38"/>
  <c r="K14" i="38"/>
  <c r="G14" i="38"/>
  <c r="N13" i="38"/>
  <c r="J13" i="38"/>
  <c r="Q12" i="38"/>
  <c r="M12" i="38"/>
  <c r="I12" i="38"/>
  <c r="P11" i="38"/>
  <c r="L11" i="38"/>
  <c r="H11" i="38"/>
  <c r="J21" i="38"/>
  <c r="N21" i="38"/>
  <c r="G24" i="38"/>
  <c r="G26" i="38" s="1"/>
  <c r="K24" i="38"/>
  <c r="O24" i="38"/>
  <c r="H25" i="38"/>
  <c r="L25" i="38"/>
  <c r="P25" i="38"/>
  <c r="P17" i="38"/>
  <c r="L13" i="38"/>
  <c r="N25" i="38"/>
  <c r="F20" i="38"/>
  <c r="Q10" i="38"/>
  <c r="M10" i="38"/>
  <c r="O19" i="38"/>
  <c r="K19" i="38"/>
  <c r="N18" i="38"/>
  <c r="Q17" i="38"/>
  <c r="M17" i="38"/>
  <c r="P16" i="38"/>
  <c r="L16" i="38"/>
  <c r="O15" i="38"/>
  <c r="K15" i="38"/>
  <c r="N14" i="38"/>
  <c r="Q13" i="38"/>
  <c r="M13" i="38"/>
  <c r="P12" i="38"/>
  <c r="L12" i="38"/>
  <c r="O11" i="38"/>
  <c r="K11" i="38"/>
  <c r="G21" i="38"/>
  <c r="K21" i="38"/>
  <c r="H24" i="38"/>
  <c r="L24" i="38"/>
  <c r="I25" i="38"/>
  <c r="I26" i="38" s="1"/>
  <c r="M25" i="38"/>
  <c r="M26" i="38" s="1"/>
  <c r="H26" i="38" l="1"/>
  <c r="L20" i="38"/>
  <c r="L22" i="38" s="1"/>
  <c r="P26" i="38"/>
  <c r="K26" i="38"/>
  <c r="J26" i="38"/>
  <c r="O20" i="38"/>
  <c r="O22" i="38" s="1"/>
  <c r="K20" i="38"/>
  <c r="K22" i="38" s="1"/>
  <c r="I26" i="6" s="1"/>
  <c r="M20" i="38"/>
  <c r="M22" i="38" s="1"/>
  <c r="I44" i="6" s="1"/>
  <c r="G20" i="38"/>
  <c r="G22" i="38" s="1"/>
  <c r="I18" i="6" s="1"/>
  <c r="H20" i="38"/>
  <c r="H22" i="38" s="1"/>
  <c r="I22" i="6" s="1"/>
  <c r="N20" i="38"/>
  <c r="N22" i="38" s="1"/>
  <c r="L26" i="38"/>
  <c r="P20" i="38"/>
  <c r="P22" i="38" s="1"/>
  <c r="Q20" i="38"/>
  <c r="Q22" i="38" s="1"/>
  <c r="I35" i="6" s="1"/>
  <c r="O26" i="38"/>
  <c r="I30" i="6" s="1"/>
  <c r="I20" i="38"/>
  <c r="I22" i="38" s="1"/>
  <c r="I23" i="6" s="1"/>
  <c r="N26" i="38"/>
  <c r="J20" i="38"/>
  <c r="J22" i="38" s="1"/>
  <c r="I24" i="36"/>
  <c r="I44" i="36"/>
  <c r="I40" i="36"/>
  <c r="I34" i="36"/>
  <c r="I33" i="36"/>
  <c r="K32" i="36"/>
  <c r="K34" i="36" s="1"/>
  <c r="K33" i="36" s="1"/>
  <c r="K28" i="36"/>
  <c r="K27" i="36"/>
  <c r="K20" i="36"/>
  <c r="K19" i="36"/>
  <c r="K18" i="36"/>
  <c r="K17" i="36"/>
  <c r="K16" i="36"/>
  <c r="K15" i="36"/>
  <c r="K14" i="36"/>
  <c r="K21" i="36" s="1"/>
  <c r="K12" i="36"/>
  <c r="K11" i="36"/>
  <c r="I34" i="6" l="1"/>
  <c r="I29" i="6"/>
  <c r="I43" i="6"/>
  <c r="U20" i="34"/>
  <c r="U14" i="34"/>
  <c r="G130" i="33" l="1"/>
  <c r="G129" i="33"/>
  <c r="G128" i="33"/>
  <c r="G127" i="33"/>
  <c r="G126" i="33"/>
  <c r="G125" i="33"/>
  <c r="G124" i="33"/>
  <c r="G123" i="33"/>
  <c r="G122" i="33"/>
  <c r="G121" i="33"/>
  <c r="G120" i="33"/>
  <c r="G119" i="33"/>
  <c r="G117" i="33"/>
  <c r="G116" i="33"/>
  <c r="G109" i="33"/>
  <c r="G108" i="33"/>
  <c r="G107" i="33"/>
  <c r="G106" i="33"/>
  <c r="G105" i="33"/>
  <c r="G104" i="33"/>
  <c r="G103" i="33"/>
  <c r="G102" i="33"/>
  <c r="G101" i="33"/>
  <c r="G100" i="33"/>
  <c r="G99" i="33"/>
  <c r="G98" i="33"/>
  <c r="G96" i="33"/>
  <c r="G95" i="33"/>
  <c r="G111" i="33" s="1"/>
  <c r="G88" i="33"/>
  <c r="G87" i="33"/>
  <c r="G86" i="33"/>
  <c r="G85" i="33"/>
  <c r="G84" i="33"/>
  <c r="G83" i="33"/>
  <c r="G82" i="33"/>
  <c r="G81" i="33"/>
  <c r="G80" i="33"/>
  <c r="G79" i="33"/>
  <c r="G78" i="33"/>
  <c r="G77" i="33"/>
  <c r="G75" i="33"/>
  <c r="G74" i="33"/>
  <c r="G69" i="33"/>
  <c r="G67" i="33"/>
  <c r="G66" i="33"/>
  <c r="G65" i="33"/>
  <c r="G63" i="33"/>
  <c r="G62" i="33"/>
  <c r="G60" i="33"/>
  <c r="G59" i="33"/>
  <c r="G58" i="33"/>
  <c r="G57" i="33"/>
  <c r="G55" i="33"/>
  <c r="G54" i="33"/>
  <c r="E67" i="33"/>
  <c r="E60" i="33"/>
  <c r="E59" i="33"/>
  <c r="E58" i="33"/>
  <c r="E57" i="33"/>
  <c r="E55" i="33"/>
  <c r="E54" i="33"/>
  <c r="G47" i="33"/>
  <c r="G46" i="33"/>
  <c r="G45" i="33"/>
  <c r="G44" i="33"/>
  <c r="G43" i="33"/>
  <c r="G42" i="33"/>
  <c r="G41" i="33"/>
  <c r="G40" i="33"/>
  <c r="G39" i="33"/>
  <c r="G38" i="33"/>
  <c r="G37" i="33"/>
  <c r="G36" i="33"/>
  <c r="G49" i="33" s="1"/>
  <c r="G34" i="33"/>
  <c r="G33" i="33"/>
  <c r="G28" i="33"/>
  <c r="G20" i="33"/>
  <c r="G21" i="33"/>
  <c r="G22" i="33"/>
  <c r="G23" i="33"/>
  <c r="G24" i="33"/>
  <c r="G25" i="33"/>
  <c r="G26" i="33"/>
  <c r="G19" i="33"/>
  <c r="G18" i="33"/>
  <c r="G17" i="33"/>
  <c r="G16" i="33"/>
  <c r="G15" i="33"/>
  <c r="G13" i="33"/>
  <c r="G12" i="33"/>
  <c r="G132" i="33" l="1"/>
  <c r="G90" i="33"/>
  <c r="T25" i="34" l="1"/>
  <c r="T27" i="34" s="1"/>
  <c r="U24" i="34"/>
  <c r="U26" i="34"/>
  <c r="U23" i="34"/>
  <c r="U22" i="34"/>
  <c r="U15" i="34" s="1"/>
  <c r="T19" i="34"/>
  <c r="U19" i="34" s="1"/>
  <c r="T18" i="34"/>
  <c r="U18" i="34" s="1"/>
  <c r="T13" i="34"/>
  <c r="U13" i="34" s="1"/>
  <c r="T12" i="34"/>
  <c r="U12" i="34" s="1"/>
  <c r="T11" i="34"/>
  <c r="T21" i="34"/>
  <c r="C20" i="34" l="1"/>
  <c r="K29" i="34"/>
  <c r="K27" i="34"/>
  <c r="K25" i="34"/>
  <c r="K23" i="34"/>
  <c r="K21" i="34"/>
  <c r="K18" i="34"/>
  <c r="K16" i="34"/>
  <c r="K13" i="34"/>
  <c r="K11" i="34"/>
  <c r="K9" i="34"/>
  <c r="C26" i="34"/>
  <c r="C19" i="34"/>
  <c r="C14" i="34"/>
  <c r="C10" i="34"/>
  <c r="K15" i="34"/>
  <c r="C29" i="34"/>
  <c r="C27" i="34"/>
  <c r="C25" i="34"/>
  <c r="C23" i="34"/>
  <c r="C21" i="34"/>
  <c r="C18" i="34"/>
  <c r="C16" i="34"/>
  <c r="C13" i="34"/>
  <c r="C11" i="34"/>
  <c r="C9" i="34"/>
  <c r="K30" i="34"/>
  <c r="K28" i="34"/>
  <c r="K26" i="34"/>
  <c r="K24" i="34"/>
  <c r="K22" i="34"/>
  <c r="K19" i="34"/>
  <c r="K17" i="34"/>
  <c r="K14" i="34"/>
  <c r="K12" i="34"/>
  <c r="K10" i="34"/>
  <c r="C30" i="34"/>
  <c r="C28" i="34"/>
  <c r="C24" i="34"/>
  <c r="C22" i="34"/>
  <c r="C17" i="34"/>
  <c r="C12" i="34"/>
  <c r="U21" i="34"/>
  <c r="U11" i="34"/>
  <c r="U17" i="34" s="1"/>
  <c r="Y14" i="34" l="1"/>
  <c r="A20" i="34"/>
  <c r="A17" i="34"/>
  <c r="A15" i="34"/>
  <c r="Y13" i="34" l="1"/>
  <c r="Y11" i="34"/>
  <c r="Y12" i="34" l="1"/>
  <c r="C21" i="30" l="1"/>
  <c r="C18" i="30"/>
  <c r="C19" i="30"/>
  <c r="C15" i="30"/>
  <c r="C14" i="30"/>
  <c r="C13" i="30"/>
  <c r="C12" i="30"/>
  <c r="C11" i="30"/>
  <c r="C17" i="30" s="1"/>
  <c r="C10" i="30"/>
  <c r="C9" i="30"/>
  <c r="C5" i="30"/>
  <c r="C16" i="30" l="1"/>
  <c r="N17" i="6"/>
  <c r="N37" i="6"/>
  <c r="N47" i="6"/>
  <c r="S46" i="10"/>
  <c r="N46" i="6" s="1"/>
  <c r="S36" i="10"/>
  <c r="N36" i="6" s="1"/>
  <c r="S33" i="10"/>
  <c r="N33" i="6" s="1"/>
  <c r="M46" i="10"/>
  <c r="M36" i="10"/>
  <c r="M33" i="10"/>
  <c r="K742" i="33" l="1"/>
  <c r="K743" i="33"/>
  <c r="K741" i="33"/>
  <c r="K740" i="33"/>
  <c r="K732" i="33"/>
  <c r="K734" i="33"/>
  <c r="K735" i="33"/>
  <c r="K731" i="33"/>
  <c r="K733" i="33"/>
  <c r="K730" i="33"/>
  <c r="K585" i="33"/>
  <c r="K614" i="33"/>
  <c r="K613" i="33"/>
  <c r="K612" i="33"/>
  <c r="K611" i="33"/>
  <c r="K610" i="33"/>
  <c r="K609" i="33"/>
  <c r="K600" i="33"/>
  <c r="K599" i="33"/>
  <c r="K598" i="33"/>
  <c r="K597" i="33"/>
  <c r="K596" i="33"/>
  <c r="K595" i="33"/>
  <c r="K584" i="33"/>
  <c r="K583" i="33"/>
  <c r="K582" i="33"/>
  <c r="K581" i="33"/>
  <c r="K580" i="33"/>
  <c r="K407" i="33"/>
  <c r="K403" i="33"/>
  <c r="K402" i="33"/>
  <c r="K400" i="33"/>
  <c r="K392" i="33"/>
  <c r="K388" i="33"/>
  <c r="K387" i="33"/>
  <c r="K386" i="33"/>
  <c r="K385" i="33"/>
  <c r="K383" i="33"/>
  <c r="K375" i="33"/>
  <c r="K371" i="33"/>
  <c r="K370" i="33"/>
  <c r="K368" i="33"/>
  <c r="K358" i="33"/>
  <c r="K359" i="33"/>
  <c r="K360" i="33"/>
  <c r="K361" i="33"/>
  <c r="K357" i="33"/>
  <c r="K356" i="33"/>
  <c r="K720" i="33"/>
  <c r="K719" i="33"/>
  <c r="K718" i="33"/>
  <c r="K717" i="33"/>
  <c r="K716" i="33"/>
  <c r="K715" i="33"/>
  <c r="K676" i="33"/>
  <c r="K675" i="33"/>
  <c r="K674" i="33"/>
  <c r="K673" i="33"/>
  <c r="K672" i="33"/>
  <c r="K671" i="33"/>
  <c r="K535" i="33"/>
  <c r="K534" i="33"/>
  <c r="K533" i="33"/>
  <c r="K532" i="33"/>
  <c r="K531" i="33"/>
  <c r="K530" i="33"/>
  <c r="K347" i="33"/>
  <c r="K348" i="33"/>
  <c r="K349" i="33"/>
  <c r="K350" i="33"/>
  <c r="K346" i="33"/>
  <c r="K345" i="33"/>
  <c r="K667" i="33"/>
  <c r="K666" i="33"/>
  <c r="K665" i="33"/>
  <c r="K664" i="33"/>
  <c r="K663" i="33"/>
  <c r="K662" i="33"/>
  <c r="K338" i="33"/>
  <c r="K337" i="33"/>
  <c r="K336" i="33"/>
  <c r="K335" i="33"/>
  <c r="K334" i="33"/>
  <c r="K333" i="33"/>
  <c r="K323" i="33"/>
  <c r="K324" i="33"/>
  <c r="K322" i="33"/>
  <c r="K321" i="33"/>
  <c r="K602" i="33" l="1"/>
  <c r="K616" i="33"/>
  <c r="K536" i="33"/>
  <c r="K669" i="33"/>
  <c r="K362" i="33"/>
  <c r="M25" i="10" s="1"/>
  <c r="K377" i="33"/>
  <c r="K721" i="33"/>
  <c r="M32" i="10" s="1"/>
  <c r="K409" i="33"/>
  <c r="M28" i="10" s="1"/>
  <c r="K394" i="33"/>
  <c r="K589" i="33"/>
  <c r="M30" i="10" s="1"/>
  <c r="K351" i="33"/>
  <c r="K340" i="33"/>
  <c r="K677" i="33"/>
  <c r="K744" i="33"/>
  <c r="M35" i="10" s="1"/>
  <c r="K736" i="33"/>
  <c r="M34" i="10" s="1"/>
  <c r="K511" i="33"/>
  <c r="K512" i="33" s="1"/>
  <c r="M44" i="10" s="1"/>
  <c r="K506" i="33"/>
  <c r="K507" i="33" s="1"/>
  <c r="M43" i="10" s="1"/>
  <c r="K497" i="33"/>
  <c r="K496" i="33"/>
  <c r="K495" i="33"/>
  <c r="K494" i="33"/>
  <c r="K492" i="33"/>
  <c r="K491" i="33"/>
  <c r="K490" i="33"/>
  <c r="K489" i="33"/>
  <c r="K488" i="33"/>
  <c r="K487" i="33"/>
  <c r="K485" i="33"/>
  <c r="K484" i="33"/>
  <c r="K483" i="33"/>
  <c r="K481" i="33"/>
  <c r="K480" i="33"/>
  <c r="K477" i="33"/>
  <c r="K476" i="33"/>
  <c r="K474" i="33"/>
  <c r="K473" i="33"/>
  <c r="K472" i="33"/>
  <c r="K471" i="33"/>
  <c r="K470" i="33"/>
  <c r="K469" i="33"/>
  <c r="K468" i="33"/>
  <c r="K466" i="33"/>
  <c r="K465" i="33"/>
  <c r="K464" i="33"/>
  <c r="K463" i="33"/>
  <c r="K462" i="33"/>
  <c r="K461" i="33"/>
  <c r="K460" i="33"/>
  <c r="K459" i="33"/>
  <c r="K458" i="33"/>
  <c r="K457" i="33"/>
  <c r="K455" i="33"/>
  <c r="K454" i="33"/>
  <c r="K453" i="33"/>
  <c r="K452" i="33"/>
  <c r="K450" i="33"/>
  <c r="K449" i="33"/>
  <c r="K446" i="33"/>
  <c r="K445" i="33"/>
  <c r="K444" i="33"/>
  <c r="K443" i="33"/>
  <c r="K442" i="33"/>
  <c r="K440" i="33"/>
  <c r="K439" i="33"/>
  <c r="K438" i="33"/>
  <c r="K437" i="33"/>
  <c r="K436" i="33"/>
  <c r="K519" i="33"/>
  <c r="K520" i="33"/>
  <c r="K521" i="33"/>
  <c r="K522" i="33"/>
  <c r="K523" i="33"/>
  <c r="K524" i="33"/>
  <c r="K525" i="33"/>
  <c r="K518" i="33"/>
  <c r="K204" i="33"/>
  <c r="K203" i="33"/>
  <c r="K202" i="33"/>
  <c r="K201" i="33"/>
  <c r="K228" i="33"/>
  <c r="K229" i="33"/>
  <c r="K230" i="33"/>
  <c r="K227" i="33"/>
  <c r="K255" i="33"/>
  <c r="K254" i="33"/>
  <c r="K253" i="33"/>
  <c r="K252" i="33"/>
  <c r="K279" i="33"/>
  <c r="K278" i="33"/>
  <c r="K277" i="33"/>
  <c r="K276" i="33"/>
  <c r="K268" i="33"/>
  <c r="K267" i="33"/>
  <c r="K266" i="33"/>
  <c r="K265" i="33"/>
  <c r="K264" i="33"/>
  <c r="K263" i="33"/>
  <c r="K262" i="33"/>
  <c r="K261" i="33"/>
  <c r="K243" i="33"/>
  <c r="K242" i="33"/>
  <c r="K241" i="33"/>
  <c r="K240" i="33"/>
  <c r="K239" i="33"/>
  <c r="K238" i="33"/>
  <c r="K237" i="33"/>
  <c r="K236" i="33"/>
  <c r="K218" i="33"/>
  <c r="K217" i="33"/>
  <c r="K216" i="33"/>
  <c r="K215" i="33"/>
  <c r="K214" i="33"/>
  <c r="K213" i="33"/>
  <c r="K212" i="33"/>
  <c r="K211" i="33"/>
  <c r="K192" i="33"/>
  <c r="K191" i="33"/>
  <c r="K190" i="33"/>
  <c r="K189" i="33"/>
  <c r="K188" i="33"/>
  <c r="K187" i="33"/>
  <c r="K186" i="33"/>
  <c r="K185" i="33"/>
  <c r="K306" i="33"/>
  <c r="K305" i="33"/>
  <c r="K304" i="33"/>
  <c r="K303" i="33"/>
  <c r="K302" i="33"/>
  <c r="K301" i="33"/>
  <c r="K300" i="33"/>
  <c r="K299" i="33"/>
  <c r="K286" i="33"/>
  <c r="K287" i="33"/>
  <c r="K288" i="33"/>
  <c r="K289" i="33"/>
  <c r="K290" i="33"/>
  <c r="K291" i="33"/>
  <c r="K285" i="33"/>
  <c r="K284" i="33"/>
  <c r="K179" i="33"/>
  <c r="K178" i="33"/>
  <c r="K177" i="33"/>
  <c r="K176" i="33"/>
  <c r="K168" i="33"/>
  <c r="K167" i="33"/>
  <c r="K166" i="33"/>
  <c r="K165" i="33"/>
  <c r="K156" i="33"/>
  <c r="K155" i="33"/>
  <c r="K154" i="33"/>
  <c r="K153" i="33"/>
  <c r="K678" i="33" l="1"/>
  <c r="M31" i="10" s="1"/>
  <c r="M24" i="10"/>
  <c r="M26" i="10" s="1"/>
  <c r="K499" i="33"/>
  <c r="M42" i="10" s="1"/>
  <c r="M27" i="10"/>
  <c r="M29" i="10" s="1"/>
  <c r="K195" i="33"/>
  <c r="K246" i="33"/>
  <c r="K271" i="33"/>
  <c r="K281" i="33"/>
  <c r="K257" i="33"/>
  <c r="K158" i="33"/>
  <c r="K309" i="33"/>
  <c r="K221" i="33"/>
  <c r="K207" i="33"/>
  <c r="K526" i="33"/>
  <c r="K537" i="33" s="1"/>
  <c r="K296" i="33"/>
  <c r="K232" i="33"/>
  <c r="K170" i="33"/>
  <c r="K181" i="33"/>
  <c r="K21" i="33"/>
  <c r="K129" i="33"/>
  <c r="K128" i="33"/>
  <c r="K127" i="33"/>
  <c r="K126" i="33"/>
  <c r="K125" i="33"/>
  <c r="K108" i="33"/>
  <c r="K107" i="33"/>
  <c r="K106" i="33"/>
  <c r="K105" i="33"/>
  <c r="K104" i="33"/>
  <c r="K87" i="33"/>
  <c r="K86" i="33"/>
  <c r="K85" i="33"/>
  <c r="K84" i="33"/>
  <c r="K83" i="33"/>
  <c r="K66" i="33"/>
  <c r="K65" i="33"/>
  <c r="K63" i="33"/>
  <c r="K62" i="33"/>
  <c r="K46" i="33"/>
  <c r="K45" i="33"/>
  <c r="K44" i="33"/>
  <c r="K43" i="33"/>
  <c r="K42" i="33"/>
  <c r="K22" i="33"/>
  <c r="K23" i="33"/>
  <c r="K24" i="33"/>
  <c r="K25" i="33"/>
  <c r="K326" i="33"/>
  <c r="K325" i="33"/>
  <c r="K142" i="33"/>
  <c r="K141" i="33"/>
  <c r="K140" i="33"/>
  <c r="K139" i="33"/>
  <c r="K20" i="10"/>
  <c r="I20" i="10"/>
  <c r="G20" i="10"/>
  <c r="K328" i="33" l="1"/>
  <c r="M23" i="10" s="1"/>
  <c r="M21" i="10"/>
  <c r="K146" i="33"/>
  <c r="M20" i="10" s="1"/>
  <c r="K111" i="33"/>
  <c r="K49" i="33"/>
  <c r="K69" i="33"/>
  <c r="K132" i="33"/>
  <c r="K90" i="33"/>
  <c r="K28" i="33"/>
  <c r="M15" i="10" s="1"/>
  <c r="F16" i="11"/>
  <c r="M16" i="10" l="1"/>
  <c r="M18" i="10" s="1"/>
  <c r="M38" i="10"/>
  <c r="M22" i="10"/>
  <c r="G20" i="6"/>
  <c r="G768" i="33" l="1"/>
  <c r="K37" i="10"/>
  <c r="G37" i="6" s="1"/>
  <c r="K47" i="10"/>
  <c r="G47" i="6" s="1"/>
  <c r="K46" i="10"/>
  <c r="G46" i="6" s="1"/>
  <c r="K44" i="10"/>
  <c r="G44" i="6" s="1"/>
  <c r="K43" i="10"/>
  <c r="G43" i="6" s="1"/>
  <c r="K42" i="10"/>
  <c r="G42" i="6" s="1"/>
  <c r="K41" i="10"/>
  <c r="G41" i="6" s="1"/>
  <c r="K40" i="10"/>
  <c r="G40" i="6" s="1"/>
  <c r="K36" i="10"/>
  <c r="G36" i="6" s="1"/>
  <c r="K35" i="10"/>
  <c r="G35" i="6" s="1"/>
  <c r="K34" i="10"/>
  <c r="G34" i="6" s="1"/>
  <c r="K33" i="10"/>
  <c r="O33" i="10" s="1"/>
  <c r="K32" i="10"/>
  <c r="K31" i="10"/>
  <c r="G31" i="6" s="1"/>
  <c r="K30" i="10"/>
  <c r="G30" i="6" s="1"/>
  <c r="K28" i="10"/>
  <c r="G28" i="6" s="1"/>
  <c r="K27" i="10"/>
  <c r="G27" i="6" s="1"/>
  <c r="K25" i="10"/>
  <c r="G25" i="6" s="1"/>
  <c r="K24" i="10"/>
  <c r="G24" i="6" s="1"/>
  <c r="K23" i="10"/>
  <c r="K21" i="10"/>
  <c r="G21" i="6" s="1"/>
  <c r="K17" i="10"/>
  <c r="G17" i="6" s="1"/>
  <c r="K16" i="10"/>
  <c r="G16" i="6" s="1"/>
  <c r="K15" i="10"/>
  <c r="G15" i="6" s="1"/>
  <c r="C536" i="33"/>
  <c r="I24" i="10" s="1"/>
  <c r="I26" i="10" s="1"/>
  <c r="C526" i="33"/>
  <c r="I21" i="10" s="1"/>
  <c r="I22" i="10" s="1"/>
  <c r="G21" i="10"/>
  <c r="G22" i="10" s="1"/>
  <c r="G24" i="10"/>
  <c r="G26" i="10" s="1"/>
  <c r="G429" i="33"/>
  <c r="K429" i="33" s="1"/>
  <c r="G427" i="33"/>
  <c r="K427" i="33" s="1"/>
  <c r="G426" i="33"/>
  <c r="K426" i="33" s="1"/>
  <c r="G425" i="33"/>
  <c r="K425" i="33" s="1"/>
  <c r="G424" i="33"/>
  <c r="K424" i="33" s="1"/>
  <c r="G423" i="33"/>
  <c r="K423" i="33" s="1"/>
  <c r="G422" i="33"/>
  <c r="K422" i="33" s="1"/>
  <c r="G420" i="33"/>
  <c r="K420" i="33" s="1"/>
  <c r="G418" i="33"/>
  <c r="K418" i="33" s="1"/>
  <c r="G417" i="33"/>
  <c r="K417" i="33" s="1"/>
  <c r="G416" i="33"/>
  <c r="K416" i="33" s="1"/>
  <c r="G415" i="33"/>
  <c r="K415" i="33" s="1"/>
  <c r="G414" i="33"/>
  <c r="K414" i="33" s="1"/>
  <c r="G413" i="33"/>
  <c r="K413" i="33" s="1"/>
  <c r="G314" i="33"/>
  <c r="G313" i="33"/>
  <c r="G312" i="33"/>
  <c r="I41" i="6" l="1"/>
  <c r="G23" i="6"/>
  <c r="I42" i="6"/>
  <c r="I40" i="6"/>
  <c r="K431" i="33"/>
  <c r="M41" i="10" s="1"/>
  <c r="K313" i="33"/>
  <c r="K312" i="33"/>
  <c r="K314" i="33"/>
  <c r="K22" i="10"/>
  <c r="Q32" i="10"/>
  <c r="W32" i="10" s="1"/>
  <c r="Y32" i="10" s="1"/>
  <c r="G32" i="6"/>
  <c r="Q33" i="10"/>
  <c r="W33" i="10" s="1"/>
  <c r="Y33" i="10" s="1"/>
  <c r="G33" i="6"/>
  <c r="K45" i="10"/>
  <c r="K48" i="10" s="1"/>
  <c r="K38" i="10"/>
  <c r="O32" i="10"/>
  <c r="K316" i="33" l="1"/>
  <c r="U33" i="10"/>
  <c r="AA33" i="10" s="1"/>
  <c r="AC33" i="10" s="1"/>
  <c r="M40" i="10" l="1"/>
  <c r="M45" i="10" s="1"/>
  <c r="M48" i="10" s="1"/>
  <c r="M49" i="10" s="1"/>
  <c r="F15" i="11" l="1"/>
  <c r="F14" i="11" l="1"/>
  <c r="F12" i="11" l="1"/>
  <c r="C20" i="30" l="1"/>
  <c r="C8" i="30"/>
  <c r="C7" i="30" l="1"/>
  <c r="C6" i="30"/>
  <c r="F11" i="11" l="1"/>
  <c r="F10" i="11" l="1"/>
  <c r="AD18" i="10" l="1"/>
  <c r="F9" i="11" l="1"/>
  <c r="F8" i="11" l="1"/>
  <c r="I38" i="6" l="1"/>
  <c r="G18" i="6" l="1"/>
  <c r="F7" i="11"/>
  <c r="F6" i="11" l="1"/>
  <c r="F4" i="11"/>
  <c r="F5" i="11"/>
  <c r="Y47" i="10" l="1"/>
  <c r="Q47" i="10"/>
  <c r="U47" i="10" s="1"/>
  <c r="O47" i="10"/>
  <c r="Q37" i="10"/>
  <c r="O37" i="10"/>
  <c r="Q34" i="10"/>
  <c r="O34" i="10"/>
  <c r="Q17" i="10"/>
  <c r="O17" i="10"/>
  <c r="A16" i="10"/>
  <c r="E12" i="10"/>
  <c r="G12" i="10" l="1"/>
  <c r="I12" i="10" s="1"/>
  <c r="AA47" i="10"/>
  <c r="AC47" i="10" s="1"/>
  <c r="U17" i="10"/>
  <c r="AA17" i="10" s="1"/>
  <c r="AC17" i="10" s="1"/>
  <c r="W17" i="10"/>
  <c r="Y17" i="10" s="1"/>
  <c r="W34" i="10"/>
  <c r="Y34" i="10" s="1"/>
  <c r="A17" i="10"/>
  <c r="W37" i="10"/>
  <c r="Y37" i="10" s="1"/>
  <c r="U37" i="10"/>
  <c r="AA37" i="10" s="1"/>
  <c r="AC37" i="10" s="1"/>
  <c r="Q35" i="10"/>
  <c r="K12" i="10" l="1"/>
  <c r="M12" i="10" s="1"/>
  <c r="O12" i="10" s="1"/>
  <c r="Q12" i="10" s="1"/>
  <c r="S12" i="10" s="1"/>
  <c r="W35" i="10"/>
  <c r="Y35" i="10" s="1"/>
  <c r="A18" i="10"/>
  <c r="U12" i="10" l="1"/>
  <c r="A20" i="10"/>
  <c r="A21" i="10" l="1"/>
  <c r="W12" i="10"/>
  <c r="Y12" i="10" s="1"/>
  <c r="AA12" i="10" s="1"/>
  <c r="AC12" i="10" s="1"/>
  <c r="A22" i="10" l="1"/>
  <c r="A23" i="10" s="1"/>
  <c r="A24" i="10" l="1"/>
  <c r="A25" i="10" l="1"/>
  <c r="A26" i="10" l="1"/>
  <c r="A27" i="10" s="1"/>
  <c r="A28" i="10" s="1"/>
  <c r="A29" i="10" s="1"/>
  <c r="A30" i="10" s="1"/>
  <c r="A31" i="10" s="1"/>
  <c r="A34" i="10" l="1"/>
  <c r="A32" i="10"/>
  <c r="A33" i="10" s="1"/>
  <c r="A35" i="10" l="1"/>
  <c r="A36" i="10" s="1"/>
  <c r="A37" i="10" s="1"/>
  <c r="A38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16" i="6"/>
  <c r="E12" i="6"/>
  <c r="O35" i="10" l="1"/>
  <c r="A17" i="6"/>
  <c r="A18" i="6" l="1"/>
  <c r="A20" i="6" s="1"/>
  <c r="Q46" i="10" l="1"/>
  <c r="O46" i="10"/>
  <c r="A21" i="6"/>
  <c r="A22" i="6" s="1"/>
  <c r="U46" i="10" l="1"/>
  <c r="AA46" i="10" s="1"/>
  <c r="AC46" i="10" s="1"/>
  <c r="W46" i="10"/>
  <c r="Y46" i="10" s="1"/>
  <c r="A23" i="6"/>
  <c r="A24" i="6" l="1"/>
  <c r="A25" i="6" s="1"/>
  <c r="A26" i="6" l="1"/>
  <c r="A27" i="6" s="1"/>
  <c r="A28" i="6" s="1"/>
  <c r="A29" i="6" s="1"/>
  <c r="A30" i="6" s="1"/>
  <c r="A31" i="6" s="1"/>
  <c r="A34" i="6" l="1"/>
  <c r="A32" i="6"/>
  <c r="A33" i="6" s="1"/>
  <c r="Q44" i="10"/>
  <c r="Q41" i="10"/>
  <c r="A35" i="6" l="1"/>
  <c r="A36" i="6" s="1"/>
  <c r="A37" i="6" s="1"/>
  <c r="A38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O41" i="10"/>
  <c r="O44" i="10"/>
  <c r="Q43" i="10"/>
  <c r="Q40" i="10"/>
  <c r="W44" i="10"/>
  <c r="Y44" i="10" s="1"/>
  <c r="W41" i="10"/>
  <c r="Y41" i="10" s="1"/>
  <c r="O40" i="10" l="1"/>
  <c r="W43" i="10"/>
  <c r="Y43" i="10" s="1"/>
  <c r="W40" i="10"/>
  <c r="O43" i="10" l="1"/>
  <c r="Q30" i="10"/>
  <c r="W30" i="10" s="1"/>
  <c r="Y30" i="10" s="1"/>
  <c r="Y40" i="10"/>
  <c r="O30" i="10" l="1"/>
  <c r="O42" i="10"/>
  <c r="O45" i="10" s="1"/>
  <c r="O48" i="10" s="1"/>
  <c r="Q42" i="10" l="1"/>
  <c r="W42" i="10" s="1"/>
  <c r="Q24" i="10"/>
  <c r="G45" i="6"/>
  <c r="G48" i="6" s="1"/>
  <c r="O15" i="10"/>
  <c r="Q15" i="10"/>
  <c r="K18" i="10"/>
  <c r="Q16" i="10"/>
  <c r="W16" i="10" s="1"/>
  <c r="Y16" i="10" s="1"/>
  <c r="O16" i="10"/>
  <c r="Q23" i="10"/>
  <c r="Q45" i="10" l="1"/>
  <c r="Q48" i="10" s="1"/>
  <c r="O23" i="10"/>
  <c r="O24" i="10"/>
  <c r="Q21" i="10"/>
  <c r="W21" i="10" s="1"/>
  <c r="Y21" i="10" s="1"/>
  <c r="I45" i="6"/>
  <c r="W24" i="10"/>
  <c r="W23" i="10"/>
  <c r="W15" i="10"/>
  <c r="Q18" i="10"/>
  <c r="Y42" i="10"/>
  <c r="W45" i="10"/>
  <c r="W48" i="10" s="1"/>
  <c r="O18" i="10"/>
  <c r="Y23" i="10" l="1"/>
  <c r="O21" i="10"/>
  <c r="I48" i="6"/>
  <c r="Q20" i="10"/>
  <c r="Y45" i="10"/>
  <c r="W18" i="10"/>
  <c r="Y18" i="10" s="1"/>
  <c r="Y15" i="10"/>
  <c r="Y24" i="10"/>
  <c r="K26" i="10" l="1"/>
  <c r="G26" i="6"/>
  <c r="I49" i="6"/>
  <c r="Y48" i="10"/>
  <c r="W20" i="10"/>
  <c r="O33" i="6" l="1"/>
  <c r="O31" i="6"/>
  <c r="O36" i="6"/>
  <c r="O32" i="6"/>
  <c r="Q25" i="10"/>
  <c r="W25" i="10" s="1"/>
  <c r="O25" i="10"/>
  <c r="O26" i="10" s="1"/>
  <c r="O20" i="10"/>
  <c r="O23" i="6"/>
  <c r="O35" i="6"/>
  <c r="O29" i="6"/>
  <c r="O30" i="6"/>
  <c r="O43" i="6"/>
  <c r="O26" i="6"/>
  <c r="O34" i="6"/>
  <c r="O22" i="6"/>
  <c r="O44" i="6"/>
  <c r="O42" i="6"/>
  <c r="O40" i="6"/>
  <c r="O41" i="6"/>
  <c r="G22" i="6"/>
  <c r="Y20" i="10"/>
  <c r="O49" i="6" l="1"/>
  <c r="Q26" i="10"/>
  <c r="O22" i="10"/>
  <c r="Q22" i="10"/>
  <c r="Y25" i="10"/>
  <c r="W26" i="10"/>
  <c r="Y26" i="10" s="1"/>
  <c r="W22" i="10" l="1"/>
  <c r="Y22" i="10" s="1"/>
  <c r="Q27" i="10"/>
  <c r="O27" i="10" l="1"/>
  <c r="W27" i="10"/>
  <c r="O36" i="10"/>
  <c r="Q36" i="10"/>
  <c r="Q28" i="10" l="1"/>
  <c r="W36" i="10"/>
  <c r="Y36" i="10" s="1"/>
  <c r="Y27" i="10"/>
  <c r="K29" i="10" l="1"/>
  <c r="G29" i="6"/>
  <c r="G38" i="6"/>
  <c r="G49" i="6" s="1"/>
  <c r="K52" i="6" s="1"/>
  <c r="O28" i="10"/>
  <c r="W28" i="10"/>
  <c r="Q29" i="10"/>
  <c r="K35" i="6" l="1"/>
  <c r="K34" i="6"/>
  <c r="K18" i="6"/>
  <c r="K30" i="6"/>
  <c r="K26" i="6"/>
  <c r="K24" i="6" s="1"/>
  <c r="K22" i="6"/>
  <c r="K23" i="6"/>
  <c r="K29" i="6"/>
  <c r="K44" i="6"/>
  <c r="K40" i="6"/>
  <c r="K41" i="6"/>
  <c r="K43" i="6"/>
  <c r="K42" i="6"/>
  <c r="O29" i="10"/>
  <c r="Y28" i="10"/>
  <c r="W29" i="10"/>
  <c r="Y29" i="10" s="1"/>
  <c r="Q31" i="10"/>
  <c r="O31" i="10"/>
  <c r="O38" i="10" s="1"/>
  <c r="M35" i="6" l="1"/>
  <c r="K28" i="6"/>
  <c r="K27" i="6"/>
  <c r="K16" i="6"/>
  <c r="K15" i="6"/>
  <c r="R321" i="33"/>
  <c r="R323" i="33" s="1"/>
  <c r="K25" i="6"/>
  <c r="R578" i="33"/>
  <c r="R580" i="33" s="1"/>
  <c r="M580" i="33" s="1"/>
  <c r="E21" i="30" s="1"/>
  <c r="G21" i="30" s="1"/>
  <c r="R740" i="33"/>
  <c r="R742" i="33" s="1"/>
  <c r="M740" i="33" s="1"/>
  <c r="R730" i="33"/>
  <c r="R732" i="33" s="1"/>
  <c r="M730" i="33" s="1"/>
  <c r="M41" i="6"/>
  <c r="R510" i="33"/>
  <c r="R512" i="33" s="1"/>
  <c r="M511" i="33" s="1"/>
  <c r="E18" i="30" s="1"/>
  <c r="G18" i="30" s="1"/>
  <c r="M42" i="6"/>
  <c r="R502" i="33"/>
  <c r="R504" i="33" s="1"/>
  <c r="M506" i="33" s="1"/>
  <c r="R366" i="33"/>
  <c r="R368" i="33" s="1"/>
  <c r="M368" i="33" s="1"/>
  <c r="E15" i="30" s="1"/>
  <c r="G15" i="30" s="1"/>
  <c r="R14" i="33"/>
  <c r="R16" i="33" s="1"/>
  <c r="M21" i="33" s="1"/>
  <c r="M23" i="6"/>
  <c r="R313" i="33"/>
  <c r="R315" i="33" s="1"/>
  <c r="M312" i="33" s="1"/>
  <c r="E11" i="30" s="1"/>
  <c r="G11" i="30" s="1"/>
  <c r="M43" i="6"/>
  <c r="K20" i="6"/>
  <c r="K21" i="6"/>
  <c r="M22" i="6"/>
  <c r="M44" i="6"/>
  <c r="M29" i="6"/>
  <c r="M26" i="6"/>
  <c r="R345" i="33"/>
  <c r="R347" i="33" s="1"/>
  <c r="M34" i="6"/>
  <c r="M30" i="6"/>
  <c r="M40" i="6"/>
  <c r="K45" i="6"/>
  <c r="W31" i="10"/>
  <c r="Q38" i="10"/>
  <c r="K49" i="10"/>
  <c r="O49" i="10"/>
  <c r="M599" i="33" l="1"/>
  <c r="O599" i="33" s="1"/>
  <c r="M582" i="33"/>
  <c r="O582" i="33" s="1"/>
  <c r="M597" i="33"/>
  <c r="O597" i="33" s="1"/>
  <c r="M600" i="33"/>
  <c r="O600" i="33" s="1"/>
  <c r="M584" i="33"/>
  <c r="O584" i="33" s="1"/>
  <c r="M613" i="33"/>
  <c r="O613" i="33" s="1"/>
  <c r="M610" i="33"/>
  <c r="O610" i="33" s="1"/>
  <c r="M583" i="33"/>
  <c r="O583" i="33" s="1"/>
  <c r="M598" i="33"/>
  <c r="O598" i="33" s="1"/>
  <c r="O580" i="33"/>
  <c r="M611" i="33"/>
  <c r="O611" i="33" s="1"/>
  <c r="M609" i="33"/>
  <c r="O609" i="33" s="1"/>
  <c r="M612" i="33"/>
  <c r="O612" i="33" s="1"/>
  <c r="M585" i="33"/>
  <c r="O585" i="33" s="1"/>
  <c r="M614" i="33"/>
  <c r="O614" i="33" s="1"/>
  <c r="M581" i="33"/>
  <c r="O581" i="33" s="1"/>
  <c r="M596" i="33"/>
  <c r="O596" i="33" s="1"/>
  <c r="M595" i="33"/>
  <c r="O595" i="33" s="1"/>
  <c r="M43" i="33"/>
  <c r="O43" i="33" s="1"/>
  <c r="U25" i="34"/>
  <c r="U27" i="34" s="1"/>
  <c r="M106" i="33"/>
  <c r="O106" i="33" s="1"/>
  <c r="M45" i="33"/>
  <c r="O45" i="33" s="1"/>
  <c r="M62" i="33"/>
  <c r="O62" i="33" s="1"/>
  <c r="O506" i="33"/>
  <c r="O507" i="33" s="1"/>
  <c r="R501" i="33" s="1"/>
  <c r="R503" i="33" s="1"/>
  <c r="E19" i="30"/>
  <c r="G19" i="30" s="1"/>
  <c r="O21" i="33"/>
  <c r="E5" i="30"/>
  <c r="G5" i="30" s="1"/>
  <c r="E17" i="30"/>
  <c r="G17" i="30" s="1"/>
  <c r="E16" i="30"/>
  <c r="G16" i="30" s="1"/>
  <c r="M129" i="33"/>
  <c r="O129" i="33" s="1"/>
  <c r="M83" i="33"/>
  <c r="O83" i="33" s="1"/>
  <c r="M25" i="33"/>
  <c r="O25" i="33" s="1"/>
  <c r="M127" i="33"/>
  <c r="O127" i="33" s="1"/>
  <c r="M42" i="33"/>
  <c r="O42" i="33" s="1"/>
  <c r="M105" i="33"/>
  <c r="O105" i="33" s="1"/>
  <c r="M87" i="33"/>
  <c r="O87" i="33" s="1"/>
  <c r="M108" i="33"/>
  <c r="O108" i="33" s="1"/>
  <c r="M63" i="33"/>
  <c r="O63" i="33" s="1"/>
  <c r="M65" i="33"/>
  <c r="O65" i="33" s="1"/>
  <c r="M23" i="33"/>
  <c r="O23" i="33" s="1"/>
  <c r="M734" i="33"/>
  <c r="O734" i="33" s="1"/>
  <c r="M731" i="33"/>
  <c r="O731" i="33" s="1"/>
  <c r="O730" i="33"/>
  <c r="M733" i="33"/>
  <c r="O733" i="33" s="1"/>
  <c r="M735" i="33"/>
  <c r="O735" i="33" s="1"/>
  <c r="M732" i="33"/>
  <c r="O732" i="33" s="1"/>
  <c r="R286" i="33"/>
  <c r="R288" i="33" s="1"/>
  <c r="M284" i="33" s="1"/>
  <c r="E10" i="30" s="1"/>
  <c r="G10" i="30" s="1"/>
  <c r="M86" i="33"/>
  <c r="O86" i="33" s="1"/>
  <c r="M46" i="33"/>
  <c r="O46" i="33" s="1"/>
  <c r="M125" i="33"/>
  <c r="O125" i="33" s="1"/>
  <c r="M84" i="33"/>
  <c r="O84" i="33" s="1"/>
  <c r="M126" i="33"/>
  <c r="O126" i="33" s="1"/>
  <c r="M85" i="33"/>
  <c r="O85" i="33" s="1"/>
  <c r="R137" i="33"/>
  <c r="R139" i="33" s="1"/>
  <c r="M139" i="33" s="1"/>
  <c r="E9" i="30" s="1"/>
  <c r="G9" i="30" s="1"/>
  <c r="M104" i="33"/>
  <c r="O104" i="33" s="1"/>
  <c r="M128" i="33"/>
  <c r="O128" i="33" s="1"/>
  <c r="M66" i="33"/>
  <c r="O66" i="33" s="1"/>
  <c r="M24" i="33"/>
  <c r="O24" i="33" s="1"/>
  <c r="M22" i="33"/>
  <c r="O22" i="33" s="1"/>
  <c r="M44" i="33"/>
  <c r="O44" i="33" s="1"/>
  <c r="M107" i="33"/>
  <c r="O107" i="33" s="1"/>
  <c r="M741" i="33"/>
  <c r="O741" i="33" s="1"/>
  <c r="O740" i="33"/>
  <c r="M742" i="33"/>
  <c r="O742" i="33" s="1"/>
  <c r="M743" i="33"/>
  <c r="O743" i="33" s="1"/>
  <c r="O368" i="33"/>
  <c r="M383" i="33"/>
  <c r="O383" i="33" s="1"/>
  <c r="M407" i="33"/>
  <c r="O407" i="33" s="1"/>
  <c r="M402" i="33"/>
  <c r="O402" i="33" s="1"/>
  <c r="M392" i="33"/>
  <c r="O392" i="33" s="1"/>
  <c r="M387" i="33"/>
  <c r="O387" i="33" s="1"/>
  <c r="M385" i="33"/>
  <c r="O385" i="33" s="1"/>
  <c r="M370" i="33"/>
  <c r="O370" i="33" s="1"/>
  <c r="M388" i="33"/>
  <c r="O388" i="33" s="1"/>
  <c r="M371" i="33"/>
  <c r="O371" i="33" s="1"/>
  <c r="M403" i="33"/>
  <c r="O403" i="33" s="1"/>
  <c r="M400" i="33"/>
  <c r="O400" i="33" s="1"/>
  <c r="M386" i="33"/>
  <c r="O386" i="33" s="1"/>
  <c r="M375" i="33"/>
  <c r="O375" i="33" s="1"/>
  <c r="M491" i="33"/>
  <c r="O491" i="33" s="1"/>
  <c r="M487" i="33"/>
  <c r="O487" i="33" s="1"/>
  <c r="M481" i="33"/>
  <c r="O481" i="33" s="1"/>
  <c r="M474" i="33"/>
  <c r="O474" i="33" s="1"/>
  <c r="M470" i="33"/>
  <c r="O470" i="33" s="1"/>
  <c r="M465" i="33"/>
  <c r="O465" i="33" s="1"/>
  <c r="M461" i="33"/>
  <c r="O461" i="33" s="1"/>
  <c r="M457" i="33"/>
  <c r="O457" i="33" s="1"/>
  <c r="M452" i="33"/>
  <c r="O452" i="33" s="1"/>
  <c r="M445" i="33"/>
  <c r="O445" i="33" s="1"/>
  <c r="M440" i="33"/>
  <c r="O440" i="33" s="1"/>
  <c r="M436" i="33"/>
  <c r="O436" i="33" s="1"/>
  <c r="M427" i="33"/>
  <c r="O427" i="33" s="1"/>
  <c r="M425" i="33"/>
  <c r="O425" i="33" s="1"/>
  <c r="M423" i="33"/>
  <c r="O423" i="33" s="1"/>
  <c r="M418" i="33"/>
  <c r="O418" i="33" s="1"/>
  <c r="M414" i="33"/>
  <c r="O414" i="33" s="1"/>
  <c r="M497" i="33"/>
  <c r="O497" i="33" s="1"/>
  <c r="M495" i="33"/>
  <c r="O495" i="33" s="1"/>
  <c r="M492" i="33"/>
  <c r="O492" i="33" s="1"/>
  <c r="M488" i="33"/>
  <c r="O488" i="33" s="1"/>
  <c r="M483" i="33"/>
  <c r="O483" i="33" s="1"/>
  <c r="M476" i="33"/>
  <c r="O476" i="33" s="1"/>
  <c r="M471" i="33"/>
  <c r="O471" i="33" s="1"/>
  <c r="M466" i="33"/>
  <c r="O466" i="33" s="1"/>
  <c r="M462" i="33"/>
  <c r="O462" i="33" s="1"/>
  <c r="M458" i="33"/>
  <c r="O458" i="33" s="1"/>
  <c r="M453" i="33"/>
  <c r="O453" i="33" s="1"/>
  <c r="M446" i="33"/>
  <c r="O446" i="33" s="1"/>
  <c r="M442" i="33"/>
  <c r="O442" i="33" s="1"/>
  <c r="M437" i="33"/>
  <c r="O437" i="33" s="1"/>
  <c r="M420" i="33"/>
  <c r="O420" i="33" s="1"/>
  <c r="M415" i="33"/>
  <c r="O415" i="33" s="1"/>
  <c r="M489" i="33"/>
  <c r="O489" i="33" s="1"/>
  <c r="M484" i="33"/>
  <c r="O484" i="33" s="1"/>
  <c r="M477" i="33"/>
  <c r="O477" i="33" s="1"/>
  <c r="M472" i="33"/>
  <c r="O472" i="33" s="1"/>
  <c r="M468" i="33"/>
  <c r="O468" i="33" s="1"/>
  <c r="M463" i="33"/>
  <c r="O463" i="33" s="1"/>
  <c r="M459" i="33"/>
  <c r="O459" i="33" s="1"/>
  <c r="M454" i="33"/>
  <c r="O454" i="33" s="1"/>
  <c r="M449" i="33"/>
  <c r="O449" i="33" s="1"/>
  <c r="M443" i="33"/>
  <c r="O443" i="33" s="1"/>
  <c r="M438" i="33"/>
  <c r="O438" i="33" s="1"/>
  <c r="M429" i="33"/>
  <c r="O429" i="33" s="1"/>
  <c r="M426" i="33"/>
  <c r="O426" i="33" s="1"/>
  <c r="M424" i="33"/>
  <c r="O424" i="33" s="1"/>
  <c r="M422" i="33"/>
  <c r="O422" i="33" s="1"/>
  <c r="M416" i="33"/>
  <c r="O416" i="33" s="1"/>
  <c r="M413" i="33"/>
  <c r="O413" i="33" s="1"/>
  <c r="M314" i="33"/>
  <c r="O314" i="33" s="1"/>
  <c r="M496" i="33"/>
  <c r="O496" i="33" s="1"/>
  <c r="M494" i="33"/>
  <c r="O494" i="33" s="1"/>
  <c r="M490" i="33"/>
  <c r="O490" i="33" s="1"/>
  <c r="M485" i="33"/>
  <c r="O485" i="33" s="1"/>
  <c r="M480" i="33"/>
  <c r="O480" i="33" s="1"/>
  <c r="M473" i="33"/>
  <c r="O473" i="33" s="1"/>
  <c r="M469" i="33"/>
  <c r="O469" i="33" s="1"/>
  <c r="M464" i="33"/>
  <c r="O464" i="33" s="1"/>
  <c r="M460" i="33"/>
  <c r="O460" i="33" s="1"/>
  <c r="M455" i="33"/>
  <c r="O455" i="33" s="1"/>
  <c r="M450" i="33"/>
  <c r="O450" i="33" s="1"/>
  <c r="M444" i="33"/>
  <c r="O444" i="33" s="1"/>
  <c r="M439" i="33"/>
  <c r="O439" i="33" s="1"/>
  <c r="M417" i="33"/>
  <c r="O417" i="33" s="1"/>
  <c r="M313" i="33"/>
  <c r="O313" i="33" s="1"/>
  <c r="O312" i="33"/>
  <c r="M24" i="6"/>
  <c r="M21" i="6"/>
  <c r="M20" i="6"/>
  <c r="K48" i="6"/>
  <c r="M45" i="6"/>
  <c r="M27" i="6"/>
  <c r="Q49" i="10"/>
  <c r="Y31" i="10"/>
  <c r="W38" i="10"/>
  <c r="E20" i="34" l="1"/>
  <c r="M30" i="34"/>
  <c r="M29" i="34"/>
  <c r="M28" i="34"/>
  <c r="M27" i="34"/>
  <c r="M26" i="34"/>
  <c r="M25" i="34"/>
  <c r="M24" i="34"/>
  <c r="M23" i="34"/>
  <c r="M22" i="34"/>
  <c r="M21" i="34"/>
  <c r="M19" i="34"/>
  <c r="M18" i="34"/>
  <c r="M17" i="34"/>
  <c r="M16" i="34"/>
  <c r="M14" i="34"/>
  <c r="M13" i="34"/>
  <c r="M12" i="34"/>
  <c r="M11" i="34"/>
  <c r="M10" i="34"/>
  <c r="M9" i="34"/>
  <c r="M15" i="34"/>
  <c r="E30" i="34"/>
  <c r="E29" i="34"/>
  <c r="E28" i="34"/>
  <c r="E27" i="34"/>
  <c r="E26" i="34"/>
  <c r="E25" i="34"/>
  <c r="E24" i="34"/>
  <c r="E23" i="34"/>
  <c r="E22" i="34"/>
  <c r="E21" i="34"/>
  <c r="E19" i="34"/>
  <c r="E18" i="34"/>
  <c r="E17" i="34"/>
  <c r="E16" i="34"/>
  <c r="E14" i="34"/>
  <c r="E13" i="34"/>
  <c r="E12" i="34"/>
  <c r="E11" i="34"/>
  <c r="E10" i="34"/>
  <c r="E9" i="34"/>
  <c r="O602" i="33"/>
  <c r="O589" i="33"/>
  <c r="O616" i="33"/>
  <c r="S43" i="10"/>
  <c r="O28" i="33"/>
  <c r="O69" i="33"/>
  <c r="O90" i="33"/>
  <c r="O49" i="33"/>
  <c r="O132" i="33"/>
  <c r="O736" i="33"/>
  <c r="S34" i="10" s="1"/>
  <c r="O111" i="33"/>
  <c r="M28" i="6"/>
  <c r="R355" i="33"/>
  <c r="R357" i="33" s="1"/>
  <c r="M356" i="33" s="1"/>
  <c r="E14" i="30" s="1"/>
  <c r="G14" i="30" s="1"/>
  <c r="M48" i="6"/>
  <c r="O744" i="33"/>
  <c r="O409" i="33"/>
  <c r="S28" i="10" s="1"/>
  <c r="O394" i="33"/>
  <c r="O377" i="33"/>
  <c r="O499" i="33"/>
  <c r="S42" i="10" s="1"/>
  <c r="O316" i="33"/>
  <c r="S40" i="10" s="1"/>
  <c r="O431" i="33"/>
  <c r="S41" i="10" s="1"/>
  <c r="M204" i="33"/>
  <c r="O204" i="33" s="1"/>
  <c r="M140" i="33"/>
  <c r="O140" i="33" s="1"/>
  <c r="M254" i="33"/>
  <c r="O254" i="33" s="1"/>
  <c r="M203" i="33"/>
  <c r="O203" i="33" s="1"/>
  <c r="M141" i="33"/>
  <c r="O141" i="33" s="1"/>
  <c r="M155" i="33"/>
  <c r="O155" i="33" s="1"/>
  <c r="M279" i="33"/>
  <c r="O279" i="33" s="1"/>
  <c r="M229" i="33"/>
  <c r="O229" i="33" s="1"/>
  <c r="M179" i="33"/>
  <c r="O179" i="33" s="1"/>
  <c r="O139" i="33"/>
  <c r="M252" i="33"/>
  <c r="O252" i="33" s="1"/>
  <c r="M201" i="33"/>
  <c r="O201" i="33" s="1"/>
  <c r="M278" i="33"/>
  <c r="O278" i="33" s="1"/>
  <c r="M153" i="33"/>
  <c r="O153" i="33" s="1"/>
  <c r="M277" i="33"/>
  <c r="O277" i="33" s="1"/>
  <c r="M230" i="33"/>
  <c r="O230" i="33" s="1"/>
  <c r="M177" i="33"/>
  <c r="O177" i="33" s="1"/>
  <c r="M165" i="33"/>
  <c r="O165" i="33" s="1"/>
  <c r="M227" i="33"/>
  <c r="O227" i="33" s="1"/>
  <c r="M154" i="33"/>
  <c r="O154" i="33" s="1"/>
  <c r="M178" i="33"/>
  <c r="O178" i="33" s="1"/>
  <c r="M166" i="33"/>
  <c r="O166" i="33" s="1"/>
  <c r="M253" i="33"/>
  <c r="O253" i="33" s="1"/>
  <c r="M228" i="33"/>
  <c r="O228" i="33" s="1"/>
  <c r="M202" i="33"/>
  <c r="O202" i="33" s="1"/>
  <c r="M276" i="33"/>
  <c r="O276" i="33" s="1"/>
  <c r="M176" i="33"/>
  <c r="O176" i="33" s="1"/>
  <c r="M156" i="33"/>
  <c r="O156" i="33" s="1"/>
  <c r="M142" i="33"/>
  <c r="O142" i="33" s="1"/>
  <c r="M168" i="33"/>
  <c r="O168" i="33" s="1"/>
  <c r="M255" i="33"/>
  <c r="O255" i="33" s="1"/>
  <c r="M167" i="33"/>
  <c r="O167" i="33" s="1"/>
  <c r="O284" i="33"/>
  <c r="M288" i="33"/>
  <c r="O288" i="33" s="1"/>
  <c r="M522" i="33"/>
  <c r="O522" i="33" s="1"/>
  <c r="M192" i="33"/>
  <c r="O192" i="33" s="1"/>
  <c r="M217" i="33"/>
  <c r="O217" i="33" s="1"/>
  <c r="M242" i="33"/>
  <c r="O242" i="33" s="1"/>
  <c r="M267" i="33"/>
  <c r="O267" i="33" s="1"/>
  <c r="M299" i="33"/>
  <c r="O299" i="33" s="1"/>
  <c r="M185" i="33"/>
  <c r="O185" i="33" s="1"/>
  <c r="M287" i="33"/>
  <c r="O287" i="33" s="1"/>
  <c r="M187" i="33"/>
  <c r="O187" i="33" s="1"/>
  <c r="M214" i="33"/>
  <c r="O214" i="33" s="1"/>
  <c r="M239" i="33"/>
  <c r="O239" i="33" s="1"/>
  <c r="M264" i="33"/>
  <c r="O264" i="33" s="1"/>
  <c r="M521" i="33"/>
  <c r="O521" i="33" s="1"/>
  <c r="M289" i="33"/>
  <c r="O289" i="33" s="1"/>
  <c r="M518" i="33"/>
  <c r="O518" i="33" s="1"/>
  <c r="M190" i="33"/>
  <c r="O190" i="33" s="1"/>
  <c r="M215" i="33"/>
  <c r="O215" i="33" s="1"/>
  <c r="M265" i="33"/>
  <c r="O265" i="33" s="1"/>
  <c r="M285" i="33"/>
  <c r="O285" i="33" s="1"/>
  <c r="M305" i="33"/>
  <c r="O305" i="33" s="1"/>
  <c r="M290" i="33"/>
  <c r="O290" i="33" s="1"/>
  <c r="M306" i="33"/>
  <c r="O306" i="33" s="1"/>
  <c r="M212" i="33"/>
  <c r="O212" i="33" s="1"/>
  <c r="M262" i="33"/>
  <c r="O262" i="33" s="1"/>
  <c r="M525" i="33"/>
  <c r="O525" i="33" s="1"/>
  <c r="M286" i="33"/>
  <c r="O286" i="33" s="1"/>
  <c r="M186" i="33"/>
  <c r="O186" i="33" s="1"/>
  <c r="M211" i="33"/>
  <c r="O211" i="33" s="1"/>
  <c r="M236" i="33"/>
  <c r="O236" i="33" s="1"/>
  <c r="M261" i="33"/>
  <c r="O261" i="33" s="1"/>
  <c r="M523" i="33"/>
  <c r="O523" i="33" s="1"/>
  <c r="M301" i="33"/>
  <c r="O301" i="33" s="1"/>
  <c r="M524" i="33"/>
  <c r="O524" i="33" s="1"/>
  <c r="M300" i="33"/>
  <c r="O300" i="33" s="1"/>
  <c r="M189" i="33"/>
  <c r="O189" i="33" s="1"/>
  <c r="M216" i="33"/>
  <c r="O216" i="33" s="1"/>
  <c r="M241" i="33"/>
  <c r="O241" i="33" s="1"/>
  <c r="M266" i="33"/>
  <c r="O266" i="33" s="1"/>
  <c r="M291" i="33"/>
  <c r="O291" i="33" s="1"/>
  <c r="M302" i="33"/>
  <c r="O302" i="33" s="1"/>
  <c r="M188" i="33"/>
  <c r="O188" i="33" s="1"/>
  <c r="M213" i="33"/>
  <c r="O213" i="33" s="1"/>
  <c r="M238" i="33"/>
  <c r="O238" i="33" s="1"/>
  <c r="M263" i="33"/>
  <c r="O263" i="33" s="1"/>
  <c r="M519" i="33"/>
  <c r="O519" i="33" s="1"/>
  <c r="M303" i="33"/>
  <c r="O303" i="33" s="1"/>
  <c r="M520" i="33"/>
  <c r="O520" i="33" s="1"/>
  <c r="M304" i="33"/>
  <c r="O304" i="33" s="1"/>
  <c r="M191" i="33"/>
  <c r="O191" i="33" s="1"/>
  <c r="M218" i="33"/>
  <c r="O218" i="33" s="1"/>
  <c r="M243" i="33"/>
  <c r="O243" i="33" s="1"/>
  <c r="M268" i="33"/>
  <c r="O268" i="33" s="1"/>
  <c r="M240" i="33"/>
  <c r="O240" i="33" s="1"/>
  <c r="M237" i="33"/>
  <c r="O237" i="33" s="1"/>
  <c r="M33" i="6"/>
  <c r="M25" i="6"/>
  <c r="Y38" i="10"/>
  <c r="W49" i="10"/>
  <c r="Y49" i="10" l="1"/>
  <c r="N34" i="6"/>
  <c r="N43" i="6"/>
  <c r="N42" i="6"/>
  <c r="N41" i="6"/>
  <c r="N28" i="6"/>
  <c r="R577" i="33"/>
  <c r="R579" i="33" s="1"/>
  <c r="G11" i="34"/>
  <c r="I11" i="34"/>
  <c r="G16" i="34"/>
  <c r="I16" i="34"/>
  <c r="G29" i="34"/>
  <c r="I29" i="34"/>
  <c r="O28" i="34"/>
  <c r="Q28" i="34"/>
  <c r="G12" i="34"/>
  <c r="I12" i="34"/>
  <c r="G17" i="34"/>
  <c r="I17" i="34"/>
  <c r="G22" i="34"/>
  <c r="I22" i="34"/>
  <c r="G26" i="34"/>
  <c r="I26" i="34"/>
  <c r="G30" i="34"/>
  <c r="I30" i="34"/>
  <c r="O11" i="34"/>
  <c r="Q11" i="34"/>
  <c r="O16" i="34"/>
  <c r="Q16" i="34"/>
  <c r="O21" i="34"/>
  <c r="Q21" i="34"/>
  <c r="O25" i="34"/>
  <c r="Q25" i="34"/>
  <c r="O29" i="34"/>
  <c r="Q29" i="34"/>
  <c r="G25" i="34"/>
  <c r="I25" i="34"/>
  <c r="O14" i="34"/>
  <c r="Q14" i="34"/>
  <c r="O24" i="34"/>
  <c r="Q24" i="34"/>
  <c r="G13" i="34"/>
  <c r="I13" i="34"/>
  <c r="G18" i="34"/>
  <c r="I18" i="34"/>
  <c r="G23" i="34"/>
  <c r="I23" i="34"/>
  <c r="G27" i="34"/>
  <c r="I27" i="34"/>
  <c r="Q15" i="34"/>
  <c r="O15" i="34"/>
  <c r="O12" i="34"/>
  <c r="Q12" i="34"/>
  <c r="O17" i="34"/>
  <c r="Q17" i="34"/>
  <c r="O22" i="34"/>
  <c r="Q22" i="34"/>
  <c r="O26" i="34"/>
  <c r="Q26" i="34"/>
  <c r="O30" i="34"/>
  <c r="Q30" i="34"/>
  <c r="G21" i="34"/>
  <c r="I21" i="34"/>
  <c r="O10" i="34"/>
  <c r="Q10" i="34"/>
  <c r="O19" i="34"/>
  <c r="Q19" i="34"/>
  <c r="G10" i="34"/>
  <c r="I10" i="34"/>
  <c r="G14" i="34"/>
  <c r="I14" i="34"/>
  <c r="G19" i="34"/>
  <c r="I19" i="34"/>
  <c r="G24" i="34"/>
  <c r="I24" i="34"/>
  <c r="G28" i="34"/>
  <c r="I28" i="34"/>
  <c r="O13" i="34"/>
  <c r="Q13" i="34"/>
  <c r="O18" i="34"/>
  <c r="Q18" i="34"/>
  <c r="O23" i="34"/>
  <c r="Q23" i="34"/>
  <c r="O27" i="34"/>
  <c r="Q27" i="34"/>
  <c r="G20" i="34"/>
  <c r="I20" i="34"/>
  <c r="S30" i="10"/>
  <c r="S15" i="10"/>
  <c r="Z12" i="34"/>
  <c r="Z11" i="34"/>
  <c r="Q9" i="34"/>
  <c r="O9" i="34"/>
  <c r="R13" i="33"/>
  <c r="Z13" i="34"/>
  <c r="G9" i="34"/>
  <c r="I9" i="34"/>
  <c r="Z14" i="34"/>
  <c r="R729" i="33"/>
  <c r="R731" i="33" s="1"/>
  <c r="S16" i="10"/>
  <c r="S27" i="10"/>
  <c r="N40" i="6"/>
  <c r="R739" i="33"/>
  <c r="R741" i="33" s="1"/>
  <c r="S35" i="10"/>
  <c r="R365" i="33"/>
  <c r="R367" i="33" s="1"/>
  <c r="O356" i="33"/>
  <c r="M360" i="33"/>
  <c r="O360" i="33" s="1"/>
  <c r="M359" i="33"/>
  <c r="O359" i="33" s="1"/>
  <c r="M357" i="33"/>
  <c r="O357" i="33" s="1"/>
  <c r="M358" i="33"/>
  <c r="O358" i="33" s="1"/>
  <c r="M361" i="33"/>
  <c r="O361" i="33" s="1"/>
  <c r="R312" i="33"/>
  <c r="O207" i="33"/>
  <c r="O181" i="33"/>
  <c r="O281" i="33"/>
  <c r="O246" i="33"/>
  <c r="O221" i="33"/>
  <c r="O232" i="33"/>
  <c r="O257" i="33"/>
  <c r="O296" i="33"/>
  <c r="O526" i="33"/>
  <c r="O195" i="33"/>
  <c r="O170" i="33"/>
  <c r="O158" i="33"/>
  <c r="O146" i="33"/>
  <c r="O271" i="33"/>
  <c r="O309" i="33"/>
  <c r="M36" i="6"/>
  <c r="N35" i="6" l="1"/>
  <c r="N30" i="6"/>
  <c r="S29" i="10"/>
  <c r="AC12" i="34"/>
  <c r="S18" i="10"/>
  <c r="AB11" i="34"/>
  <c r="AA11" i="34"/>
  <c r="AB12" i="34"/>
  <c r="AA12" i="34"/>
  <c r="AA14" i="34"/>
  <c r="AB14" i="34"/>
  <c r="AA13" i="34"/>
  <c r="AB13" i="34"/>
  <c r="N27" i="6"/>
  <c r="S21" i="10"/>
  <c r="S20" i="10"/>
  <c r="O362" i="33"/>
  <c r="R285" i="33"/>
  <c r="R287" i="33" s="1"/>
  <c r="R136" i="33"/>
  <c r="R138" i="33" s="1"/>
  <c r="U35" i="10"/>
  <c r="U40" i="10"/>
  <c r="U43" i="10"/>
  <c r="U41" i="10"/>
  <c r="U34" i="10"/>
  <c r="AA34" i="10" l="1"/>
  <c r="AA35" i="10"/>
  <c r="N21" i="6"/>
  <c r="N18" i="6"/>
  <c r="AA41" i="10"/>
  <c r="AA43" i="10"/>
  <c r="N29" i="6"/>
  <c r="AA40" i="10"/>
  <c r="S22" i="10"/>
  <c r="N20" i="6"/>
  <c r="R354" i="33"/>
  <c r="R356" i="33" s="1"/>
  <c r="S25" i="10"/>
  <c r="R314" i="33"/>
  <c r="U42" i="10"/>
  <c r="AC35" i="10" l="1"/>
  <c r="AC34" i="10"/>
  <c r="AC43" i="10"/>
  <c r="AC40" i="10"/>
  <c r="AC41" i="10"/>
  <c r="N22" i="6"/>
  <c r="N25" i="6"/>
  <c r="U28" i="10"/>
  <c r="U20" i="10"/>
  <c r="U21" i="10"/>
  <c r="AA42" i="10"/>
  <c r="U25" i="10"/>
  <c r="U36" i="10"/>
  <c r="AA36" i="10" s="1"/>
  <c r="AC36" i="10" s="1"/>
  <c r="U30" i="10"/>
  <c r="AA28" i="10" l="1"/>
  <c r="AA25" i="10"/>
  <c r="AA30" i="10"/>
  <c r="AA21" i="10"/>
  <c r="AC42" i="10"/>
  <c r="AE42" i="10"/>
  <c r="U27" i="10"/>
  <c r="U22" i="10"/>
  <c r="AA20" i="10"/>
  <c r="AC21" i="10" l="1"/>
  <c r="AC30" i="10"/>
  <c r="AC25" i="10"/>
  <c r="AC28" i="10"/>
  <c r="AA27" i="10"/>
  <c r="U29" i="10"/>
  <c r="AA22" i="10"/>
  <c r="AC20" i="10"/>
  <c r="AC22" i="10" l="1"/>
  <c r="AA29" i="10"/>
  <c r="AC27" i="10"/>
  <c r="M18" i="6"/>
  <c r="AC29" i="10" l="1"/>
  <c r="M15" i="6"/>
  <c r="N15" i="6"/>
  <c r="M16" i="6" l="1"/>
  <c r="N16" i="6"/>
  <c r="E7" i="30"/>
  <c r="G7" i="30" s="1"/>
  <c r="E8" i="30" l="1"/>
  <c r="G8" i="30" s="1"/>
  <c r="E6" i="30"/>
  <c r="G6" i="30" s="1"/>
  <c r="U16" i="10" l="1"/>
  <c r="U15" i="10"/>
  <c r="AA16" i="10" l="1"/>
  <c r="AA15" i="10"/>
  <c r="U18" i="10"/>
  <c r="AC16" i="10" l="1"/>
  <c r="AC15" i="10"/>
  <c r="AA18" i="10"/>
  <c r="AE18" i="10" l="1"/>
  <c r="AC18" i="10"/>
  <c r="R15" i="33"/>
  <c r="O511" i="33"/>
  <c r="O512" i="33" s="1"/>
  <c r="S44" i="10" l="1"/>
  <c r="R509" i="33"/>
  <c r="R511" i="33" s="1"/>
  <c r="N44" i="6" l="1"/>
  <c r="S45" i="10"/>
  <c r="U44" i="10"/>
  <c r="AA44" i="10" l="1"/>
  <c r="U45" i="10"/>
  <c r="S48" i="10"/>
  <c r="N45" i="6"/>
  <c r="U48" i="10" l="1"/>
  <c r="AE44" i="10"/>
  <c r="N48" i="6"/>
  <c r="AC44" i="10"/>
  <c r="AA45" i="10"/>
  <c r="AA48" i="10" l="1"/>
  <c r="AC45" i="10"/>
  <c r="AC48" i="10" l="1"/>
  <c r="K768" i="33"/>
  <c r="K769" i="33" s="1"/>
  <c r="M321" i="33"/>
  <c r="M322" i="33" l="1"/>
  <c r="O322" i="33" s="1"/>
  <c r="M338" i="33"/>
  <c r="O338" i="33" s="1"/>
  <c r="M665" i="33"/>
  <c r="O665" i="33" s="1"/>
  <c r="M663" i="33"/>
  <c r="O663" i="33" s="1"/>
  <c r="M667" i="33"/>
  <c r="O667" i="33" s="1"/>
  <c r="M324" i="33"/>
  <c r="O324" i="33" s="1"/>
  <c r="M334" i="33"/>
  <c r="O334" i="33" s="1"/>
  <c r="O321" i="33"/>
  <c r="M664" i="33"/>
  <c r="O664" i="33" s="1"/>
  <c r="M337" i="33"/>
  <c r="O337" i="33" s="1"/>
  <c r="M333" i="33"/>
  <c r="O333" i="33" s="1"/>
  <c r="M323" i="33"/>
  <c r="O323" i="33" s="1"/>
  <c r="M326" i="33"/>
  <c r="O326" i="33" s="1"/>
  <c r="M666" i="33"/>
  <c r="O666" i="33" s="1"/>
  <c r="M662" i="33"/>
  <c r="O662" i="33" s="1"/>
  <c r="M335" i="33"/>
  <c r="O335" i="33" s="1"/>
  <c r="E12" i="30"/>
  <c r="G12" i="30" s="1"/>
  <c r="M336" i="33"/>
  <c r="O336" i="33" s="1"/>
  <c r="M325" i="33"/>
  <c r="O325" i="33" s="1"/>
  <c r="O669" i="33" l="1"/>
  <c r="O328" i="33"/>
  <c r="O340" i="33"/>
  <c r="S23" i="10" s="1"/>
  <c r="R320" i="33" l="1"/>
  <c r="U23" i="10"/>
  <c r="N23" i="6"/>
  <c r="R322" i="33"/>
  <c r="AA23" i="10" l="1"/>
  <c r="AC23" i="10" l="1"/>
  <c r="M345" i="33"/>
  <c r="M348" i="33" l="1"/>
  <c r="O348" i="33" s="1"/>
  <c r="O345" i="33"/>
  <c r="M531" i="33"/>
  <c r="O531" i="33" s="1"/>
  <c r="M535" i="33"/>
  <c r="O535" i="33" s="1"/>
  <c r="M673" i="33"/>
  <c r="O673" i="33" s="1"/>
  <c r="M718" i="33"/>
  <c r="O718" i="33" s="1"/>
  <c r="E13" i="30"/>
  <c r="M346" i="33"/>
  <c r="O346" i="33" s="1"/>
  <c r="M349" i="33"/>
  <c r="O349" i="33" s="1"/>
  <c r="M532" i="33"/>
  <c r="O532" i="33" s="1"/>
  <c r="M674" i="33"/>
  <c r="O674" i="33" s="1"/>
  <c r="M715" i="33"/>
  <c r="O715" i="33" s="1"/>
  <c r="M719" i="33"/>
  <c r="O719" i="33" s="1"/>
  <c r="M350" i="33"/>
  <c r="O350" i="33" s="1"/>
  <c r="M347" i="33"/>
  <c r="O347" i="33" s="1"/>
  <c r="M533" i="33"/>
  <c r="O533" i="33" s="1"/>
  <c r="M671" i="33"/>
  <c r="O671" i="33" s="1"/>
  <c r="M675" i="33"/>
  <c r="O675" i="33" s="1"/>
  <c r="M716" i="33"/>
  <c r="O716" i="33" s="1"/>
  <c r="M720" i="33"/>
  <c r="O720" i="33" s="1"/>
  <c r="M530" i="33"/>
  <c r="O530" i="33" s="1"/>
  <c r="M534" i="33"/>
  <c r="O534" i="33" s="1"/>
  <c r="M672" i="33"/>
  <c r="O672" i="33" s="1"/>
  <c r="M676" i="33"/>
  <c r="O676" i="33" s="1"/>
  <c r="M717" i="33"/>
  <c r="O717" i="33" s="1"/>
  <c r="O536" i="33" l="1"/>
  <c r="O537" i="33" s="1"/>
  <c r="O721" i="33"/>
  <c r="K32" i="6" s="1"/>
  <c r="G13" i="30"/>
  <c r="E20" i="30"/>
  <c r="G20" i="30" s="1"/>
  <c r="O351" i="33"/>
  <c r="R344" i="33" s="1"/>
  <c r="O677" i="33"/>
  <c r="O678" i="33" s="1"/>
  <c r="O768" i="33" l="1"/>
  <c r="S24" i="10"/>
  <c r="R346" i="33"/>
  <c r="S31" i="10"/>
  <c r="K31" i="6"/>
  <c r="S32" i="10"/>
  <c r="U31" i="10" l="1"/>
  <c r="U32" i="10"/>
  <c r="N31" i="6"/>
  <c r="K38" i="6"/>
  <c r="M31" i="6"/>
  <c r="M32" i="6"/>
  <c r="N32" i="6"/>
  <c r="N24" i="6"/>
  <c r="S26" i="10"/>
  <c r="S38" i="10"/>
  <c r="U24" i="10"/>
  <c r="S49" i="10" l="1"/>
  <c r="AA24" i="10"/>
  <c r="U26" i="10"/>
  <c r="U38" i="10"/>
  <c r="N26" i="6"/>
  <c r="AA32" i="10"/>
  <c r="AA31" i="10"/>
  <c r="K49" i="6"/>
  <c r="M38" i="6"/>
  <c r="N38" i="6"/>
  <c r="M54" i="6" l="1"/>
  <c r="U49" i="10"/>
  <c r="AA38" i="10"/>
  <c r="AC24" i="10"/>
  <c r="AA26" i="10"/>
  <c r="AC32" i="10"/>
  <c r="P23" i="6"/>
  <c r="P35" i="6"/>
  <c r="P43" i="6"/>
  <c r="P36" i="6"/>
  <c r="P44" i="6"/>
  <c r="P18" i="6"/>
  <c r="P33" i="6"/>
  <c r="P26" i="6"/>
  <c r="M49" i="6"/>
  <c r="P41" i="6"/>
  <c r="P29" i="6"/>
  <c r="N49" i="6"/>
  <c r="P30" i="6"/>
  <c r="P40" i="6"/>
  <c r="P22" i="6"/>
  <c r="P34" i="6"/>
  <c r="P42" i="6"/>
  <c r="O769" i="33"/>
  <c r="P32" i="6"/>
  <c r="P31" i="6"/>
  <c r="AC31" i="10"/>
  <c r="O770" i="33"/>
  <c r="AC26" i="10" l="1"/>
  <c r="AC38" i="10"/>
  <c r="AA49" i="10"/>
  <c r="P49" i="6"/>
  <c r="AC49" i="10" l="1"/>
</calcChain>
</file>

<file path=xl/sharedStrings.xml><?xml version="1.0" encoding="utf-8"?>
<sst xmlns="http://schemas.openxmlformats.org/spreadsheetml/2006/main" count="1873" uniqueCount="792">
  <si>
    <t>Table  A</t>
  </si>
  <si>
    <t>Rocky Mountain Power</t>
  </si>
  <si>
    <t>Estimated Effect of Proposed Changes</t>
  </si>
  <si>
    <t>on Revenues from Electric Sales to Ultimate Consumers in Utah</t>
  </si>
  <si>
    <t>Base Period 12 Months Ending December 2019</t>
  </si>
  <si>
    <t>Forecast Period 12 Months Ending December 2021</t>
  </si>
  <si>
    <t>No. of</t>
  </si>
  <si>
    <t>Change</t>
  </si>
  <si>
    <t>Line</t>
  </si>
  <si>
    <t>Sch</t>
  </si>
  <si>
    <t>Customers</t>
  </si>
  <si>
    <t>MWh</t>
  </si>
  <si>
    <t>Present Revenue ($000)</t>
  </si>
  <si>
    <t>Proposed Revenue ($000)</t>
  </si>
  <si>
    <t>Base</t>
  </si>
  <si>
    <t>Net</t>
  </si>
  <si>
    <t>No.</t>
  </si>
  <si>
    <t>Description</t>
  </si>
  <si>
    <t>Forecast</t>
  </si>
  <si>
    <t>EBA</t>
  </si>
  <si>
    <t>($000)</t>
  </si>
  <si>
    <t>(%)</t>
  </si>
  <si>
    <t>Residential</t>
  </si>
  <si>
    <t>1,3</t>
  </si>
  <si>
    <t>Residential-Optional TOD</t>
  </si>
  <si>
    <t>2/2E</t>
  </si>
  <si>
    <t>Res AVG</t>
  </si>
  <si>
    <t>AGA/Revenue Credit</t>
  </si>
  <si>
    <t>--</t>
  </si>
  <si>
    <t>kWh</t>
  </si>
  <si>
    <t>Total Residential</t>
  </si>
  <si>
    <t>Commercial &amp; Industrial &amp; OSPA</t>
  </si>
  <si>
    <t>General Service-Distribution</t>
  </si>
  <si>
    <t>General Service-Distribution-Energy TOD</t>
  </si>
  <si>
    <t>6A</t>
  </si>
  <si>
    <t>Subtotal Schedule 6</t>
  </si>
  <si>
    <t>General Service-Distribution &gt; 1,000 kW</t>
  </si>
  <si>
    <t>General Service-High Voltage</t>
  </si>
  <si>
    <t>General Service-High Voltage-Energy TOD</t>
  </si>
  <si>
    <t>9A</t>
  </si>
  <si>
    <t>Subtotal Schedule 9</t>
  </si>
  <si>
    <t>Irrigation</t>
  </si>
  <si>
    <t>Irrigation-Time of Day</t>
  </si>
  <si>
    <t>10TOD</t>
  </si>
  <si>
    <t>Subtotal Irrigation</t>
  </si>
  <si>
    <t>General Service-Distribution-Small</t>
  </si>
  <si>
    <t>Back-up, Maintenance, &amp; Supplementary</t>
  </si>
  <si>
    <t>Svc. From Ren. Ene. Facilities</t>
  </si>
  <si>
    <t>Ren. Ene. Pur. for Qlf. Cust &gt; 5,000 kW</t>
  </si>
  <si>
    <t>Contract 1</t>
  </si>
  <si>
    <t>Contract 2</t>
  </si>
  <si>
    <t>Contract 3</t>
  </si>
  <si>
    <t>Total Commercial &amp; Industrial &amp; OSPA</t>
  </si>
  <si>
    <t>Public Street Lighting</t>
  </si>
  <si>
    <t>Security Area Lighting</t>
  </si>
  <si>
    <t>Street Lighting - Company Owned</t>
  </si>
  <si>
    <t>Street Lighting - Customer Owned</t>
  </si>
  <si>
    <t>Metered Outdoor Lighting</t>
  </si>
  <si>
    <t>Traffic Signal Systems</t>
  </si>
  <si>
    <t>Subtotal Public Street Lighting</t>
  </si>
  <si>
    <t>Security Area Lighting-Contracts (PTL)</t>
  </si>
  <si>
    <t>Total Public Street Lighting</t>
  </si>
  <si>
    <t>Total Sales to Ultimate Customers</t>
  </si>
  <si>
    <t>Rate Spread</t>
  </si>
  <si>
    <t xml:space="preserve">Present </t>
  </si>
  <si>
    <t>2020 GRC</t>
  </si>
  <si>
    <t>EBA Deferral</t>
  </si>
  <si>
    <t>Revenues</t>
  </si>
  <si>
    <t>EBA Allocator</t>
  </si>
  <si>
    <t>2024</t>
  </si>
  <si>
    <t>%</t>
  </si>
  <si>
    <t>Target Rev</t>
  </si>
  <si>
    <t>month</t>
  </si>
  <si>
    <t>Avg %</t>
  </si>
  <si>
    <t>Sch9 Adj</t>
  </si>
  <si>
    <t>Adj</t>
  </si>
  <si>
    <t>Goal seek: M54=0 by changing K54</t>
  </si>
  <si>
    <t>Utah General Rate Case</t>
  </si>
  <si>
    <t>EBA Base Detail and Allocator by Rate Schedule</t>
  </si>
  <si>
    <t>Twelve Months Ending December 2021</t>
  </si>
  <si>
    <t>General</t>
  </si>
  <si>
    <t>Street &amp; Area</t>
  </si>
  <si>
    <t>Traffic</t>
  </si>
  <si>
    <t>Outdoor</t>
  </si>
  <si>
    <t>FERC</t>
  </si>
  <si>
    <t>Allocation</t>
  </si>
  <si>
    <t>COS</t>
  </si>
  <si>
    <t>Utah</t>
  </si>
  <si>
    <t>Large Dist.</t>
  </si>
  <si>
    <t>+1 MW</t>
  </si>
  <si>
    <t>Lighting</t>
  </si>
  <si>
    <t>Trans</t>
  </si>
  <si>
    <t>Signals</t>
  </si>
  <si>
    <t>Small Dist.</t>
  </si>
  <si>
    <t>Industrial</t>
  </si>
  <si>
    <t>Cost Item</t>
  </si>
  <si>
    <t>Account</t>
  </si>
  <si>
    <t>Factor</t>
  </si>
  <si>
    <t>Allocated</t>
  </si>
  <si>
    <t>Sch 1</t>
  </si>
  <si>
    <t>Sch 6</t>
  </si>
  <si>
    <t>Sch 8</t>
  </si>
  <si>
    <t>Sch. 7,11,12</t>
  </si>
  <si>
    <t>Sch 9</t>
  </si>
  <si>
    <t>Sch 10</t>
  </si>
  <si>
    <t>Sch 15</t>
  </si>
  <si>
    <t>Sch 23</t>
  </si>
  <si>
    <t>Cust 1</t>
  </si>
  <si>
    <t>Cust 2</t>
  </si>
  <si>
    <t>Net Power Cost</t>
  </si>
  <si>
    <t>Sales for Resale</t>
  </si>
  <si>
    <t>SG</t>
  </si>
  <si>
    <t>F10</t>
  </si>
  <si>
    <t>SE</t>
  </si>
  <si>
    <t>F30</t>
  </si>
  <si>
    <t>Fuel Expense</t>
  </si>
  <si>
    <t>S</t>
  </si>
  <si>
    <t>Purchased Power</t>
  </si>
  <si>
    <t>Wheeling Expense</t>
  </si>
  <si>
    <t>Subtotal Net Power Cost</t>
  </si>
  <si>
    <t>Utah Situs Purchased Power Adj.</t>
  </si>
  <si>
    <t>Total Net Power Cost</t>
  </si>
  <si>
    <t>Revenues from Transmission of Electricity by Others</t>
  </si>
  <si>
    <t>Other Electric Revenue</t>
  </si>
  <si>
    <t>Total</t>
  </si>
  <si>
    <t>Production Tax Credits</t>
  </si>
  <si>
    <t>Tax Bump Up</t>
  </si>
  <si>
    <t>Total Base EBA Cost for Allocation</t>
  </si>
  <si>
    <t>2020 GRC Cost Factor</t>
  </si>
  <si>
    <t>Rocky Mountain Power - State of Utah</t>
  </si>
  <si>
    <t>Blocking Based on Adjusted Actuals and Forecasted Loads</t>
  </si>
  <si>
    <t>Forecasted</t>
  </si>
  <si>
    <t>Revenue</t>
  </si>
  <si>
    <t>Present EBA</t>
  </si>
  <si>
    <t>Proposed EBA</t>
  </si>
  <si>
    <t>Units</t>
  </si>
  <si>
    <t>Price</t>
  </si>
  <si>
    <t>Dollars</t>
  </si>
  <si>
    <t>Schedule No. 1- Residential Service</t>
  </si>
  <si>
    <t>Rounding</t>
  </si>
  <si>
    <t xml:space="preserve">  Total Customer</t>
  </si>
  <si>
    <t xml:space="preserve">  Customer Charge - 1 Phase</t>
  </si>
  <si>
    <t xml:space="preserve">      Single Family</t>
  </si>
  <si>
    <t>Res 1, 2, 2E, 3</t>
  </si>
  <si>
    <t xml:space="preserve">      Multi Family</t>
  </si>
  <si>
    <t>In Rate</t>
  </si>
  <si>
    <t xml:space="preserve">  Customer Charge - 3 Phase</t>
  </si>
  <si>
    <t>Target</t>
  </si>
  <si>
    <t>D</t>
  </si>
  <si>
    <t>Target Change</t>
  </si>
  <si>
    <t xml:space="preserve">  Aggregate Charge</t>
  </si>
  <si>
    <t xml:space="preserve">  Non-Standard Meter Reading Fee</t>
  </si>
  <si>
    <t xml:space="preserve">  On-Peak kWh (Jun - Sept)</t>
  </si>
  <si>
    <t>¢</t>
  </si>
  <si>
    <t xml:space="preserve">  Off-Peak kWh (Jun - Sept)</t>
  </si>
  <si>
    <t xml:space="preserve">  First 400 kWh (Jun-Sept)</t>
  </si>
  <si>
    <t xml:space="preserve">  Next 600 kWh (Jun-Sept)</t>
  </si>
  <si>
    <t xml:space="preserve">  All add'l kWh (Jun-Sept)</t>
  </si>
  <si>
    <t xml:space="preserve">  First 400 kWh (Oct-May)</t>
  </si>
  <si>
    <t xml:space="preserve">  All add'l kWh (Oct-May)</t>
  </si>
  <si>
    <t xml:space="preserve">  Subscriber Solar kWh</t>
  </si>
  <si>
    <t xml:space="preserve">  Subscriber Solar kWh Adj</t>
  </si>
  <si>
    <t xml:space="preserve">  Total</t>
  </si>
  <si>
    <t>Schedule No. 2 - Residential Service - Optional Time-of-Day</t>
  </si>
  <si>
    <t>Schedule No. 2E - Electric Vehicle Time-of-Use Pilot Option</t>
  </si>
  <si>
    <t>Rate Option 1</t>
  </si>
  <si>
    <t xml:space="preserve">  On-Peak kWh</t>
  </si>
  <si>
    <t xml:space="preserve">  Off-Peak kWh</t>
  </si>
  <si>
    <t>Rate Option 2</t>
  </si>
  <si>
    <t>Subscriber Solar kWh</t>
  </si>
  <si>
    <t>Schedule No. 3- Residential Service - Low Income Lifeline Program</t>
  </si>
  <si>
    <t>Schedule No. 135 - Residential Service - Net Metering</t>
  </si>
  <si>
    <t>Schedule No. 136 - Residential Service - Net Metering</t>
  </si>
  <si>
    <t>Schedule No. 6 - Composite</t>
  </si>
  <si>
    <t xml:space="preserve">  Customer Charge</t>
  </si>
  <si>
    <t xml:space="preserve">  Seasonal Service</t>
  </si>
  <si>
    <t xml:space="preserve">  Minimum Charge</t>
  </si>
  <si>
    <t xml:space="preserve">  Facilities kW</t>
  </si>
  <si>
    <t xml:space="preserve">  All kW (Jun - Sept)</t>
  </si>
  <si>
    <t xml:space="preserve">  All kW (Oct - May)</t>
  </si>
  <si>
    <t xml:space="preserve">  kWh (Jun-Sept)</t>
  </si>
  <si>
    <t>Goal seek: R138=0 by changing R140</t>
  </si>
  <si>
    <t xml:space="preserve">  kWh (Oct-May)</t>
  </si>
  <si>
    <t xml:space="preserve">  Voltage Discount</t>
  </si>
  <si>
    <t>Schedule No. 6-135 - Net Metering - Composite</t>
  </si>
  <si>
    <t>Schedule No. 6-136 - Net Metering - Composite</t>
  </si>
  <si>
    <t>Schedule No. 6B - Demand Time-of-Day Option - Composite</t>
  </si>
  <si>
    <t xml:space="preserve">  All on-peak kW (Jun - Sept)</t>
  </si>
  <si>
    <t xml:space="preserve">  All on-peak kW (Oct - May)</t>
  </si>
  <si>
    <t>Schedule 6 moving to 6A - Composite</t>
  </si>
  <si>
    <t xml:space="preserve">  All kWh under 50 kWh/kW (Jun-Sept)</t>
  </si>
  <si>
    <t xml:space="preserve">  All additional kWh (Jun-Sept)</t>
  </si>
  <si>
    <t xml:space="preserve">  All kWh under 50 kWh/kW (Oct-May)</t>
  </si>
  <si>
    <t xml:space="preserve">  All additional (Oct-May)</t>
  </si>
  <si>
    <t xml:space="preserve">  On-Pk kWh (Jun-Sept)</t>
  </si>
  <si>
    <t xml:space="preserve">  Off-Pk kWh (Jun-Sept)</t>
  </si>
  <si>
    <t xml:space="preserve">  On-Pk kWh (Oct-May)</t>
  </si>
  <si>
    <t xml:space="preserve">  Off-Pk kWh (Oct-May)</t>
  </si>
  <si>
    <t xml:space="preserve">  Schedule 6A</t>
  </si>
  <si>
    <t>Schedule 6-135 moving to 6A - Net Metering - Composite</t>
  </si>
  <si>
    <t>Schedule 6-136 moving to 6A - Net Metering - Commercial</t>
  </si>
  <si>
    <t>Schedule 6B moving to 6A - Composite</t>
  </si>
  <si>
    <t>Schedule No. 6A - Energy Time-of-Day Option - Composite</t>
  </si>
  <si>
    <t>SCH 6A</t>
  </si>
  <si>
    <t>Schedule No. 6A-135 - Composite</t>
  </si>
  <si>
    <t>Schedule No. 7 - Security Area Lighting - Composite</t>
  </si>
  <si>
    <t>Sch 7, 11, 12,</t>
  </si>
  <si>
    <t>Level 1 (0-5,500 LED Equivalent Lumens)</t>
  </si>
  <si>
    <t>Level 2 (5,501-12,000 LED Equivalent Lumens)</t>
  </si>
  <si>
    <t>Level 3 (12,001 and Greater LED Equivalent Lumens)</t>
  </si>
  <si>
    <t>Total (kWh)</t>
  </si>
  <si>
    <t>Schedule No. 8 - Composite</t>
  </si>
  <si>
    <t>SCH 8</t>
  </si>
  <si>
    <t xml:space="preserve">  On-Peak kW (Jun - Sept)</t>
  </si>
  <si>
    <t xml:space="preserve">  On-Peak kW (Oct - May)</t>
  </si>
  <si>
    <t xml:space="preserve">  On-Peak kWh (Oct - May)</t>
  </si>
  <si>
    <t xml:space="preserve">  Off-Peak kWh (Oct - May)</t>
  </si>
  <si>
    <t>Schedule No. 8-135 - Commercial</t>
  </si>
  <si>
    <t>Schedule No. 9 - Composite</t>
  </si>
  <si>
    <t>Sch9</t>
  </si>
  <si>
    <t>Schedule No. 9A - Energy TOD - Composite</t>
  </si>
  <si>
    <t xml:space="preserve">  Facilities Charge per kW</t>
  </si>
  <si>
    <t>Schedule No. 10 - Irrigation</t>
  </si>
  <si>
    <t xml:space="preserve">  Annual Cust. Serv. Chg. - Primary</t>
  </si>
  <si>
    <t xml:space="preserve">  Annual Cust. Serv. Chg. - Secondary</t>
  </si>
  <si>
    <t xml:space="preserve">  Monthly Cust. Serv. Chg.</t>
  </si>
  <si>
    <t xml:space="preserve">  All On-Season kW</t>
  </si>
  <si>
    <t xml:space="preserve">  First 30,000 kWh</t>
  </si>
  <si>
    <t xml:space="preserve">  All add'l kWh</t>
  </si>
  <si>
    <t>Total On Season</t>
  </si>
  <si>
    <t xml:space="preserve">  Post Season</t>
  </si>
  <si>
    <t xml:space="preserve">   Customer Charge</t>
  </si>
  <si>
    <t xml:space="preserve">   kWh</t>
  </si>
  <si>
    <t>Total Post Season</t>
  </si>
  <si>
    <t>TOTAL RATE 10</t>
  </si>
  <si>
    <t>Schedule No. 10-135 - Irrigation</t>
  </si>
  <si>
    <t>TOTAL RATE 10-135</t>
  </si>
  <si>
    <t>Schedule No. 10-TOD</t>
  </si>
  <si>
    <t xml:space="preserve">   Monthly Cust. Serv. Chg.</t>
  </si>
  <si>
    <t xml:space="preserve">  Voltage Discount kW</t>
  </si>
  <si>
    <t>TOTAL RATE 10-TOD</t>
  </si>
  <si>
    <t xml:space="preserve"> </t>
  </si>
  <si>
    <t>Schedule No. 11 - Street Lighting - Company-Owned System</t>
  </si>
  <si>
    <t>Functional Lighting</t>
  </si>
  <si>
    <t>Level 1 (0-3,500 LED Equivalent Lumens)</t>
  </si>
  <si>
    <t>Level 2 (3,501-5,500 LED Equivalent Lumens)</t>
  </si>
  <si>
    <t>Level 3 (5,501-8,000 LED Equivalent Lumens)</t>
  </si>
  <si>
    <t>Level 4 (8,001-12,000 LED Equivalent Lumens)</t>
  </si>
  <si>
    <t>Level 5 (12,001-15,500 LED Equivalent Lumens)</t>
  </si>
  <si>
    <t>Level 6 (15,501 and Greater LED Equivalent Lumens)</t>
  </si>
  <si>
    <t>Decorative Series</t>
  </si>
  <si>
    <t>Customer-Funded Conversion</t>
  </si>
  <si>
    <t>Customer-Funded Conversion Decorative Series</t>
  </si>
  <si>
    <t>Schedule No. 12 - Street Lighting - Customer-Owned System</t>
  </si>
  <si>
    <t xml:space="preserve">  1. Energy Only, No Maintenance</t>
  </si>
  <si>
    <t xml:space="preserve">  High Pressures Sodium Vapor Lamps</t>
  </si>
  <si>
    <t xml:space="preserve">   5,600 Lumen</t>
  </si>
  <si>
    <t xml:space="preserve">   9,500 Lumen</t>
  </si>
  <si>
    <t xml:space="preserve">   16,000 Lumen</t>
  </si>
  <si>
    <t xml:space="preserve">   27,500 Lumen</t>
  </si>
  <si>
    <t xml:space="preserve">   50,000 Lumen</t>
  </si>
  <si>
    <t xml:space="preserve">  Metal Halide Lamps</t>
  </si>
  <si>
    <t xml:space="preserve">   9,000 Lumen</t>
  </si>
  <si>
    <t xml:space="preserve">   12,000 Lumen</t>
  </si>
  <si>
    <t xml:space="preserve">   19,500 Lumen</t>
  </si>
  <si>
    <t xml:space="preserve">   32,000 Lumen</t>
  </si>
  <si>
    <t xml:space="preserve">  Non-listed Luminaries kWh</t>
  </si>
  <si>
    <t>2a - Partial Maintenance (No New Service)</t>
  </si>
  <si>
    <t xml:space="preserve">  Incandescent Lamps</t>
  </si>
  <si>
    <t xml:space="preserve">   2,500 Lumen or Less</t>
  </si>
  <si>
    <t xml:space="preserve">   4,000 Lumen</t>
  </si>
  <si>
    <t xml:space="preserve">  Mercury Vapor Lamps</t>
  </si>
  <si>
    <t xml:space="preserve">   7,000 Lumen</t>
  </si>
  <si>
    <t xml:space="preserve">   20,000 Lumen</t>
  </si>
  <si>
    <t xml:space="preserve">   54,000 Lumen</t>
  </si>
  <si>
    <t xml:space="preserve">  High Pressure Sodium Vapor Lamps</t>
  </si>
  <si>
    <t xml:space="preserve">   9,500 Lumen - Decorative</t>
  </si>
  <si>
    <t xml:space="preserve">   16,000 Lumen - Decorative</t>
  </si>
  <si>
    <t xml:space="preserve">   22,000 Lumen </t>
  </si>
  <si>
    <t xml:space="preserve">   27,500 Lumen - Decorative</t>
  </si>
  <si>
    <t xml:space="preserve">   50,000 Lumen - Decorative</t>
  </si>
  <si>
    <t xml:space="preserve">   9,000 Lumen - Decorative</t>
  </si>
  <si>
    <t xml:space="preserve">   12,000 Lumen - Decorative</t>
  </si>
  <si>
    <t xml:space="preserve">   19,500 Lumen - Decorative</t>
  </si>
  <si>
    <t xml:space="preserve">   32,000 Lumen - Decorative</t>
  </si>
  <si>
    <t xml:space="preserve">  Fluorescent Lamps</t>
  </si>
  <si>
    <t xml:space="preserve">   1,000 Lumen</t>
  </si>
  <si>
    <t xml:space="preserve">   21,800 Lumen</t>
  </si>
  <si>
    <t>2b - Full Maintenance (No New Service)</t>
  </si>
  <si>
    <t xml:space="preserve">   6,000 Lumen</t>
  </si>
  <si>
    <t xml:space="preserve">   10,000 Lumen</t>
  </si>
  <si>
    <t xml:space="preserve">  Sodium Vapor Lamps</t>
  </si>
  <si>
    <t xml:space="preserve">   22,000 Lumen</t>
  </si>
  <si>
    <t xml:space="preserve">   107,000 Lumen </t>
  </si>
  <si>
    <t>Schedule 15.1 - Metered Outdoor Nighttime Lighting - Composite</t>
  </si>
  <si>
    <t xml:space="preserve"> Annual Facility Charge</t>
  </si>
  <si>
    <t xml:space="preserve"> Annual Customer Charge</t>
  </si>
  <si>
    <t xml:space="preserve"> Annual Minimum Charge</t>
  </si>
  <si>
    <t xml:space="preserve"> Monthly Customer Charge</t>
  </si>
  <si>
    <t xml:space="preserve"> All kWh</t>
  </si>
  <si>
    <t>Schedule 15.2 - Traffic Signal Systems - Composite</t>
  </si>
  <si>
    <t xml:space="preserve"> Customer Charge</t>
  </si>
  <si>
    <t>Schedule No. 21 - Electric Furnace Operations - Limited Service - Industrial</t>
  </si>
  <si>
    <t>Schedule 6A</t>
  </si>
  <si>
    <t>Schedule 9</t>
  </si>
  <si>
    <t>Schedule No.22 - Indoor Agricultural Lighting Service – 1,000 kW and Over</t>
  </si>
  <si>
    <t>Customer Service Charge</t>
  </si>
  <si>
    <t xml:space="preserve">     Secondary</t>
  </si>
  <si>
    <t xml:space="preserve">     Primary</t>
  </si>
  <si>
    <t xml:space="preserve">     Transmission</t>
  </si>
  <si>
    <t>Facilities Charge All kW</t>
  </si>
  <si>
    <t>Power Charge</t>
  </si>
  <si>
    <t xml:space="preserve">         Summer-On Peak kW</t>
  </si>
  <si>
    <t xml:space="preserve">         Winter-On Peak kW</t>
  </si>
  <si>
    <t xml:space="preserve">    Transmission</t>
  </si>
  <si>
    <t>Energy Charge</t>
  </si>
  <si>
    <t xml:space="preserve">         Summer-On Peak kWh</t>
  </si>
  <si>
    <t xml:space="preserve">         Summer-Off Peak kWh</t>
  </si>
  <si>
    <t xml:space="preserve">         Winter-On Peak kWh</t>
  </si>
  <si>
    <t xml:space="preserve">         Winter-Off Peak kWh</t>
  </si>
  <si>
    <t>Schedule No. 23 - Composite</t>
  </si>
  <si>
    <t xml:space="preserve">  kW over 15 (Jun - Sept)</t>
  </si>
  <si>
    <t xml:space="preserve">  kW over 15 (Oct - May)</t>
  </si>
  <si>
    <t xml:space="preserve">  First 1,500 kWh (Jun - Sept)</t>
  </si>
  <si>
    <t xml:space="preserve">  All Add'l kWh (Jun - Sept)</t>
  </si>
  <si>
    <t xml:space="preserve">  First 1,500 kWh (Oct - May)</t>
  </si>
  <si>
    <t xml:space="preserve">  All Add'l kWh (Oct - May)</t>
  </si>
  <si>
    <t>Schedule No. 23-135 - Composite</t>
  </si>
  <si>
    <t>Schedule No. 23-136 - Composite</t>
  </si>
  <si>
    <t>Schedule No.31 - Composite</t>
  </si>
  <si>
    <t>Secondary Voltage</t>
  </si>
  <si>
    <t xml:space="preserve">     Customer Charge per month</t>
  </si>
  <si>
    <t xml:space="preserve">     Facilities Charge, per kW month</t>
  </si>
  <si>
    <t xml:space="preserve">     Back-up Power Charge</t>
  </si>
  <si>
    <t xml:space="preserve">         Regular, per On-Peak kW day</t>
  </si>
  <si>
    <t xml:space="preserve">              Jun - Sept</t>
  </si>
  <si>
    <t xml:space="preserve">              Oct - May</t>
  </si>
  <si>
    <t xml:space="preserve">         Maintenance, per On-Peak kW day</t>
  </si>
  <si>
    <t xml:space="preserve">     Excess Power, per kW month</t>
  </si>
  <si>
    <t>Primary Voltage</t>
  </si>
  <si>
    <t>Transmission Voltage</t>
  </si>
  <si>
    <t xml:space="preserve">  Subtotal</t>
  </si>
  <si>
    <t>Supplemental billed at Schedule 8/9 rate</t>
  </si>
  <si>
    <t xml:space="preserve">  Schedule 8</t>
  </si>
  <si>
    <t xml:space="preserve">  Schedule 9</t>
  </si>
  <si>
    <t xml:space="preserve">  Total (Aggregated)</t>
  </si>
  <si>
    <t>Schedule 32 - Service From Renewable Energy Facilities - Commercial</t>
  </si>
  <si>
    <t>Customer Charges:</t>
  </si>
  <si>
    <t xml:space="preserve">    Distribution Voltage &lt; 1 MW </t>
  </si>
  <si>
    <t xml:space="preserve">    Distribution Voltage &gt; 1 MW </t>
  </si>
  <si>
    <t xml:space="preserve">    Transmission Voltage </t>
  </si>
  <si>
    <t>Administrative Fee:</t>
  </si>
  <si>
    <t xml:space="preserve">    All Voltages / per Generator</t>
  </si>
  <si>
    <t xml:space="preserve">    All Voltages / per Delivery Point</t>
  </si>
  <si>
    <t>Delivery Facilities Charges:</t>
  </si>
  <si>
    <t xml:space="preserve">    Secondary Voltage &lt; 1 MW </t>
  </si>
  <si>
    <t xml:space="preserve">    Primary Voltage &lt; 1 MW </t>
  </si>
  <si>
    <t xml:space="preserve">    Secondary Voltage &gt; 1 MW </t>
  </si>
  <si>
    <t xml:space="preserve">    Primary Voltage &gt; 1 MW </t>
  </si>
  <si>
    <t>Daily Power Charges:</t>
  </si>
  <si>
    <t xml:space="preserve">    On-Peak Secondary Voltage &lt; 1 MW</t>
  </si>
  <si>
    <t xml:space="preserve">        June - September: </t>
  </si>
  <si>
    <t xml:space="preserve">        October - May: </t>
  </si>
  <si>
    <t xml:space="preserve">    On-Peak Primary Voltage &lt; 1 MW</t>
  </si>
  <si>
    <t xml:space="preserve">    On-Peak Secondary Voltage &gt; 1 MW</t>
  </si>
  <si>
    <t xml:space="preserve">    On-Peak Primary Voltage &gt; 1 MW</t>
  </si>
  <si>
    <t xml:space="preserve">    On-Peak Transmission Voltage</t>
  </si>
  <si>
    <t>Renewable Energy PPA</t>
  </si>
  <si>
    <t>Schedule 34 - Renewable Energy Purchases for Qualified Customers – 5,000 kW and Over - Commercial</t>
  </si>
  <si>
    <t>Customer Charge</t>
  </si>
  <si>
    <t xml:space="preserve">  Total </t>
  </si>
  <si>
    <t xml:space="preserve">  Monthly Fixed Charge</t>
  </si>
  <si>
    <t xml:space="preserve">  Customer Charge per HLH kW</t>
  </si>
  <si>
    <t xml:space="preserve">  Demand Charge per HLH kW (May - Sept)</t>
  </si>
  <si>
    <t xml:space="preserve">  Demand Charge per HLH kW  (Oct - Apr)</t>
  </si>
  <si>
    <t xml:space="preserve">  kWh HLH (May - Sept)</t>
  </si>
  <si>
    <t xml:space="preserve">  kWh LLH (May - Sept)</t>
  </si>
  <si>
    <t xml:space="preserve">  kWh HLH (Oct - Apr)</t>
  </si>
  <si>
    <t xml:space="preserve">  kWh LLH (Oct - Apr)</t>
  </si>
  <si>
    <t xml:space="preserve">  On-Peak kWh (May-Sept)</t>
  </si>
  <si>
    <t xml:space="preserve">  On-Peak kWh (Oct-Apr)</t>
  </si>
  <si>
    <t xml:space="preserve">  Off-Peak kWh (May - Sept)</t>
  </si>
  <si>
    <t xml:space="preserve">  Off-Peak kWh (Oct-Apr)</t>
  </si>
  <si>
    <t>Block 1</t>
  </si>
  <si>
    <t>Block 2 - Market</t>
  </si>
  <si>
    <t>Block 2 - Index</t>
  </si>
  <si>
    <t>Lighting Contract - Post Top Lighting - Composite</t>
  </si>
  <si>
    <t>Energy Only Res</t>
  </si>
  <si>
    <t>Energy Only Non-Res</t>
  </si>
  <si>
    <t xml:space="preserve">  Subtotal </t>
  </si>
  <si>
    <t>Annual Guarantee Adjustment</t>
  </si>
  <si>
    <t xml:space="preserve"> Residential</t>
  </si>
  <si>
    <t xml:space="preserve"> Commercial</t>
  </si>
  <si>
    <t xml:space="preserve"> Industrial</t>
  </si>
  <si>
    <t xml:space="preserve"> Irrigation</t>
  </si>
  <si>
    <t xml:space="preserve"> Public Street &amp; Highway Lighting</t>
  </si>
  <si>
    <t xml:space="preserve">  Total AGA</t>
  </si>
  <si>
    <t>TOTAL - ALL CLASSES</t>
  </si>
  <si>
    <t>EBA Price Comparison</t>
  </si>
  <si>
    <t>EBA Price</t>
  </si>
  <si>
    <t>Schedule</t>
  </si>
  <si>
    <t>Present</t>
  </si>
  <si>
    <t>Proposed</t>
  </si>
  <si>
    <t>% Change</t>
  </si>
  <si>
    <t>2E</t>
  </si>
  <si>
    <t>15T</t>
  </si>
  <si>
    <t>15M</t>
  </si>
  <si>
    <t>*</t>
  </si>
  <si>
    <t>*The rate for Schedules 31 and 32 shall be the same</t>
  </si>
  <si>
    <t xml:space="preserve"> as the applicable general service schedule.</t>
  </si>
  <si>
    <t>Monthly Billing Comparison</t>
  </si>
  <si>
    <t>Schedule 1 - State of Utah</t>
  </si>
  <si>
    <t>Residential Service - Single Family</t>
  </si>
  <si>
    <t>Summer</t>
  </si>
  <si>
    <t>Winter</t>
  </si>
  <si>
    <r>
      <t>Monthly Billing</t>
    </r>
    <r>
      <rPr>
        <vertAlign val="superscript"/>
        <sz val="10"/>
        <rFont val="Times New Roman"/>
        <family val="1"/>
      </rPr>
      <t>1</t>
    </r>
  </si>
  <si>
    <t>$</t>
  </si>
  <si>
    <t>Monthly Average</t>
  </si>
  <si>
    <t>Basic</t>
  </si>
  <si>
    <t>kWh1</t>
  </si>
  <si>
    <t>kWh2</t>
  </si>
  <si>
    <t>Annual</t>
  </si>
  <si>
    <t>HELP</t>
  </si>
  <si>
    <t>w</t>
  </si>
  <si>
    <t>DSM&amp;EVIP&amp;STEP</t>
  </si>
  <si>
    <t>a</t>
  </si>
  <si>
    <t>s</t>
  </si>
  <si>
    <t>DSM&amp;EVIP</t>
  </si>
  <si>
    <t>Sch 196 STEP</t>
  </si>
  <si>
    <t>Sch 198 EVIP</t>
  </si>
  <si>
    <t>Sch 193 DSM</t>
  </si>
  <si>
    <t>Sch 94 EBA</t>
  </si>
  <si>
    <t>Sch 98 REC</t>
  </si>
  <si>
    <t>Net (EBA+REC)</t>
  </si>
  <si>
    <r>
      <t>1</t>
    </r>
    <r>
      <rPr>
        <sz val="10"/>
        <rFont val="Times New Roman"/>
        <family val="1"/>
      </rPr>
      <t xml:space="preserve">  Including HELP, DSM, EBA, RBA and EVIP.</t>
    </r>
  </si>
  <si>
    <t>w: Winter average usage; a:  Annual average usage; s: Summer average usage.</t>
  </si>
  <si>
    <t>Exhibit RMP___(JP-1)</t>
  </si>
  <si>
    <t>Calendar Year 2024 EBA Deferral</t>
  </si>
  <si>
    <t>Reference</t>
  </si>
  <si>
    <t>Actual EBA ($/MWh)</t>
  </si>
  <si>
    <t>Line 6</t>
  </si>
  <si>
    <t>Base EBA ($/MWh)</t>
  </si>
  <si>
    <t>Line 12</t>
  </si>
  <si>
    <t>$/MWh Differential</t>
  </si>
  <si>
    <t>Utah Sales (MWh)</t>
  </si>
  <si>
    <t>Line 5</t>
  </si>
  <si>
    <t>EBA Deferrable*</t>
  </si>
  <si>
    <t>Line 14</t>
  </si>
  <si>
    <t>Special Contract Customer Adjustment*</t>
  </si>
  <si>
    <t>Line 17</t>
  </si>
  <si>
    <t>Utah Situs Resource Adjustment*</t>
  </si>
  <si>
    <t>Line 18</t>
  </si>
  <si>
    <t>Total Deferrable</t>
  </si>
  <si>
    <t>Line 19</t>
  </si>
  <si>
    <t>2023 EBA Collection True-Up</t>
  </si>
  <si>
    <t>Line 25</t>
  </si>
  <si>
    <t>2024 EBA Final Order Adjustment</t>
  </si>
  <si>
    <t>Line 26</t>
  </si>
  <si>
    <t>Interest Accrued through December 31, 2024</t>
  </si>
  <si>
    <t>Line 27</t>
  </si>
  <si>
    <t>Interest Accrued January 1, 2025 through March 31, 2025</t>
  </si>
  <si>
    <t>Line 29</t>
  </si>
  <si>
    <t>Interest Accrued April 1, 2025 through June 30, 2025</t>
  </si>
  <si>
    <t>Line 30</t>
  </si>
  <si>
    <t>Interest Accrued through Rate Effective Period July 1, 2025 through June 30, 2026</t>
  </si>
  <si>
    <t>Line 31</t>
  </si>
  <si>
    <t>EVIP Revenue</t>
  </si>
  <si>
    <t>Line 24</t>
  </si>
  <si>
    <t>2023 PTC Update</t>
  </si>
  <si>
    <t>Line 23</t>
  </si>
  <si>
    <t>Requested EBA Recovery</t>
  </si>
  <si>
    <t>Line 32</t>
  </si>
  <si>
    <t>* Calculated monthly</t>
  </si>
  <si>
    <t>Utah Allocated Actual NPC</t>
  </si>
  <si>
    <t>Utah Allocated Base NPC</t>
  </si>
  <si>
    <t>NPC Variance</t>
  </si>
  <si>
    <t>Utah Allocated Actual Wheeling Revenue</t>
  </si>
  <si>
    <t>Utah Allocated Base Wheeling Revenue</t>
  </si>
  <si>
    <t>Wheeling Revenue Variance</t>
  </si>
  <si>
    <t>Utah Allocated Actual PTC</t>
  </si>
  <si>
    <t>Utah Allocated Base PTC</t>
  </si>
  <si>
    <t>PTC Variance</t>
  </si>
  <si>
    <t>Actual Utah Sales (MWh)</t>
  </si>
  <si>
    <t>Base Utah Sales</t>
  </si>
  <si>
    <t>Sales Variance</t>
  </si>
  <si>
    <t>Base NPC Collection Variance</t>
  </si>
  <si>
    <t>Combined Impact on Total Deferrable EBA</t>
  </si>
  <si>
    <t>EBA Deferrable</t>
  </si>
  <si>
    <t>Special Contract Customer Adjustment</t>
  </si>
  <si>
    <t>Utah Situs Resource Adjustment</t>
  </si>
  <si>
    <t>Interest Accrued January 1, 2025 through March 31, 20254</t>
  </si>
  <si>
    <t>Comparison of Estimated Effect of Proposed Changes</t>
  </si>
  <si>
    <t>Revised Methodology less Methodology Used for Interim Rates</t>
  </si>
  <si>
    <t>EBA Base Detail</t>
  </si>
  <si>
    <t>Category</t>
  </si>
  <si>
    <t>Company</t>
  </si>
  <si>
    <t>Utah Share</t>
  </si>
  <si>
    <t>Final GRID Study</t>
  </si>
  <si>
    <t>Total Net Power Costs:</t>
  </si>
  <si>
    <t>Utah Situs Purchased Power Adjustments</t>
  </si>
  <si>
    <t>Exhibit RMP__(SRM-2R), Page 2.1</t>
  </si>
  <si>
    <t>Exhibit RMP__(SRM-3), Tab B-1, Exhibit RMP__(SRM_2R), Page 10.1</t>
  </si>
  <si>
    <t>Exhibit RMP__(SRM-3), Tab B-1</t>
  </si>
  <si>
    <t>Total Revenues from Transmission of Electrcity by Others:</t>
  </si>
  <si>
    <t>Exhibit RMP__(SRM-2R), Page 2.18</t>
  </si>
  <si>
    <t>Total Production Tax Credits:</t>
  </si>
  <si>
    <t>Total EBA Base:</t>
  </si>
  <si>
    <t>Federal/State Combined Tax Rate</t>
  </si>
  <si>
    <t>Exhibit RMP__(SRM-2R), Page 2.0</t>
  </si>
  <si>
    <t>Tax Bump up factor = (1/(1-tax rate))</t>
  </si>
  <si>
    <t>Exhibit RMP__(SRM-2), Page 2.1</t>
  </si>
  <si>
    <t>Net to Gross Bump up factor = (1/(1-tax rate))</t>
  </si>
  <si>
    <t>Factor Table COS</t>
  </si>
  <si>
    <t>Cost Of Service By Rate Schedule - COS Factor Summary</t>
  </si>
  <si>
    <t>State of Utah</t>
  </si>
  <si>
    <t>2020 Protocol (Non Wgt)</t>
  </si>
  <si>
    <t>12 Months Ended Dec 2021</t>
  </si>
  <si>
    <t>Class Allocation Factors</t>
  </si>
  <si>
    <t>A</t>
  </si>
  <si>
    <t>B</t>
  </si>
  <si>
    <t>C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</si>
  <si>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</si>
  <si>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</si>
  <si>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</si>
  <si>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</si>
  <si>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</si>
  <si>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</si>
  <si>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</si>
  <si>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</si>
  <si>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</si>
  <si>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</si>
  <si>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</si>
  <si>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</si>
  <si>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Dmd</t>
  </si>
  <si>
    <t>Eng</t>
  </si>
  <si>
    <t xml:space="preserve">DESCRIPTION </t>
  </si>
  <si>
    <t>Split</t>
  </si>
  <si>
    <t>Residential
Sch 1</t>
  </si>
  <si>
    <t>General
Large Dist.
Sch 6</t>
  </si>
  <si>
    <t>General
+1 MW
Sch 8</t>
  </si>
  <si>
    <t>Street &amp; Area
Lighting
Sch. 7,11,12</t>
  </si>
  <si>
    <t>General
Trans
Sch 9</t>
  </si>
  <si>
    <t>Irrigation
Sch 10</t>
  </si>
  <si>
    <t>Traffic
Signals
Sch 15</t>
  </si>
  <si>
    <t>Outdoor
Lighting
Sch 15</t>
  </si>
  <si>
    <t>General
Small Dist.
Sch 23</t>
  </si>
  <si>
    <t>Industrial
Cust 1</t>
  </si>
  <si>
    <t>Industrial
Cust 2</t>
  </si>
  <si>
    <t>Direct Assignment</t>
  </si>
  <si>
    <t xml:space="preserve">Coincident Peak, System </t>
  </si>
  <si>
    <t>/</t>
  </si>
  <si>
    <t>F11</t>
  </si>
  <si>
    <t>F12</t>
  </si>
  <si>
    <t>F20</t>
  </si>
  <si>
    <t>12 Weighted Distribution Peaks</t>
  </si>
  <si>
    <t>F21</t>
  </si>
  <si>
    <t>Transformers      - NCP</t>
  </si>
  <si>
    <t>F22</t>
  </si>
  <si>
    <t>Secondary Lines - NCP</t>
  </si>
  <si>
    <t>MWH @ Input</t>
  </si>
  <si>
    <t>F40</t>
  </si>
  <si>
    <t>Average Customers</t>
  </si>
  <si>
    <t>F41</t>
  </si>
  <si>
    <t>Weighted Customers Acct 902</t>
  </si>
  <si>
    <t>F42</t>
  </si>
  <si>
    <t>Weighted Customers Acct 903</t>
  </si>
  <si>
    <t>F43</t>
  </si>
  <si>
    <t>Residential Split</t>
  </si>
  <si>
    <t>F44</t>
  </si>
  <si>
    <t>Commercial Split</t>
  </si>
  <si>
    <t>F45</t>
  </si>
  <si>
    <t>Industrial / Irrigation Split</t>
  </si>
  <si>
    <t>F46</t>
  </si>
  <si>
    <t>Lighting / OSPA  Split</t>
  </si>
  <si>
    <t>F47</t>
  </si>
  <si>
    <t>Wtd Customers Acct 902 - irrigation</t>
  </si>
  <si>
    <t>F48</t>
  </si>
  <si>
    <t>Wtd Customers Acct 903 - irrigation</t>
  </si>
  <si>
    <t>F50</t>
  </si>
  <si>
    <t>Contribution in Aid of Construction</t>
  </si>
  <si>
    <t>F51</t>
  </si>
  <si>
    <t>Security Deposits</t>
  </si>
  <si>
    <t>F60</t>
  </si>
  <si>
    <t>Meters</t>
  </si>
  <si>
    <t>F70</t>
  </si>
  <si>
    <t>Services</t>
  </si>
  <si>
    <t>F80</t>
  </si>
  <si>
    <t>Uncollectables</t>
  </si>
  <si>
    <t>F101</t>
  </si>
  <si>
    <t>Rate Base</t>
  </si>
  <si>
    <t>F101P</t>
  </si>
  <si>
    <t>Generation Rate Base</t>
  </si>
  <si>
    <t>F101T</t>
  </si>
  <si>
    <t>Transmission Rate Base</t>
  </si>
  <si>
    <t>F101D</t>
  </si>
  <si>
    <t>Distribution Rate Base</t>
  </si>
  <si>
    <t>F101R</t>
  </si>
  <si>
    <t>Retail Rate Base</t>
  </si>
  <si>
    <t>F101M</t>
  </si>
  <si>
    <t>Misc Rate Base</t>
  </si>
  <si>
    <t>F102</t>
  </si>
  <si>
    <t>SGP - System Gross Plant</t>
  </si>
  <si>
    <t>F102P</t>
  </si>
  <si>
    <t>SGGP - System Gross Generation Plant</t>
  </si>
  <si>
    <t>F102T</t>
  </si>
  <si>
    <t>SGTP - System Gross Transmission Plant</t>
  </si>
  <si>
    <t>F102D</t>
  </si>
  <si>
    <t>SGDP - System Gross Distribution Plant</t>
  </si>
  <si>
    <t>F102R</t>
  </si>
  <si>
    <t>SGTP - System Gross Retail Plant</t>
  </si>
  <si>
    <t>F102M</t>
  </si>
  <si>
    <t>SGDP - System Gross Misc Plant</t>
  </si>
  <si>
    <t>F103</t>
  </si>
  <si>
    <t>SGP - System Gross Plant (Regulatory fees)</t>
  </si>
  <si>
    <t>F104</t>
  </si>
  <si>
    <t>SNP - System Net Plant</t>
  </si>
  <si>
    <t>F104P</t>
  </si>
  <si>
    <t>SNP - System Net Generation Plant</t>
  </si>
  <si>
    <t>F104T</t>
  </si>
  <si>
    <t>SNP - System Net Transmission Plant</t>
  </si>
  <si>
    <t>F104D</t>
  </si>
  <si>
    <t>SNP - System Net Distribution Plant</t>
  </si>
  <si>
    <t>F104R</t>
  </si>
  <si>
    <t>SNP - System Net Retail Plant</t>
  </si>
  <si>
    <t>F104M</t>
  </si>
  <si>
    <t>SNP - System Net Misc Plant</t>
  </si>
  <si>
    <t>F105</t>
  </si>
  <si>
    <t>STP - System Prod &amp; Trans Plant</t>
  </si>
  <si>
    <t>F105P</t>
  </si>
  <si>
    <t>F105T</t>
  </si>
  <si>
    <t>F105D</t>
  </si>
  <si>
    <t>F105R</t>
  </si>
  <si>
    <t>F105M</t>
  </si>
  <si>
    <t>F106</t>
  </si>
  <si>
    <t>STP - System Transmission Plant</t>
  </si>
  <si>
    <t>F107</t>
  </si>
  <si>
    <t>STP - System Trans &amp; Dist Plant</t>
  </si>
  <si>
    <t>F107P</t>
  </si>
  <si>
    <t>F107T</t>
  </si>
  <si>
    <t>F107D</t>
  </si>
  <si>
    <t>F107R</t>
  </si>
  <si>
    <t>F107M</t>
  </si>
  <si>
    <t>F108</t>
  </si>
  <si>
    <t>SGP - System General Plant</t>
  </si>
  <si>
    <t>F108P</t>
  </si>
  <si>
    <t>SGGP - System Gen Generation Plant</t>
  </si>
  <si>
    <t>F108T</t>
  </si>
  <si>
    <t>SGTP - System Gen Transmission Plant</t>
  </si>
  <si>
    <t>F108D</t>
  </si>
  <si>
    <t>SGDP - System Gen Distribution Plant</t>
  </si>
  <si>
    <t>F108R</t>
  </si>
  <si>
    <t>SGTP - System Gen Retail Plant</t>
  </si>
  <si>
    <t>F108M</t>
  </si>
  <si>
    <t>SGDP - System Gen Misc Plant</t>
  </si>
  <si>
    <t>F110</t>
  </si>
  <si>
    <t>SIP - System Intangible Plant</t>
  </si>
  <si>
    <t>F118</t>
  </si>
  <si>
    <t>Account 360</t>
  </si>
  <si>
    <t>F119</t>
  </si>
  <si>
    <t>Account 361</t>
  </si>
  <si>
    <t>F120</t>
  </si>
  <si>
    <t>Account 362</t>
  </si>
  <si>
    <t>F121</t>
  </si>
  <si>
    <t>Account 364</t>
  </si>
  <si>
    <t>F122</t>
  </si>
  <si>
    <t>Account 365</t>
  </si>
  <si>
    <t>F123</t>
  </si>
  <si>
    <t>Account 366</t>
  </si>
  <si>
    <t>F124</t>
  </si>
  <si>
    <t>Account 367</t>
  </si>
  <si>
    <t>F125</t>
  </si>
  <si>
    <t>Account 368</t>
  </si>
  <si>
    <t>F126</t>
  </si>
  <si>
    <t>Account 369</t>
  </si>
  <si>
    <t>F127</t>
  </si>
  <si>
    <t>Account 370</t>
  </si>
  <si>
    <t>F128</t>
  </si>
  <si>
    <t>Account 371</t>
  </si>
  <si>
    <t>F129</t>
  </si>
  <si>
    <t>Account 372</t>
  </si>
  <si>
    <t>F130</t>
  </si>
  <si>
    <t>Account 373</t>
  </si>
  <si>
    <t>F131</t>
  </si>
  <si>
    <t>Account 581 thru 587 &amp; 591 thru 597</t>
  </si>
  <si>
    <t>F132</t>
  </si>
  <si>
    <t>Account 364 + 365</t>
  </si>
  <si>
    <t>F133</t>
  </si>
  <si>
    <t>Account 366 + 367</t>
  </si>
  <si>
    <t>F134</t>
  </si>
  <si>
    <t>Account 364 + 365 + 369  (OH)</t>
  </si>
  <si>
    <t>F135</t>
  </si>
  <si>
    <t>Account 366 + 367 + 369  (UG)</t>
  </si>
  <si>
    <t>F136</t>
  </si>
  <si>
    <t>Account 902 + 903 + 904</t>
  </si>
  <si>
    <t>F137</t>
  </si>
  <si>
    <t>Total O &amp; M Expense</t>
  </si>
  <si>
    <t>F137P</t>
  </si>
  <si>
    <t>Generation O &amp; M Exp</t>
  </si>
  <si>
    <t>F137T</t>
  </si>
  <si>
    <t>Transmission O &amp; M Exp</t>
  </si>
  <si>
    <t>F137D</t>
  </si>
  <si>
    <t xml:space="preserve">Distribution O &amp; M Exp </t>
  </si>
  <si>
    <t>F137R</t>
  </si>
  <si>
    <t>Retail O &amp; M Exp  (Customer)</t>
  </si>
  <si>
    <t>F137M</t>
  </si>
  <si>
    <t xml:space="preserve">Misc &amp; Customer O &amp; M Exp </t>
  </si>
  <si>
    <t>F138</t>
  </si>
  <si>
    <t>GTD O&amp;M Exp  (less fuel, purchased p &amp; wheeling)</t>
  </si>
  <si>
    <t>F138P</t>
  </si>
  <si>
    <t xml:space="preserve">Generation O &amp; M Exp (less fuel &amp; purchased power) </t>
  </si>
  <si>
    <t>F138T</t>
  </si>
  <si>
    <t>Transmission O &amp; M Exp - (less wheeling exp)</t>
  </si>
  <si>
    <t>F138D</t>
  </si>
  <si>
    <t>F138R</t>
  </si>
  <si>
    <t>F138M</t>
  </si>
  <si>
    <t>F140</t>
  </si>
  <si>
    <t>Revenue Requirement Before Rev Credits</t>
  </si>
  <si>
    <t>F140P</t>
  </si>
  <si>
    <t>F140T</t>
  </si>
  <si>
    <t>F140D</t>
  </si>
  <si>
    <t>F140R</t>
  </si>
  <si>
    <t>F140M</t>
  </si>
  <si>
    <t>F141</t>
  </si>
  <si>
    <t>Firm Revenues</t>
  </si>
  <si>
    <t>F150</t>
  </si>
  <si>
    <t>Income Before State Taxes</t>
  </si>
  <si>
    <t>F150P</t>
  </si>
  <si>
    <t>F150T</t>
  </si>
  <si>
    <t>F150D</t>
  </si>
  <si>
    <t>F150R</t>
  </si>
  <si>
    <t>F150M</t>
  </si>
  <si>
    <t>F151</t>
  </si>
  <si>
    <t>Depreciation Expense</t>
  </si>
  <si>
    <t>F151P</t>
  </si>
  <si>
    <t>F151T</t>
  </si>
  <si>
    <t>F151D</t>
  </si>
  <si>
    <t>F151R</t>
  </si>
  <si>
    <t>F151M</t>
  </si>
  <si>
    <t>EBA History</t>
  </si>
  <si>
    <t>Effective Date</t>
  </si>
  <si>
    <t>Docket No</t>
  </si>
  <si>
    <t>Deferral Period</t>
  </si>
  <si>
    <t>Total Deferral ($m)</t>
  </si>
  <si>
    <t>Recover Years</t>
  </si>
  <si>
    <t>Amount/Year ($m)</t>
  </si>
  <si>
    <t>Ending Date</t>
  </si>
  <si>
    <t>10-035-124</t>
  </si>
  <si>
    <t>prior to October 2011</t>
  </si>
  <si>
    <t>EBA-1</t>
  </si>
  <si>
    <t>12-035-67</t>
  </si>
  <si>
    <t>October through December 2011</t>
  </si>
  <si>
    <t>EBA-2</t>
  </si>
  <si>
    <t>13-035-32, 13-035-T14</t>
  </si>
  <si>
    <t>January 2012 through December 2012</t>
  </si>
  <si>
    <t>EBA-3</t>
  </si>
  <si>
    <t>14-035-31</t>
  </si>
  <si>
    <t>January 2013 through December 2013</t>
  </si>
  <si>
    <t>EBA-4</t>
  </si>
  <si>
    <t>15-035-03</t>
  </si>
  <si>
    <t>January 2014 through December 2014</t>
  </si>
  <si>
    <t>EBA-5</t>
  </si>
  <si>
    <t>16-035-01</t>
  </si>
  <si>
    <t>January 2015 through December 2015</t>
  </si>
  <si>
    <t>EBA-6</t>
  </si>
  <si>
    <t>17-035-01</t>
  </si>
  <si>
    <t>January 2016 through December 2016</t>
  </si>
  <si>
    <t>EBA-7</t>
  </si>
  <si>
    <t>18-035-01</t>
  </si>
  <si>
    <t>January 2017 through December 2017</t>
  </si>
  <si>
    <t>EBA-8</t>
  </si>
  <si>
    <t>19-035-01</t>
  </si>
  <si>
    <t>January 2018 through December 2018</t>
  </si>
  <si>
    <t>EBA-9</t>
  </si>
  <si>
    <t>20-035-01</t>
  </si>
  <si>
    <t>January 2019 through December 2019</t>
  </si>
  <si>
    <t>EBA-10</t>
  </si>
  <si>
    <t>21-035-01</t>
  </si>
  <si>
    <t>January 2020 through December 2020</t>
  </si>
  <si>
    <t>EBA-11</t>
  </si>
  <si>
    <t>canceled</t>
  </si>
  <si>
    <t>22-035-01</t>
  </si>
  <si>
    <t>January 2021 through December 2021</t>
  </si>
  <si>
    <t>EBA-12</t>
  </si>
  <si>
    <t>23-035-01</t>
  </si>
  <si>
    <t>January 2022 through December 2022</t>
  </si>
  <si>
    <t>EBA-13</t>
  </si>
  <si>
    <t>24-035-01</t>
  </si>
  <si>
    <t>January 2023 through December 2023</t>
  </si>
  <si>
    <t>EBA-14</t>
  </si>
  <si>
    <t>25-035-01</t>
  </si>
  <si>
    <t>January 2024 through December 2024</t>
  </si>
  <si>
    <t>EBA-15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</si>
</sst>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&quot;$&quot;#,##0"/>
    <numFmt numFmtId="166" formatCode="0.0%"/>
    <numFmt numFmtId="167" formatCode="0.0000_);[Red]\(0.0000\)"/>
    <numFmt numFmtId="168" formatCode="0.0000_)"/>
    <numFmt numFmtId="169" formatCode="#,##0.0000"/>
    <numFmt numFmtId="170" formatCode="#,##0.0000_);\(#,##0.0000\)"/>
    <numFmt numFmtId="171" formatCode="_(* #,##0.0000_);_(* \(#,##0.0000\);_(* &quot;-&quot;??_);_(@_)"/>
    <numFmt numFmtId="172" formatCode="_(* #,##0_);_(* \(#,##0\);_(* &quot;-&quot;??_);_(@_)"/>
    <numFmt numFmtId="173" formatCode="0.000%"/>
    <numFmt numFmtId="174" formatCode="0.0"/>
    <numFmt numFmtId="175" formatCode="&quot;$&quot;#,##0.0000_);\(&quot;$&quot;#,##0.0000\)"/>
    <numFmt numFmtId="176" formatCode="_(&quot;$&quot;* #,##0_);_(&quot;$&quot;* \(#,##0\);_(&quot;$&quot;* &quot;-&quot;??_);_(@_)"/>
    <numFmt numFmtId="177" formatCode="&quot;$&quot;#,##0.00"/>
    <numFmt numFmtId="178" formatCode="&quot;$&quot;###0;[Red]\(&quot;$&quot;###0\)"/>
    <numFmt numFmtId="179" formatCode="_(* #,##0.00000_);_(* \(#,##0.00000\);_(* &quot;-&quot;??_);_(@_)"/>
    <numFmt numFmtId="180" formatCode="_-* #,##0\ &quot;F&quot;_-;\-* #,##0\ &quot;F&quot;_-;_-* &quot;-&quot;\ &quot;F&quot;_-;_-@_-"/>
    <numFmt numFmtId="181" formatCode="#,##0.000;[Red]\-#,##0.000"/>
    <numFmt numFmtId="182" formatCode="_(* #,##0_);[Red]_(* \(#,##0\);_(* &quot;-&quot;_);_(@_)"/>
    <numFmt numFmtId="183" formatCode="0.0000"/>
    <numFmt numFmtId="184" formatCode="&quot;$&quot;#,##0.0_);[Red]\(&quot;$&quot;#,##0.0\)"/>
    <numFmt numFmtId="185" formatCode="[$-409]mmmm\ d\,\ yyyy;@"/>
    <numFmt numFmtId="186" formatCode="#,##0;\-#,##0;&quot;-&quot;"/>
    <numFmt numFmtId="187" formatCode="mmmm\ d\,\ yyyy"/>
    <numFmt numFmtId="188" formatCode="########\-###\-###"/>
    <numFmt numFmtId="189" formatCode="#,##0.0_);\(#,##0.0\);\-\ ;"/>
    <numFmt numFmtId="190" formatCode="0.000000"/>
    <numFmt numFmtId="191" formatCode="mmm\ dd\,\ yyyy"/>
    <numFmt numFmtId="192" formatCode="_-* #,##0_-;\-* #,##0_-;_-* &quot;-&quot;_-;_-@_-"/>
    <numFmt numFmtId="193" formatCode="_-* #,##0.00_-;\-* #,##0.00_-;_-* &quot;-&quot;??_-;_-@_-"/>
    <numFmt numFmtId="194" formatCode="_-&quot;$&quot;* #,##0_-;\-&quot;$&quot;* #,##0_-;_-&quot;$&quot;* &quot;-&quot;_-;_-@_-"/>
    <numFmt numFmtId="195" formatCode="_-&quot;$&quot;* #,##0.00_-;\-&quot;$&quot;* #,##0.00_-;_-&quot;$&quot;* &quot;-&quot;??_-;_-@_-"/>
    <numFmt numFmtId="196" formatCode="&quot;$&quot;#,##0.0"/>
    <numFmt numFmtId="197" formatCode="0.00000"/>
    <numFmt numFmtId="198" formatCode="0.0000%"/>
    <numFmt numFmtId="199" formatCode="_(* #,##0.00000000000000_);_(* \(#,##0.00000000000000\);_(* &quot;-&quot;_);_(@_)"/>
    <numFmt numFmtId="200" formatCode="_(* #,##0.00000000_);_(* \(#,##0.00000000\);_(* &quot;-&quot;_);_(@_)"/>
    <numFmt numFmtId="201" formatCode="_(* #,##0.000_);_(* \(#,##0.000\);_(* &quot;-&quot;_);_(@_)"/>
    <numFmt numFmtId="202" formatCode="_(* #,##0.000000_);_(* \(#,##0.000000\);_(* &quot;-&quot;??_);_(@_)"/>
    <numFmt numFmtId="203" formatCode="#,##0.000"/>
    <numFmt numFmtId="204" formatCode="_(&quot;$&quot;\ #,##0_);_(&quot;$&quot;* \(#,##0\);_(&quot;$&quot;* &quot;-&quot;_);_(@_)"/>
  </numFmts>
  <fonts count="103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color indexed="12"/>
      <name val="Times New Roman"/>
      <family val="1"/>
    </font>
    <font>
      <sz val="12"/>
      <color rgb="FF0000FF"/>
      <name val="Times New Roman"/>
      <family val="1"/>
    </font>
    <font>
      <sz val="12"/>
      <name val="Arial"/>
      <family val="2"/>
    </font>
    <font>
      <i/>
      <sz val="12"/>
      <name val="Times New Roman"/>
      <family val="1"/>
    </font>
    <font>
      <sz val="7"/>
      <name val="Arial"/>
      <family val="2"/>
    </font>
    <font>
      <sz val="10"/>
      <name val="Swiss"/>
      <family val="2"/>
    </font>
    <font>
      <sz val="12"/>
      <name val="TimesNewRomanPS"/>
    </font>
    <font>
      <sz val="11"/>
      <color indexed="8"/>
      <name val="Century Schoolbook"/>
      <family val="2"/>
    </font>
    <font>
      <sz val="10"/>
      <color theme="1"/>
      <name val="Times New Roman"/>
      <family val="2"/>
    </font>
    <font>
      <sz val="10"/>
      <name val="LinePrinter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12"/>
      <name val="Arial MT"/>
    </font>
    <font>
      <sz val="8"/>
      <color theme="1"/>
      <name val="Courier New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8"/>
      <name val="Arial"/>
      <family val="2"/>
    </font>
    <font>
      <sz val="10"/>
      <color indexed="10"/>
      <name val="Arial"/>
      <family val="2"/>
    </font>
    <font>
      <sz val="8"/>
      <color indexed="12"/>
      <name val="Arial"/>
      <family val="2"/>
    </font>
    <font>
      <sz val="12"/>
      <color theme="1"/>
      <name val="Symbol"/>
      <family val="1"/>
      <charset val="2"/>
    </font>
    <font>
      <i/>
      <sz val="12"/>
      <color theme="1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b/>
      <sz val="16"/>
      <name val="Times New Roman"/>
      <family val="1"/>
    </font>
    <font>
      <b/>
      <sz val="14"/>
      <name val="Arial"/>
      <family val="2"/>
    </font>
    <font>
      <b/>
      <sz val="13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vertAlign val="superscript"/>
      <sz val="10"/>
      <name val="Times New Roman"/>
      <family val="1"/>
    </font>
    <font>
      <u/>
      <sz val="10"/>
      <name val="Times New Roman"/>
      <family val="1"/>
    </font>
    <font>
      <b/>
      <i/>
      <u/>
      <sz val="10"/>
      <name val="Times New Roman"/>
      <family val="1"/>
    </font>
    <font>
      <sz val="10"/>
      <color rgb="FF0000FF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9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Tms Rmn"/>
    </font>
    <font>
      <b/>
      <sz val="11"/>
      <color indexed="9"/>
      <name val="Calibri"/>
      <family val="2"/>
    </font>
    <font>
      <sz val="10"/>
      <color indexed="8"/>
      <name val="Helv"/>
    </font>
    <font>
      <sz val="10"/>
      <name val="Arial Narrow"/>
      <family val="2"/>
    </font>
    <font>
      <sz val="10"/>
      <color theme="1"/>
      <name val="Arial"/>
      <family val="2"/>
    </font>
    <font>
      <sz val="11"/>
      <color theme="1"/>
      <name val="Times New Roman"/>
      <family val="2"/>
    </font>
    <font>
      <sz val="10"/>
      <name val="Helv"/>
    </font>
    <font>
      <sz val="12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i/>
      <sz val="8"/>
      <color indexed="18"/>
      <name val="Helv"/>
    </font>
    <font>
      <b/>
      <i/>
      <sz val="10"/>
      <name val="Arial"/>
      <family val="2"/>
    </font>
    <font>
      <b/>
      <u/>
      <sz val="10"/>
      <color indexed="39"/>
      <name val="Arial"/>
      <family val="2"/>
    </font>
    <font>
      <b/>
      <sz val="14"/>
      <name val="Helv"/>
    </font>
    <font>
      <sz val="11"/>
      <color indexed="52"/>
      <name val="Calibri"/>
      <family val="2"/>
    </font>
    <font>
      <sz val="8"/>
      <name val="Times New Roman"/>
      <family val="1"/>
    </font>
    <font>
      <sz val="11"/>
      <color indexed="60"/>
      <name val="Calibri"/>
      <family val="2"/>
    </font>
    <font>
      <sz val="11"/>
      <color indexed="8"/>
      <name val="TimesNewRomanPS"/>
    </font>
    <font>
      <sz val="10"/>
      <name val="Verdana"/>
      <family val="2"/>
    </font>
    <font>
      <sz val="11"/>
      <name val="Times New Roman"/>
      <family val="1"/>
    </font>
    <font>
      <b/>
      <sz val="11"/>
      <color indexed="63"/>
      <name val="Calibri"/>
      <family val="2"/>
    </font>
    <font>
      <sz val="10"/>
      <name val="Geneva"/>
      <family val="2"/>
    </font>
    <font>
      <sz val="10"/>
      <color indexed="11"/>
      <name val="Geneva"/>
      <family val="2"/>
    </font>
    <font>
      <sz val="8"/>
      <color indexed="18"/>
      <name val="Arial"/>
      <family val="2"/>
    </font>
    <font>
      <b/>
      <sz val="18"/>
      <color indexed="56"/>
      <name val="Cambria"/>
      <family val="2"/>
    </font>
    <font>
      <sz val="8"/>
      <color indexed="10"/>
      <name val="Arial"/>
      <family val="2"/>
    </font>
    <font>
      <b/>
      <sz val="10"/>
      <color indexed="63"/>
      <name val="Arial"/>
      <family val="2"/>
    </font>
    <font>
      <sz val="24"/>
      <color indexed="13"/>
      <name val="Helv"/>
    </font>
    <font>
      <sz val="11"/>
      <color indexed="10"/>
      <name val="Calibri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Arial"/>
      <family val="2"/>
    </font>
    <font>
      <b/>
      <u/>
      <sz val="12"/>
      <color theme="1"/>
      <name val="Times New Roman"/>
      <family val="1"/>
    </font>
    <font>
      <i/>
      <u/>
      <sz val="12"/>
      <color theme="1"/>
      <name val="Times New Roman"/>
      <family val="1"/>
    </font>
    <font>
      <sz val="8"/>
      <name val="Times New Roman"/>
      <family val="1"/>
    </font>
    <font>
      <u/>
      <sz val="10"/>
      <name val="Arial"/>
      <family val="2"/>
    </font>
    <font>
      <sz val="8"/>
      <name val="Times New Roman"/>
      <family val="1"/>
    </font>
    <font>
      <b/>
      <u/>
      <sz val="12"/>
      <name val="Times New Roman"/>
      <family val="1"/>
    </font>
    <font>
      <b/>
      <i/>
      <sz val="12"/>
      <name val="Times New Roman"/>
      <family val="1"/>
    </font>
    <font>
      <i/>
      <sz val="10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1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gray125">
        <fgColor indexed="21"/>
      </patternFill>
    </fill>
    <fill>
      <patternFill patternType="solid">
        <fgColor indexed="19"/>
      </patternFill>
    </fill>
    <fill>
      <patternFill patternType="mediumGray">
        <fgColor indexed="21"/>
      </patternFill>
    </fill>
    <fill>
      <patternFill patternType="solid">
        <fgColor indexed="26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lightGray"/>
    </fill>
    <fill>
      <patternFill patternType="gray125">
        <fgColor indexed="8"/>
      </patternFill>
    </fill>
    <fill>
      <patternFill patternType="solid">
        <fgColor indexed="62"/>
        <bgColor indexed="64"/>
      </patternFill>
    </fill>
    <fill>
      <patternFill patternType="solid">
        <fgColor indexed="12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/>
      <diagonal/>
    </border>
    <border>
      <left/>
      <right style="thin">
        <color indexed="8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85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6" fillId="0" borderId="0"/>
    <xf numFmtId="164" fontId="6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7" fillId="0" borderId="0" applyFont="0" applyFill="0" applyBorder="0" applyAlignment="0" applyProtection="0">
      <alignment horizontal="left"/>
    </xf>
    <xf numFmtId="172" fontId="13" fillId="0" borderId="0" applyFont="0" applyAlignment="0" applyProtection="0"/>
    <xf numFmtId="0" fontId="12" fillId="0" borderId="0">
      <alignment wrapText="1"/>
    </xf>
    <xf numFmtId="41" fontId="18" fillId="0" borderId="0" applyFont="0" applyFill="0" applyBorder="0" applyAlignment="0" applyProtection="0"/>
    <xf numFmtId="177" fontId="19" fillId="0" borderId="0"/>
    <xf numFmtId="0" fontId="20" fillId="0" borderId="0"/>
    <xf numFmtId="0" fontId="5" fillId="0" borderId="0"/>
    <xf numFmtId="0" fontId="6" fillId="0" borderId="0"/>
    <xf numFmtId="0" fontId="12" fillId="0" borderId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164" fontId="22" fillId="0" borderId="0">
      <alignment horizontal="left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8" fontId="23" fillId="0" borderId="0" applyFont="0" applyFill="0" applyBorder="0" applyProtection="0">
      <alignment horizontal="right"/>
    </xf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74" fontId="24" fillId="0" borderId="0" applyNumberFormat="0" applyFill="0" applyBorder="0" applyAlignment="0" applyProtection="0"/>
    <xf numFmtId="0" fontId="25" fillId="0" borderId="14" applyNumberFormat="0" applyBorder="0" applyAlignment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2" fontId="28" fillId="2" borderId="15">
      <alignment horizontal="left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" fontId="29" fillId="3" borderId="16" applyNumberFormat="0" applyProtection="0">
      <alignment vertical="center"/>
    </xf>
    <xf numFmtId="4" fontId="30" fillId="4" borderId="16" applyNumberFormat="0" applyProtection="0">
      <alignment vertical="center"/>
    </xf>
    <xf numFmtId="4" fontId="29" fillId="4" borderId="16" applyNumberFormat="0" applyProtection="0">
      <alignment vertical="center"/>
    </xf>
    <xf numFmtId="0" fontId="29" fillId="4" borderId="16" applyNumberFormat="0" applyProtection="0">
      <alignment horizontal="left" vertical="top" indent="1"/>
    </xf>
    <xf numFmtId="4" fontId="29" fillId="5" borderId="0" applyNumberFormat="0" applyProtection="0">
      <alignment horizontal="left" vertical="center" indent="1"/>
    </xf>
    <xf numFmtId="4" fontId="31" fillId="6" borderId="16" applyNumberFormat="0" applyProtection="0">
      <alignment horizontal="right" vertical="center"/>
    </xf>
    <xf numFmtId="4" fontId="31" fillId="7" borderId="16" applyNumberFormat="0" applyProtection="0">
      <alignment horizontal="right" vertical="center"/>
    </xf>
    <xf numFmtId="4" fontId="31" fillId="8" borderId="16" applyNumberFormat="0" applyProtection="0">
      <alignment horizontal="right" vertical="center"/>
    </xf>
    <xf numFmtId="4" fontId="31" fillId="9" borderId="16" applyNumberFormat="0" applyProtection="0">
      <alignment horizontal="right" vertical="center"/>
    </xf>
    <xf numFmtId="4" fontId="31" fillId="10" borderId="16" applyNumberFormat="0" applyProtection="0">
      <alignment horizontal="right" vertical="center"/>
    </xf>
    <xf numFmtId="4" fontId="31" fillId="11" borderId="16" applyNumberFormat="0" applyProtection="0">
      <alignment horizontal="right" vertical="center"/>
    </xf>
    <xf numFmtId="4" fontId="31" fillId="12" borderId="16" applyNumberFormat="0" applyProtection="0">
      <alignment horizontal="right" vertical="center"/>
    </xf>
    <xf numFmtId="4" fontId="31" fillId="13" borderId="16" applyNumberFormat="0" applyProtection="0">
      <alignment horizontal="right" vertical="center"/>
    </xf>
    <xf numFmtId="4" fontId="31" fillId="14" borderId="16" applyNumberFormat="0" applyProtection="0">
      <alignment horizontal="right" vertical="center"/>
    </xf>
    <xf numFmtId="4" fontId="29" fillId="15" borderId="17" applyNumberFormat="0" applyProtection="0">
      <alignment horizontal="left" vertical="center" indent="1"/>
    </xf>
    <xf numFmtId="4" fontId="31" fillId="16" borderId="0" applyNumberFormat="0" applyProtection="0">
      <alignment horizontal="left" vertical="center" indent="1"/>
    </xf>
    <xf numFmtId="4" fontId="32" fillId="17" borderId="0" applyNumberFormat="0" applyProtection="0">
      <alignment horizontal="left" vertical="center" indent="1"/>
    </xf>
    <xf numFmtId="4" fontId="31" fillId="18" borderId="16" applyNumberFormat="0" applyProtection="0">
      <alignment horizontal="right" vertical="center"/>
    </xf>
    <xf numFmtId="4" fontId="33" fillId="0" borderId="0" applyNumberFormat="0" applyProtection="0">
      <alignment horizontal="left" vertical="center" indent="1"/>
    </xf>
    <xf numFmtId="4" fontId="34" fillId="0" borderId="0" applyNumberFormat="0" applyProtection="0">
      <alignment horizontal="left" vertical="center" indent="1"/>
    </xf>
    <xf numFmtId="0" fontId="12" fillId="17" borderId="16" applyNumberFormat="0" applyProtection="0">
      <alignment horizontal="left" vertical="center" indent="1"/>
    </xf>
    <xf numFmtId="0" fontId="12" fillId="17" borderId="16" applyNumberFormat="0" applyProtection="0">
      <alignment horizontal="left" vertical="top" indent="1"/>
    </xf>
    <xf numFmtId="0" fontId="12" fillId="5" borderId="16" applyNumberFormat="0" applyProtection="0">
      <alignment horizontal="left" vertical="center" indent="1"/>
    </xf>
    <xf numFmtId="0" fontId="12" fillId="5" borderId="16" applyNumberFormat="0" applyProtection="0">
      <alignment horizontal="left" vertical="top" indent="1"/>
    </xf>
    <xf numFmtId="0" fontId="12" fillId="19" borderId="16" applyNumberFormat="0" applyProtection="0">
      <alignment horizontal="left" vertical="center" indent="1"/>
    </xf>
    <xf numFmtId="0" fontId="12" fillId="19" borderId="16" applyNumberFormat="0" applyProtection="0">
      <alignment horizontal="left" vertical="top" indent="1"/>
    </xf>
    <xf numFmtId="0" fontId="12" fillId="20" borderId="16" applyNumberFormat="0" applyProtection="0">
      <alignment horizontal="left" vertical="center" indent="1"/>
    </xf>
    <xf numFmtId="0" fontId="12" fillId="20" borderId="16" applyNumberFormat="0" applyProtection="0">
      <alignment horizontal="left" vertical="top" indent="1"/>
    </xf>
    <xf numFmtId="4" fontId="31" fillId="21" borderId="16" applyNumberFormat="0" applyProtection="0">
      <alignment vertical="center"/>
    </xf>
    <xf numFmtId="4" fontId="35" fillId="21" borderId="16" applyNumberFormat="0" applyProtection="0">
      <alignment vertical="center"/>
    </xf>
    <xf numFmtId="4" fontId="31" fillId="21" borderId="16" applyNumberFormat="0" applyProtection="0">
      <alignment horizontal="left" vertical="center" indent="1"/>
    </xf>
    <xf numFmtId="0" fontId="31" fillId="21" borderId="16" applyNumberFormat="0" applyProtection="0">
      <alignment horizontal="left" vertical="top" indent="1"/>
    </xf>
    <xf numFmtId="4" fontId="31" fillId="22" borderId="18" applyNumberFormat="0" applyProtection="0">
      <alignment horizontal="right" vertical="center"/>
    </xf>
    <xf numFmtId="4" fontId="35" fillId="16" borderId="16" applyNumberFormat="0" applyProtection="0">
      <alignment horizontal="right" vertical="center"/>
    </xf>
    <xf numFmtId="4" fontId="31" fillId="18" borderId="16" applyNumberFormat="0" applyProtection="0">
      <alignment horizontal="left" vertical="center" indent="1"/>
    </xf>
    <xf numFmtId="0" fontId="31" fillId="5" borderId="16" applyNumberFormat="0" applyProtection="0">
      <alignment horizontal="center" vertical="top"/>
    </xf>
    <xf numFmtId="4" fontId="36" fillId="0" borderId="0" applyNumberFormat="0" applyProtection="0">
      <alignment horizontal="left" vertical="center"/>
    </xf>
    <xf numFmtId="4" fontId="37" fillId="16" borderId="16" applyNumberFormat="0" applyProtection="0">
      <alignment horizontal="right" vertical="center"/>
    </xf>
    <xf numFmtId="37" fontId="25" fillId="4" borderId="0" applyNumberFormat="0" applyBorder="0" applyAlignment="0" applyProtection="0"/>
    <xf numFmtId="37" fontId="25" fillId="0" borderId="0"/>
    <xf numFmtId="3" fontId="38" fillId="23" borderId="19" applyProtection="0"/>
    <xf numFmtId="0" fontId="6" fillId="0" borderId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80" fontId="12" fillId="0" borderId="0"/>
    <xf numFmtId="180" fontId="12" fillId="0" borderId="0"/>
    <xf numFmtId="180" fontId="12" fillId="0" borderId="0"/>
    <xf numFmtId="180" fontId="12" fillId="0" borderId="0"/>
    <xf numFmtId="180" fontId="12" fillId="0" borderId="0"/>
    <xf numFmtId="180" fontId="12" fillId="0" borderId="0"/>
    <xf numFmtId="180" fontId="12" fillId="0" borderId="0"/>
    <xf numFmtId="180" fontId="12" fillId="0" borderId="0"/>
    <xf numFmtId="43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38" fontId="25" fillId="24" borderId="0" applyNumberFormat="0" applyBorder="0" applyAlignment="0" applyProtection="0"/>
    <xf numFmtId="0" fontId="43" fillId="0" borderId="0"/>
    <xf numFmtId="0" fontId="28" fillId="0" borderId="23" applyNumberFormat="0" applyAlignment="0" applyProtection="0">
      <alignment horizontal="left" vertical="center"/>
    </xf>
    <xf numFmtId="0" fontId="28" fillId="0" borderId="22">
      <alignment horizontal="left" vertical="center"/>
    </xf>
    <xf numFmtId="10" fontId="25" fillId="21" borderId="20" applyNumberFormat="0" applyBorder="0" applyAlignment="0" applyProtection="0"/>
    <xf numFmtId="181" fontId="12" fillId="0" borderId="0"/>
    <xf numFmtId="0" fontId="12" fillId="0" borderId="0"/>
    <xf numFmtId="0" fontId="3" fillId="0" borderId="0"/>
    <xf numFmtId="41" fontId="18" fillId="0" borderId="0" applyFont="0" applyFill="0" applyBorder="0" applyAlignment="0" applyProtection="0"/>
    <xf numFmtId="182" fontId="12" fillId="0" borderId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" fontId="44" fillId="25" borderId="0" applyNumberFormat="0" applyProtection="0">
      <alignment horizontal="left"/>
    </xf>
    <xf numFmtId="0" fontId="41" fillId="0" borderId="20">
      <alignment horizontal="center" vertical="center" wrapText="1"/>
    </xf>
    <xf numFmtId="0" fontId="12" fillId="0" borderId="0"/>
    <xf numFmtId="164" fontId="52" fillId="0" borderId="0"/>
    <xf numFmtId="0" fontId="53" fillId="0" borderId="0"/>
    <xf numFmtId="9" fontId="52" fillId="0" borderId="0" applyFont="0" applyFill="0" applyBorder="0" applyAlignment="0" applyProtection="0"/>
    <xf numFmtId="164" fontId="6" fillId="0" borderId="0"/>
    <xf numFmtId="0" fontId="54" fillId="39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6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40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1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2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54" fillId="42" borderId="0" applyNumberFormat="0" applyBorder="0" applyAlignment="0" applyProtection="0"/>
    <xf numFmtId="0" fontId="54" fillId="42" borderId="0" applyNumberFormat="0" applyBorder="0" applyAlignment="0" applyProtection="0"/>
    <xf numFmtId="0" fontId="54" fillId="43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4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7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14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41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9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55" fillId="45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10" borderId="0" applyNumberFormat="0" applyBorder="0" applyAlignment="0" applyProtection="0"/>
    <xf numFmtId="0" fontId="55" fillId="10" borderId="0" applyNumberFormat="0" applyBorder="0" applyAlignment="0" applyProtection="0"/>
    <xf numFmtId="0" fontId="55" fillId="10" borderId="0" applyNumberFormat="0" applyBorder="0" applyAlignment="0" applyProtection="0"/>
    <xf numFmtId="0" fontId="55" fillId="10" borderId="0" applyNumberFormat="0" applyBorder="0" applyAlignment="0" applyProtection="0"/>
    <xf numFmtId="0" fontId="55" fillId="10" borderId="0" applyNumberFormat="0" applyBorder="0" applyAlignment="0" applyProtection="0"/>
    <xf numFmtId="0" fontId="54" fillId="39" borderId="0" applyNumberFormat="0" applyBorder="0" applyAlignment="0" applyProtection="0"/>
    <xf numFmtId="0" fontId="54" fillId="44" borderId="0" applyNumberFormat="0" applyBorder="0" applyAlignment="0" applyProtection="0"/>
    <xf numFmtId="0" fontId="55" fillId="45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4" fillId="6" borderId="0" applyNumberFormat="0" applyBorder="0" applyAlignment="0" applyProtection="0"/>
    <xf numFmtId="0" fontId="54" fillId="7" borderId="0" applyNumberFormat="0" applyBorder="0" applyAlignment="0" applyProtection="0"/>
    <xf numFmtId="0" fontId="55" fillId="7" borderId="0" applyNumberFormat="0" applyBorder="0" applyAlignment="0" applyProtection="0"/>
    <xf numFmtId="0" fontId="55" fillId="8" borderId="0" applyNumberFormat="0" applyBorder="0" applyAlignment="0" applyProtection="0"/>
    <xf numFmtId="0" fontId="55" fillId="8" borderId="0" applyNumberFormat="0" applyBorder="0" applyAlignment="0" applyProtection="0"/>
    <xf numFmtId="0" fontId="55" fillId="8" borderId="0" applyNumberFormat="0" applyBorder="0" applyAlignment="0" applyProtection="0"/>
    <xf numFmtId="0" fontId="55" fillId="8" borderId="0" applyNumberFormat="0" applyBorder="0" applyAlignment="0" applyProtection="0"/>
    <xf numFmtId="0" fontId="55" fillId="8" borderId="0" applyNumberFormat="0" applyBorder="0" applyAlignment="0" applyProtection="0"/>
    <xf numFmtId="0" fontId="54" fillId="40" borderId="0" applyNumberFormat="0" applyBorder="0" applyAlignment="0" applyProtection="0"/>
    <xf numFmtId="0" fontId="54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2" borderId="0" applyNumberFormat="0" applyBorder="0" applyAlignment="0" applyProtection="0"/>
    <xf numFmtId="0" fontId="55" fillId="12" borderId="0" applyNumberFormat="0" applyBorder="0" applyAlignment="0" applyProtection="0"/>
    <xf numFmtId="0" fontId="55" fillId="12" borderId="0" applyNumberFormat="0" applyBorder="0" applyAlignment="0" applyProtection="0"/>
    <xf numFmtId="0" fontId="55" fillId="12" borderId="0" applyNumberFormat="0" applyBorder="0" applyAlignment="0" applyProtection="0"/>
    <xf numFmtId="0" fontId="55" fillId="12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4" fillId="42" borderId="0" applyNumberFormat="0" applyBorder="0" applyAlignment="0" applyProtection="0"/>
    <xf numFmtId="0" fontId="54" fillId="44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4" fillId="43" borderId="0" applyNumberFormat="0" applyBorder="0" applyAlignment="0" applyProtection="0"/>
    <xf numFmtId="0" fontId="54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6" fillId="49" borderId="20" applyNumberFormat="0" applyBorder="0" applyAlignment="0" applyProtection="0"/>
    <xf numFmtId="0" fontId="57" fillId="6" borderId="0" applyNumberFormat="0" applyBorder="0" applyAlignment="0" applyProtection="0"/>
    <xf numFmtId="0" fontId="57" fillId="6" borderId="0" applyNumberFormat="0" applyBorder="0" applyAlignment="0" applyProtection="0"/>
    <xf numFmtId="0" fontId="57" fillId="6" borderId="0" applyNumberFormat="0" applyBorder="0" applyAlignment="0" applyProtection="0"/>
    <xf numFmtId="0" fontId="57" fillId="6" borderId="0" applyNumberFormat="0" applyBorder="0" applyAlignment="0" applyProtection="0"/>
    <xf numFmtId="0" fontId="57" fillId="6" borderId="0" applyNumberFormat="0" applyBorder="0" applyAlignment="0" applyProtection="0"/>
    <xf numFmtId="0" fontId="41" fillId="50" borderId="0" applyNumberFormat="0" applyBorder="0" applyAlignment="0" applyProtection="0"/>
    <xf numFmtId="186" fontId="31" fillId="0" borderId="0" applyFill="0" applyBorder="0" applyAlignment="0"/>
    <xf numFmtId="0" fontId="58" fillId="51" borderId="28" applyNumberFormat="0" applyAlignment="0" applyProtection="0"/>
    <xf numFmtId="0" fontId="58" fillId="51" borderId="28" applyNumberFormat="0" applyAlignment="0" applyProtection="0"/>
    <xf numFmtId="0" fontId="58" fillId="51" borderId="28" applyNumberFormat="0" applyAlignment="0" applyProtection="0"/>
    <xf numFmtId="0" fontId="58" fillId="51" borderId="28" applyNumberFormat="0" applyAlignment="0" applyProtection="0"/>
    <xf numFmtId="0" fontId="58" fillId="51" borderId="28" applyNumberFormat="0" applyAlignment="0" applyProtection="0"/>
    <xf numFmtId="0" fontId="59" fillId="0" borderId="0"/>
    <xf numFmtId="0" fontId="60" fillId="52" borderId="29" applyNumberFormat="0" applyAlignment="0" applyProtection="0"/>
    <xf numFmtId="0" fontId="60" fillId="52" borderId="29" applyNumberFormat="0" applyAlignment="0" applyProtection="0"/>
    <xf numFmtId="0" fontId="60" fillId="52" borderId="29" applyNumberFormat="0" applyAlignment="0" applyProtection="0"/>
    <xf numFmtId="0" fontId="60" fillId="52" borderId="29" applyNumberFormat="0" applyAlignment="0" applyProtection="0"/>
    <xf numFmtId="0" fontId="60" fillId="52" borderId="29" applyNumberFormat="0" applyAlignment="0" applyProtection="0"/>
    <xf numFmtId="0" fontId="52" fillId="0" borderId="0"/>
    <xf numFmtId="180" fontId="12" fillId="0" borderId="0"/>
    <xf numFmtId="180" fontId="12" fillId="0" borderId="0"/>
    <xf numFmtId="180" fontId="12" fillId="0" borderId="0"/>
    <xf numFmtId="180" fontId="12" fillId="0" borderId="0"/>
    <xf numFmtId="180" fontId="12" fillId="0" borderId="0"/>
    <xf numFmtId="180" fontId="12" fillId="0" borderId="0"/>
    <xf numFmtId="180" fontId="12" fillId="0" borderId="0"/>
    <xf numFmtId="180" fontId="12" fillId="0" borderId="0"/>
    <xf numFmtId="180" fontId="12" fillId="0" borderId="0"/>
    <xf numFmtId="180" fontId="12" fillId="0" borderId="0"/>
    <xf numFmtId="180" fontId="12" fillId="0" borderId="0"/>
    <xf numFmtId="180" fontId="12" fillId="0" borderId="0"/>
    <xf numFmtId="180" fontId="12" fillId="0" borderId="0"/>
    <xf numFmtId="180" fontId="12" fillId="0" borderId="0"/>
    <xf numFmtId="180" fontId="12" fillId="0" borderId="0"/>
    <xf numFmtId="180" fontId="12" fillId="0" borderId="0"/>
    <xf numFmtId="1" fontId="61" fillId="0" borderId="0"/>
    <xf numFmtId="41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7" fontId="12" fillId="0" borderId="0" applyFill="0" applyBorder="0" applyAlignment="0" applyProtection="0"/>
    <xf numFmtId="0" fontId="65" fillId="0" borderId="0"/>
    <xf numFmtId="0" fontId="65" fillId="0" borderId="0"/>
    <xf numFmtId="0" fontId="65" fillId="0" borderId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65" fillId="0" borderId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0" fontId="66" fillId="0" borderId="0"/>
    <xf numFmtId="0" fontId="66" fillId="0" borderId="30"/>
    <xf numFmtId="0" fontId="65" fillId="0" borderId="0"/>
    <xf numFmtId="0" fontId="65" fillId="0" borderId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87" fontId="12" fillId="0" borderId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65" fillId="0" borderId="0"/>
    <xf numFmtId="0" fontId="68" fillId="40" borderId="0" applyNumberFormat="0" applyBorder="0" applyAlignment="0" applyProtection="0"/>
    <xf numFmtId="0" fontId="68" fillId="40" borderId="0" applyNumberFormat="0" applyBorder="0" applyAlignment="0" applyProtection="0"/>
    <xf numFmtId="0" fontId="68" fillId="40" borderId="0" applyNumberFormat="0" applyBorder="0" applyAlignment="0" applyProtection="0"/>
    <xf numFmtId="0" fontId="68" fillId="40" borderId="0" applyNumberFormat="0" applyBorder="0" applyAlignment="0" applyProtection="0"/>
    <xf numFmtId="0" fontId="68" fillId="40" borderId="0" applyNumberFormat="0" applyBorder="0" applyAlignment="0" applyProtection="0"/>
    <xf numFmtId="38" fontId="25" fillId="24" borderId="0" applyNumberFormat="0" applyBorder="0" applyAlignment="0" applyProtection="0"/>
    <xf numFmtId="38" fontId="25" fillId="24" borderId="0" applyNumberFormat="0" applyBorder="0" applyAlignment="0" applyProtection="0"/>
    <xf numFmtId="0" fontId="36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31" applyNumberFormat="0" applyFill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73" fontId="12" fillId="0" borderId="0">
      <protection locked="0"/>
    </xf>
    <xf numFmtId="173" fontId="12" fillId="0" borderId="0"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10" fontId="25" fillId="21" borderId="20" applyNumberFormat="0" applyBorder="0" applyAlignment="0" applyProtection="0"/>
    <xf numFmtId="10" fontId="25" fillId="21" borderId="20" applyNumberFormat="0" applyBorder="0" applyAlignment="0" applyProtection="0"/>
    <xf numFmtId="0" fontId="72" fillId="0" borderId="0" applyNumberFormat="0" applyFill="0" applyBorder="0" applyAlignment="0">
      <protection locked="0"/>
    </xf>
    <xf numFmtId="0" fontId="72" fillId="0" borderId="0" applyNumberFormat="0" applyFill="0" applyBorder="0" applyAlignment="0">
      <protection locked="0"/>
    </xf>
    <xf numFmtId="38" fontId="73" fillId="0" borderId="0">
      <alignment horizontal="left" wrapText="1"/>
    </xf>
    <xf numFmtId="38" fontId="74" fillId="0" borderId="0">
      <alignment horizontal="left" wrapText="1"/>
    </xf>
    <xf numFmtId="0" fontId="75" fillId="53" borderId="3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7" fillId="54" borderId="0"/>
    <xf numFmtId="0" fontId="77" fillId="55" borderId="0"/>
    <xf numFmtId="0" fontId="41" fillId="56" borderId="7" applyBorder="0"/>
    <xf numFmtId="0" fontId="12" fillId="57" borderId="8" applyNumberFormat="0" applyFont="0" applyBorder="0" applyAlignment="0" applyProtection="0"/>
    <xf numFmtId="188" fontId="12" fillId="0" borderId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0" fontId="78" fillId="3" borderId="0" applyNumberFormat="0" applyBorder="0" applyAlignment="0" applyProtection="0"/>
    <xf numFmtId="37" fontId="79" fillId="0" borderId="0" applyNumberFormat="0" applyFill="0" applyBorder="0"/>
    <xf numFmtId="0" fontId="25" fillId="0" borderId="14" applyNumberFormat="0" applyBorder="0" applyAlignment="0"/>
    <xf numFmtId="0" fontId="25" fillId="0" borderId="14" applyNumberFormat="0" applyBorder="0" applyAlignment="0"/>
    <xf numFmtId="0" fontId="25" fillId="0" borderId="14" applyNumberFormat="0" applyBorder="0" applyAlignment="0"/>
    <xf numFmtId="181" fontId="12" fillId="0" borderId="0"/>
    <xf numFmtId="181" fontId="1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41" fontId="12" fillId="0" borderId="0"/>
    <xf numFmtId="0" fontId="12" fillId="0" borderId="0"/>
    <xf numFmtId="0" fontId="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3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46" fillId="0" borderId="0"/>
    <xf numFmtId="41" fontId="46" fillId="0" borderId="0"/>
    <xf numFmtId="41" fontId="46" fillId="0" borderId="0"/>
    <xf numFmtId="41" fontId="46" fillId="0" borderId="0"/>
    <xf numFmtId="41" fontId="4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65" fillId="0" borderId="0"/>
    <xf numFmtId="0" fontId="12" fillId="58" borderId="33" applyNumberFormat="0" applyFont="0" applyAlignment="0" applyProtection="0"/>
    <xf numFmtId="0" fontId="21" fillId="26" borderId="27" applyNumberFormat="0" applyFont="0" applyAlignment="0" applyProtection="0"/>
    <xf numFmtId="0" fontId="21" fillId="26" borderId="27" applyNumberFormat="0" applyFont="0" applyAlignment="0" applyProtection="0"/>
    <xf numFmtId="0" fontId="21" fillId="26" borderId="27" applyNumberFormat="0" applyFont="0" applyAlignment="0" applyProtection="0"/>
    <xf numFmtId="0" fontId="12" fillId="58" borderId="33" applyNumberFormat="0" applyFont="0" applyAlignment="0" applyProtection="0"/>
    <xf numFmtId="189" fontId="6" fillId="0" borderId="0" applyFont="0" applyFill="0" applyBorder="0" applyProtection="0"/>
    <xf numFmtId="189" fontId="6" fillId="0" borderId="0" applyFont="0" applyFill="0" applyBorder="0" applyProtection="0"/>
    <xf numFmtId="189" fontId="6" fillId="0" borderId="0" applyFont="0" applyFill="0" applyBorder="0" applyProtection="0"/>
    <xf numFmtId="189" fontId="6" fillId="0" borderId="0" applyFont="0" applyFill="0" applyBorder="0" applyProtection="0"/>
    <xf numFmtId="189" fontId="6" fillId="0" borderId="0" applyFont="0" applyFill="0" applyBorder="0" applyProtection="0"/>
    <xf numFmtId="189" fontId="6" fillId="0" borderId="0" applyFont="0" applyFill="0" applyBorder="0" applyProtection="0"/>
    <xf numFmtId="189" fontId="6" fillId="0" borderId="0" applyFont="0" applyFill="0" applyBorder="0" applyProtection="0"/>
    <xf numFmtId="189" fontId="6" fillId="0" borderId="0" applyFont="0" applyFill="0" applyBorder="0" applyProtection="0"/>
    <xf numFmtId="189" fontId="6" fillId="0" borderId="0" applyFont="0" applyFill="0" applyBorder="0" applyProtection="0"/>
    <xf numFmtId="189" fontId="6" fillId="0" borderId="0" applyFont="0" applyFill="0" applyBorder="0" applyProtection="0"/>
    <xf numFmtId="189" fontId="6" fillId="0" borderId="0" applyFont="0" applyFill="0" applyBorder="0" applyProtection="0"/>
    <xf numFmtId="189" fontId="6" fillId="0" borderId="0" applyFont="0" applyFill="0" applyBorder="0" applyProtection="0"/>
    <xf numFmtId="189" fontId="6" fillId="0" borderId="0" applyFont="0" applyFill="0" applyBorder="0" applyProtection="0"/>
    <xf numFmtId="189" fontId="6" fillId="0" borderId="0" applyFont="0" applyFill="0" applyBorder="0" applyProtection="0"/>
    <xf numFmtId="0" fontId="82" fillId="51" borderId="34" applyNumberFormat="0" applyAlignment="0" applyProtection="0"/>
    <xf numFmtId="0" fontId="82" fillId="51" borderId="34" applyNumberFormat="0" applyAlignment="0" applyProtection="0"/>
    <xf numFmtId="0" fontId="82" fillId="51" borderId="34" applyNumberFormat="0" applyAlignment="0" applyProtection="0"/>
    <xf numFmtId="0" fontId="82" fillId="51" borderId="34" applyNumberFormat="0" applyAlignment="0" applyProtection="0"/>
    <xf numFmtId="0" fontId="82" fillId="51" borderId="34" applyNumberFormat="0" applyAlignment="0" applyProtection="0"/>
    <xf numFmtId="40" fontId="31" fillId="22" borderId="0">
      <alignment horizontal="right"/>
    </xf>
    <xf numFmtId="0" fontId="29" fillId="22" borderId="0">
      <alignment horizontal="left"/>
    </xf>
    <xf numFmtId="0" fontId="65" fillId="0" borderId="0"/>
    <xf numFmtId="0" fontId="65" fillId="0" borderId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4" fillId="0" borderId="0"/>
    <xf numFmtId="0" fontId="66" fillId="0" borderId="0"/>
    <xf numFmtId="4" fontId="29" fillId="4" borderId="16" applyNumberFormat="0" applyProtection="0">
      <alignment horizontal="left" vertical="center" indent="1"/>
    </xf>
    <xf numFmtId="4" fontId="29" fillId="4" borderId="16" applyNumberFormat="0" applyProtection="0">
      <alignment horizontal="left" vertical="center" indent="1"/>
    </xf>
    <xf numFmtId="4" fontId="29" fillId="4" borderId="16" applyNumberFormat="0" applyProtection="0">
      <alignment horizontal="left" vertical="center" indent="1"/>
    </xf>
    <xf numFmtId="4" fontId="29" fillId="4" borderId="16" applyNumberFormat="0" applyProtection="0">
      <alignment horizontal="left" vertical="center" indent="1"/>
    </xf>
    <xf numFmtId="4" fontId="29" fillId="4" borderId="16" applyNumberFormat="0" applyProtection="0">
      <alignment horizontal="left" vertical="center" indent="1"/>
    </xf>
    <xf numFmtId="4" fontId="29" fillId="4" borderId="16" applyNumberFormat="0" applyProtection="0">
      <alignment horizontal="left" vertical="center" indent="1"/>
    </xf>
    <xf numFmtId="4" fontId="29" fillId="5" borderId="16" applyNumberFormat="0" applyProtection="0"/>
    <xf numFmtId="4" fontId="29" fillId="5" borderId="16" applyNumberFormat="0" applyProtection="0"/>
    <xf numFmtId="4" fontId="29" fillId="5" borderId="16" applyNumberFormat="0" applyProtection="0"/>
    <xf numFmtId="4" fontId="29" fillId="5" borderId="16" applyNumberFormat="0" applyProtection="0"/>
    <xf numFmtId="4" fontId="29" fillId="5" borderId="16" applyNumberFormat="0" applyProtection="0"/>
    <xf numFmtId="4" fontId="29" fillId="5" borderId="16" applyNumberFormat="0" applyProtection="0"/>
    <xf numFmtId="4" fontId="29" fillId="15" borderId="17" applyNumberFormat="0" applyProtection="0">
      <alignment horizontal="left" vertical="center" indent="1"/>
    </xf>
    <xf numFmtId="4" fontId="31" fillId="16" borderId="0" applyNumberFormat="0" applyProtection="0">
      <alignment horizontal="left" indent="1"/>
    </xf>
    <xf numFmtId="4" fontId="31" fillId="16" borderId="0" applyNumberFormat="0" applyProtection="0">
      <alignment horizontal="left" indent="1"/>
    </xf>
    <xf numFmtId="4" fontId="31" fillId="16" borderId="0" applyNumberFormat="0" applyProtection="0">
      <alignment horizontal="left" indent="1"/>
    </xf>
    <xf numFmtId="4" fontId="31" fillId="16" borderId="0" applyNumberFormat="0" applyProtection="0">
      <alignment horizontal="left" indent="1"/>
    </xf>
    <xf numFmtId="4" fontId="31" fillId="16" borderId="0" applyNumberFormat="0" applyProtection="0">
      <alignment horizontal="left" indent="1"/>
    </xf>
    <xf numFmtId="4" fontId="31" fillId="16" borderId="0" applyNumberFormat="0" applyProtection="0">
      <alignment horizontal="left" indent="1"/>
    </xf>
    <xf numFmtId="4" fontId="32" fillId="17" borderId="0" applyNumberFormat="0" applyProtection="0">
      <alignment horizontal="left" vertical="center" indent="1"/>
    </xf>
    <xf numFmtId="4" fontId="32" fillId="17" borderId="0" applyNumberFormat="0" applyProtection="0">
      <alignment horizontal="left" vertical="center" indent="1"/>
    </xf>
    <xf numFmtId="4" fontId="32" fillId="17" borderId="0" applyNumberFormat="0" applyProtection="0">
      <alignment horizontal="left" vertical="center" indent="1"/>
    </xf>
    <xf numFmtId="4" fontId="32" fillId="17" borderId="0" applyNumberFormat="0" applyProtection="0">
      <alignment horizontal="left" vertical="center" indent="1"/>
    </xf>
    <xf numFmtId="4" fontId="85" fillId="59" borderId="0" applyNumberFormat="0" applyProtection="0">
      <alignment horizontal="left" indent="1"/>
    </xf>
    <xf numFmtId="4" fontId="85" fillId="59" borderId="0" applyNumberFormat="0" applyProtection="0">
      <alignment horizontal="left" indent="1"/>
    </xf>
    <xf numFmtId="4" fontId="85" fillId="59" borderId="0" applyNumberFormat="0" applyProtection="0">
      <alignment horizontal="left" indent="1"/>
    </xf>
    <xf numFmtId="4" fontId="85" fillId="59" borderId="0" applyNumberFormat="0" applyProtection="0">
      <alignment horizontal="left" indent="1"/>
    </xf>
    <xf numFmtId="4" fontId="85" fillId="59" borderId="0" applyNumberFormat="0" applyProtection="0">
      <alignment horizontal="left" indent="1"/>
    </xf>
    <xf numFmtId="4" fontId="85" fillId="59" borderId="0" applyNumberFormat="0" applyProtection="0">
      <alignment horizontal="left" indent="1"/>
    </xf>
    <xf numFmtId="4" fontId="85" fillId="59" borderId="0" applyNumberFormat="0" applyProtection="0">
      <alignment horizontal="left" indent="1"/>
    </xf>
    <xf numFmtId="4" fontId="34" fillId="60" borderId="0" applyNumberFormat="0" applyProtection="0"/>
    <xf numFmtId="4" fontId="34" fillId="60" borderId="0" applyNumberFormat="0" applyProtection="0"/>
    <xf numFmtId="4" fontId="34" fillId="60" borderId="0" applyNumberFormat="0" applyProtection="0"/>
    <xf numFmtId="4" fontId="34" fillId="60" borderId="0" applyNumberFormat="0" applyProtection="0"/>
    <xf numFmtId="4" fontId="34" fillId="60" borderId="0" applyNumberFormat="0" applyProtection="0"/>
    <xf numFmtId="4" fontId="34" fillId="60" borderId="0" applyNumberFormat="0" applyProtection="0"/>
    <xf numFmtId="4" fontId="34" fillId="60" borderId="0" applyNumberFormat="0" applyProtection="0"/>
    <xf numFmtId="0" fontId="12" fillId="17" borderId="16" applyNumberFormat="0" applyProtection="0">
      <alignment horizontal="left" vertical="center" indent="1"/>
    </xf>
    <xf numFmtId="0" fontId="12" fillId="17" borderId="16" applyNumberFormat="0" applyProtection="0">
      <alignment horizontal="left" vertical="center" indent="1"/>
    </xf>
    <xf numFmtId="0" fontId="12" fillId="17" borderId="16" applyNumberFormat="0" applyProtection="0">
      <alignment horizontal="left" vertical="center" indent="1"/>
    </xf>
    <xf numFmtId="0" fontId="12" fillId="17" borderId="16" applyNumberFormat="0" applyProtection="0">
      <alignment horizontal="left" vertical="center" indent="1"/>
    </xf>
    <xf numFmtId="0" fontId="12" fillId="17" borderId="16" applyNumberFormat="0" applyProtection="0">
      <alignment horizontal="left" vertical="center" indent="1"/>
    </xf>
    <xf numFmtId="0" fontId="12" fillId="17" borderId="16" applyNumberFormat="0" applyProtection="0">
      <alignment horizontal="left" vertical="top" indent="1"/>
    </xf>
    <xf numFmtId="0" fontId="12" fillId="17" borderId="16" applyNumberFormat="0" applyProtection="0">
      <alignment horizontal="left" vertical="top" indent="1"/>
    </xf>
    <xf numFmtId="0" fontId="12" fillId="17" borderId="16" applyNumberFormat="0" applyProtection="0">
      <alignment horizontal="left" vertical="top" indent="1"/>
    </xf>
    <xf numFmtId="0" fontId="12" fillId="17" borderId="16" applyNumberFormat="0" applyProtection="0">
      <alignment horizontal="left" vertical="top" indent="1"/>
    </xf>
    <xf numFmtId="0" fontId="12" fillId="17" borderId="16" applyNumberFormat="0" applyProtection="0">
      <alignment horizontal="left" vertical="top" indent="1"/>
    </xf>
    <xf numFmtId="0" fontId="12" fillId="5" borderId="16" applyNumberFormat="0" applyProtection="0">
      <alignment horizontal="left" vertical="center" indent="1"/>
    </xf>
    <xf numFmtId="0" fontId="12" fillId="5" borderId="16" applyNumberFormat="0" applyProtection="0">
      <alignment horizontal="left" vertical="center" indent="1"/>
    </xf>
    <xf numFmtId="0" fontId="12" fillId="5" borderId="16" applyNumberFormat="0" applyProtection="0">
      <alignment horizontal="left" vertical="center" indent="1"/>
    </xf>
    <xf numFmtId="0" fontId="12" fillId="5" borderId="16" applyNumberFormat="0" applyProtection="0">
      <alignment horizontal="left" vertical="center" indent="1"/>
    </xf>
    <xf numFmtId="0" fontId="12" fillId="5" borderId="16" applyNumberFormat="0" applyProtection="0">
      <alignment horizontal="left" vertical="center" indent="1"/>
    </xf>
    <xf numFmtId="0" fontId="12" fillId="5" borderId="16" applyNumberFormat="0" applyProtection="0">
      <alignment horizontal="left" vertical="top" indent="1"/>
    </xf>
    <xf numFmtId="0" fontId="12" fillId="5" borderId="16" applyNumberFormat="0" applyProtection="0">
      <alignment horizontal="left" vertical="top" indent="1"/>
    </xf>
    <xf numFmtId="0" fontId="12" fillId="5" borderId="16" applyNumberFormat="0" applyProtection="0">
      <alignment horizontal="left" vertical="top" indent="1"/>
    </xf>
    <xf numFmtId="0" fontId="12" fillId="5" borderId="16" applyNumberFormat="0" applyProtection="0">
      <alignment horizontal="left" vertical="top" indent="1"/>
    </xf>
    <xf numFmtId="0" fontId="12" fillId="5" borderId="16" applyNumberFormat="0" applyProtection="0">
      <alignment horizontal="left" vertical="top" indent="1"/>
    </xf>
    <xf numFmtId="0" fontId="12" fillId="19" borderId="16" applyNumberFormat="0" applyProtection="0">
      <alignment horizontal="left" vertical="center" indent="1"/>
    </xf>
    <xf numFmtId="0" fontId="12" fillId="19" borderId="16" applyNumberFormat="0" applyProtection="0">
      <alignment horizontal="left" vertical="center" indent="1"/>
    </xf>
    <xf numFmtId="0" fontId="12" fillId="19" borderId="16" applyNumberFormat="0" applyProtection="0">
      <alignment horizontal="left" vertical="center" indent="1"/>
    </xf>
    <xf numFmtId="0" fontId="12" fillId="19" borderId="16" applyNumberFormat="0" applyProtection="0">
      <alignment horizontal="left" vertical="center" indent="1"/>
    </xf>
    <xf numFmtId="0" fontId="12" fillId="19" borderId="16" applyNumberFormat="0" applyProtection="0">
      <alignment horizontal="left" vertical="center" indent="1"/>
    </xf>
    <xf numFmtId="0" fontId="12" fillId="19" borderId="16" applyNumberFormat="0" applyProtection="0">
      <alignment horizontal="left" vertical="top" indent="1"/>
    </xf>
    <xf numFmtId="0" fontId="12" fillId="19" borderId="16" applyNumberFormat="0" applyProtection="0">
      <alignment horizontal="left" vertical="top" indent="1"/>
    </xf>
    <xf numFmtId="0" fontId="12" fillId="19" borderId="16" applyNumberFormat="0" applyProtection="0">
      <alignment horizontal="left" vertical="top" indent="1"/>
    </xf>
    <xf numFmtId="0" fontId="12" fillId="19" borderId="16" applyNumberFormat="0" applyProtection="0">
      <alignment horizontal="left" vertical="top" indent="1"/>
    </xf>
    <xf numFmtId="0" fontId="12" fillId="19" borderId="16" applyNumberFormat="0" applyProtection="0">
      <alignment horizontal="left" vertical="top" indent="1"/>
    </xf>
    <xf numFmtId="0" fontId="12" fillId="20" borderId="16" applyNumberFormat="0" applyProtection="0">
      <alignment horizontal="left" vertical="center" indent="1"/>
    </xf>
    <xf numFmtId="0" fontId="12" fillId="20" borderId="16" applyNumberFormat="0" applyProtection="0">
      <alignment horizontal="left" vertical="center" indent="1"/>
    </xf>
    <xf numFmtId="0" fontId="12" fillId="20" borderId="16" applyNumberFormat="0" applyProtection="0">
      <alignment horizontal="left" vertical="center" indent="1"/>
    </xf>
    <xf numFmtId="0" fontId="12" fillId="20" borderId="16" applyNumberFormat="0" applyProtection="0">
      <alignment horizontal="left" vertical="center" indent="1"/>
    </xf>
    <xf numFmtId="0" fontId="12" fillId="20" borderId="16" applyNumberFormat="0" applyProtection="0">
      <alignment horizontal="left" vertical="center" indent="1"/>
    </xf>
    <xf numFmtId="0" fontId="12" fillId="20" borderId="16" applyNumberFormat="0" applyProtection="0">
      <alignment horizontal="left" vertical="top" indent="1"/>
    </xf>
    <xf numFmtId="0" fontId="12" fillId="20" borderId="16" applyNumberFormat="0" applyProtection="0">
      <alignment horizontal="left" vertical="top" indent="1"/>
    </xf>
    <xf numFmtId="0" fontId="12" fillId="20" borderId="16" applyNumberFormat="0" applyProtection="0">
      <alignment horizontal="left" vertical="top" indent="1"/>
    </xf>
    <xf numFmtId="0" fontId="12" fillId="20" borderId="16" applyNumberFormat="0" applyProtection="0">
      <alignment horizontal="left" vertical="top" indent="1"/>
    </xf>
    <xf numFmtId="0" fontId="12" fillId="20" borderId="16" applyNumberFormat="0" applyProtection="0">
      <alignment horizontal="left" vertical="top" indent="1"/>
    </xf>
    <xf numFmtId="4" fontId="31" fillId="0" borderId="16" applyNumberFormat="0" applyProtection="0">
      <alignment horizontal="right" vertical="center"/>
    </xf>
    <xf numFmtId="4" fontId="31" fillId="0" borderId="16" applyNumberFormat="0" applyProtection="0">
      <alignment horizontal="right" vertical="center"/>
    </xf>
    <xf numFmtId="4" fontId="31" fillId="0" borderId="16" applyNumberFormat="0" applyProtection="0">
      <alignment horizontal="right" vertical="center"/>
    </xf>
    <xf numFmtId="4" fontId="31" fillId="0" borderId="16" applyNumberFormat="0" applyProtection="0">
      <alignment horizontal="right" vertical="center"/>
    </xf>
    <xf numFmtId="4" fontId="31" fillId="0" borderId="16" applyNumberFormat="0" applyProtection="0">
      <alignment horizontal="right" vertical="center"/>
    </xf>
    <xf numFmtId="4" fontId="31" fillId="0" borderId="16" applyNumberFormat="0" applyProtection="0">
      <alignment horizontal="right" vertical="center"/>
    </xf>
    <xf numFmtId="4" fontId="31" fillId="0" borderId="16" applyNumberFormat="0" applyProtection="0">
      <alignment horizontal="left" vertical="center" indent="1"/>
    </xf>
    <xf numFmtId="4" fontId="31" fillId="0" borderId="16" applyNumberFormat="0" applyProtection="0">
      <alignment horizontal="left" vertical="center" indent="1"/>
    </xf>
    <xf numFmtId="4" fontId="31" fillId="0" borderId="16" applyNumberFormat="0" applyProtection="0">
      <alignment horizontal="left" vertical="center" indent="1"/>
    </xf>
    <xf numFmtId="4" fontId="31" fillId="0" borderId="16" applyNumberFormat="0" applyProtection="0">
      <alignment horizontal="left" vertical="center" indent="1"/>
    </xf>
    <xf numFmtId="4" fontId="31" fillId="0" borderId="16" applyNumberFormat="0" applyProtection="0">
      <alignment horizontal="left" vertical="center" indent="1"/>
    </xf>
    <xf numFmtId="4" fontId="31" fillId="0" borderId="16" applyNumberFormat="0" applyProtection="0">
      <alignment horizontal="left" vertical="center" indent="1"/>
    </xf>
    <xf numFmtId="0" fontId="31" fillId="5" borderId="16" applyNumberFormat="0" applyProtection="0">
      <alignment horizontal="left" vertical="top"/>
    </xf>
    <xf numFmtId="0" fontId="31" fillId="5" borderId="16" applyNumberFormat="0" applyProtection="0">
      <alignment horizontal="left" vertical="top"/>
    </xf>
    <xf numFmtId="0" fontId="31" fillId="5" borderId="16" applyNumberFormat="0" applyProtection="0">
      <alignment horizontal="left" vertical="top"/>
    </xf>
    <xf numFmtId="0" fontId="31" fillId="5" borderId="16" applyNumberFormat="0" applyProtection="0">
      <alignment horizontal="left" vertical="top"/>
    </xf>
    <xf numFmtId="0" fontId="31" fillId="5" borderId="16" applyNumberFormat="0" applyProtection="0">
      <alignment horizontal="left" vertical="top"/>
    </xf>
    <xf numFmtId="0" fontId="31" fillId="5" borderId="16" applyNumberFormat="0" applyProtection="0">
      <alignment horizontal="left" vertical="top"/>
    </xf>
    <xf numFmtId="4" fontId="44" fillId="25" borderId="0" applyNumberFormat="0" applyProtection="0">
      <alignment horizontal="left"/>
    </xf>
    <xf numFmtId="4" fontId="44" fillId="25" borderId="0" applyNumberFormat="0" applyProtection="0">
      <alignment horizontal="left"/>
    </xf>
    <xf numFmtId="4" fontId="44" fillId="25" borderId="0" applyNumberFormat="0" applyProtection="0">
      <alignment horizontal="left"/>
    </xf>
    <xf numFmtId="4" fontId="44" fillId="25" borderId="0" applyNumberFormat="0" applyProtection="0">
      <alignment horizontal="left"/>
    </xf>
    <xf numFmtId="4" fontId="44" fillId="25" borderId="0" applyNumberFormat="0" applyProtection="0">
      <alignment horizontal="left"/>
    </xf>
    <xf numFmtId="4" fontId="44" fillId="25" borderId="0" applyNumberFormat="0" applyProtection="0">
      <alignment horizontal="left"/>
    </xf>
    <xf numFmtId="37" fontId="26" fillId="61" borderId="0" applyNumberFormat="0" applyFont="0" applyBorder="0" applyAlignment="0" applyProtection="0"/>
    <xf numFmtId="0" fontId="86" fillId="0" borderId="0" applyNumberFormat="0" applyFill="0" applyBorder="0" applyAlignment="0" applyProtection="0"/>
    <xf numFmtId="169" fontId="12" fillId="0" borderId="24">
      <alignment horizontal="justify" vertical="top" wrapText="1"/>
    </xf>
    <xf numFmtId="169" fontId="12" fillId="0" borderId="24">
      <alignment horizontal="justify" vertical="top" wrapText="1"/>
    </xf>
    <xf numFmtId="169" fontId="12" fillId="0" borderId="24">
      <alignment horizontal="justify" vertical="top" wrapText="1"/>
    </xf>
    <xf numFmtId="0" fontId="87" fillId="62" borderId="35"/>
    <xf numFmtId="190" fontId="12" fillId="0" borderId="0">
      <alignment horizontal="left" wrapText="1"/>
    </xf>
    <xf numFmtId="2" fontId="12" fillId="0" borderId="0" applyFill="0" applyBorder="0" applyProtection="0">
      <alignment horizontal="right"/>
    </xf>
    <xf numFmtId="14" fontId="88" fillId="63" borderId="36" applyProtection="0">
      <alignment horizontal="right"/>
    </xf>
    <xf numFmtId="0" fontId="88" fillId="0" borderId="0" applyNumberFormat="0" applyFill="0" applyBorder="0" applyProtection="0">
      <alignment horizontal="left"/>
    </xf>
    <xf numFmtId="191" fontId="12" fillId="0" borderId="0" applyFill="0" applyBorder="0" applyAlignment="0" applyProtection="0">
      <alignment wrapText="1"/>
    </xf>
    <xf numFmtId="0" fontId="41" fillId="0" borderId="0" applyNumberFormat="0" applyFill="0" applyBorder="0">
      <alignment horizontal="center" wrapText="1"/>
    </xf>
    <xf numFmtId="0" fontId="41" fillId="0" borderId="0" applyNumberFormat="0" applyFill="0" applyBorder="0">
      <alignment horizontal="center" wrapText="1"/>
    </xf>
    <xf numFmtId="0" fontId="41" fillId="0" borderId="0" applyNumberFormat="0" applyFill="0" applyBorder="0">
      <alignment horizontal="center" wrapText="1"/>
    </xf>
    <xf numFmtId="0" fontId="41" fillId="0" borderId="0" applyNumberFormat="0" applyFill="0" applyBorder="0">
      <alignment horizontal="center" wrapText="1"/>
    </xf>
    <xf numFmtId="0" fontId="66" fillId="0" borderId="30"/>
    <xf numFmtId="38" fontId="12" fillId="0" borderId="0">
      <alignment horizontal="left" wrapText="1"/>
    </xf>
    <xf numFmtId="0" fontId="89" fillId="64" borderId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41" fillId="0" borderId="20">
      <alignment horizontal="center" vertical="center" wrapText="1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65" fillId="0" borderId="12"/>
    <xf numFmtId="0" fontId="75" fillId="0" borderId="37"/>
    <xf numFmtId="0" fontId="75" fillId="0" borderId="30"/>
    <xf numFmtId="192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0" fontId="65" fillId="0" borderId="2"/>
    <xf numFmtId="38" fontId="31" fillId="0" borderId="26" applyFill="0" applyBorder="0" applyAlignment="0" applyProtection="0">
      <protection locked="0"/>
    </xf>
    <xf numFmtId="37" fontId="25" fillId="4" borderId="0" applyNumberFormat="0" applyBorder="0" applyAlignment="0" applyProtection="0"/>
    <xf numFmtId="37" fontId="25" fillId="4" borderId="0" applyNumberFormat="0" applyBorder="0" applyAlignment="0" applyProtection="0"/>
    <xf numFmtId="37" fontId="25" fillId="4" borderId="0" applyNumberFormat="0" applyBorder="0" applyAlignment="0" applyProtection="0"/>
    <xf numFmtId="37" fontId="25" fillId="0" borderId="0"/>
    <xf numFmtId="37" fontId="25" fillId="0" borderId="0"/>
    <xf numFmtId="37" fontId="25" fillId="0" borderId="0"/>
    <xf numFmtId="37" fontId="25" fillId="4" borderId="0" applyNumberFormat="0" applyBorder="0" applyAlignment="0" applyProtection="0"/>
    <xf numFmtId="194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/>
    <xf numFmtId="0" fontId="12" fillId="0" borderId="0"/>
    <xf numFmtId="0" fontId="15" fillId="0" borderId="0"/>
    <xf numFmtId="44" fontId="63" fillId="0" borderId="0" applyFont="0" applyFill="0" applyBorder="0" applyAlignment="0" applyProtection="0"/>
    <xf numFmtId="0" fontId="1" fillId="0" borderId="0"/>
  </cellStyleXfs>
  <cellXfs count="551">
    <xf numFmtId="0" fontId="0" fillId="0" borderId="0" xfId="0"/>
    <xf numFmtId="164" fontId="7" fillId="0" borderId="0" xfId="4" applyFont="1" applyAlignment="1">
      <alignment horizontal="centerContinuous"/>
    </xf>
    <xf numFmtId="164" fontId="6" fillId="0" borderId="0" xfId="4"/>
    <xf numFmtId="164" fontId="10" fillId="0" borderId="0" xfId="4" applyFont="1"/>
    <xf numFmtId="5" fontId="6" fillId="0" borderId="0" xfId="4" applyNumberFormat="1"/>
    <xf numFmtId="37" fontId="11" fillId="0" borderId="0" xfId="4" applyNumberFormat="1" applyFont="1" applyAlignment="1">
      <alignment horizontal="center"/>
    </xf>
    <xf numFmtId="5" fontId="10" fillId="0" borderId="0" xfId="4" applyNumberFormat="1" applyFont="1"/>
    <xf numFmtId="5" fontId="6" fillId="0" borderId="6" xfId="4" applyNumberFormat="1" applyBorder="1"/>
    <xf numFmtId="5" fontId="6" fillId="0" borderId="7" xfId="4" applyNumberFormat="1" applyBorder="1"/>
    <xf numFmtId="5" fontId="6" fillId="0" borderId="10" xfId="4" applyNumberFormat="1" applyBorder="1"/>
    <xf numFmtId="7" fontId="10" fillId="0" borderId="0" xfId="4" applyNumberFormat="1" applyFont="1"/>
    <xf numFmtId="5" fontId="10" fillId="0" borderId="2" xfId="4" applyNumberFormat="1" applyFont="1" applyBorder="1"/>
    <xf numFmtId="5" fontId="10" fillId="0" borderId="11" xfId="4" applyNumberFormat="1" applyFont="1" applyBorder="1"/>
    <xf numFmtId="5" fontId="10" fillId="0" borderId="12" xfId="4" applyNumberFormat="1" applyFont="1" applyBorder="1"/>
    <xf numFmtId="10" fontId="10" fillId="0" borderId="0" xfId="4" applyNumberFormat="1" applyFont="1" applyProtection="1">
      <protection locked="0"/>
    </xf>
    <xf numFmtId="168" fontId="13" fillId="0" borderId="0" xfId="4" applyNumberFormat="1" applyFont="1" applyAlignment="1">
      <alignment horizontal="right"/>
    </xf>
    <xf numFmtId="10" fontId="13" fillId="0" borderId="0" xfId="4" applyNumberFormat="1" applyFont="1" applyAlignment="1">
      <alignment horizontal="right"/>
    </xf>
    <xf numFmtId="173" fontId="13" fillId="0" borderId="0" xfId="4" applyNumberFormat="1" applyFont="1" applyAlignment="1">
      <alignment horizontal="right"/>
    </xf>
    <xf numFmtId="165" fontId="10" fillId="0" borderId="12" xfId="1" applyNumberFormat="1" applyFont="1" applyFill="1" applyBorder="1"/>
    <xf numFmtId="37" fontId="8" fillId="0" borderId="0" xfId="5" quotePrefix="1" applyNumberFormat="1" applyFont="1" applyAlignment="1">
      <alignment horizontal="center"/>
    </xf>
    <xf numFmtId="172" fontId="6" fillId="0" borderId="0" xfId="1" applyNumberFormat="1" applyFont="1" applyFill="1"/>
    <xf numFmtId="5" fontId="6" fillId="0" borderId="0" xfId="2" applyNumberFormat="1" applyFont="1" applyFill="1"/>
    <xf numFmtId="5" fontId="6" fillId="0" borderId="0" xfId="5" applyNumberFormat="1"/>
    <xf numFmtId="5" fontId="6" fillId="0" borderId="1" xfId="2" applyNumberFormat="1" applyFont="1" applyFill="1" applyBorder="1"/>
    <xf numFmtId="5" fontId="6" fillId="0" borderId="0" xfId="2" applyNumberFormat="1" applyFont="1" applyFill="1" applyBorder="1"/>
    <xf numFmtId="176" fontId="6" fillId="0" borderId="0" xfId="2" applyNumberFormat="1" applyFont="1" applyFill="1"/>
    <xf numFmtId="176" fontId="6" fillId="0" borderId="0" xfId="5" applyNumberFormat="1"/>
    <xf numFmtId="5" fontId="6" fillId="0" borderId="11" xfId="2" applyNumberFormat="1" applyFont="1" applyFill="1" applyBorder="1"/>
    <xf numFmtId="0" fontId="10" fillId="0" borderId="1" xfId="6" applyFont="1" applyBorder="1" applyAlignment="1" applyProtection="1">
      <alignment horizontal="center"/>
      <protection locked="0"/>
    </xf>
    <xf numFmtId="166" fontId="10" fillId="0" borderId="0" xfId="6" applyNumberFormat="1" applyFont="1" applyProtection="1">
      <protection locked="0"/>
    </xf>
    <xf numFmtId="164" fontId="10" fillId="0" borderId="3" xfId="4" applyFont="1" applyBorder="1"/>
    <xf numFmtId="164" fontId="10" fillId="0" borderId="9" xfId="4" applyFont="1" applyBorder="1"/>
    <xf numFmtId="7" fontId="10" fillId="0" borderId="5" xfId="4" applyNumberFormat="1" applyFont="1" applyBorder="1" applyProtection="1">
      <protection locked="0"/>
    </xf>
    <xf numFmtId="5" fontId="6" fillId="0" borderId="3" xfId="4" applyNumberFormat="1" applyBorder="1"/>
    <xf numFmtId="164" fontId="8" fillId="0" borderId="0" xfId="5" applyFont="1" applyAlignment="1">
      <alignment horizontal="center"/>
    </xf>
    <xf numFmtId="164" fontId="8" fillId="0" borderId="0" xfId="5" applyFont="1" applyAlignment="1">
      <alignment horizontal="centerContinuous"/>
    </xf>
    <xf numFmtId="164" fontId="8" fillId="0" borderId="1" xfId="5" quotePrefix="1" applyFont="1" applyBorder="1" applyAlignment="1">
      <alignment horizontal="center"/>
    </xf>
    <xf numFmtId="164" fontId="8" fillId="0" borderId="0" xfId="5" applyFont="1"/>
    <xf numFmtId="10" fontId="7" fillId="0" borderId="0" xfId="4" applyNumberFormat="1" applyFont="1" applyAlignment="1">
      <alignment horizontal="centerContinuous"/>
    </xf>
    <xf numFmtId="5" fontId="10" fillId="0" borderId="0" xfId="4" applyNumberFormat="1" applyFont="1" applyAlignment="1">
      <alignment horizontal="centerContinuous"/>
    </xf>
    <xf numFmtId="10" fontId="10" fillId="0" borderId="0" xfId="4" applyNumberFormat="1" applyFont="1"/>
    <xf numFmtId="164" fontId="11" fillId="0" borderId="0" xfId="4" applyFont="1" applyAlignment="1">
      <alignment horizontal="center"/>
    </xf>
    <xf numFmtId="10" fontId="11" fillId="0" borderId="1" xfId="4" applyNumberFormat="1" applyFont="1" applyBorder="1" applyAlignment="1">
      <alignment horizontal="centerContinuous"/>
    </xf>
    <xf numFmtId="10" fontId="11" fillId="0" borderId="2" xfId="4" applyNumberFormat="1" applyFont="1" applyBorder="1" applyAlignment="1">
      <alignment horizontal="center"/>
    </xf>
    <xf numFmtId="7" fontId="10" fillId="0" borderId="0" xfId="4" applyNumberFormat="1" applyFont="1" applyProtection="1">
      <protection locked="0"/>
    </xf>
    <xf numFmtId="10" fontId="10" fillId="0" borderId="11" xfId="4" applyNumberFormat="1" applyFont="1" applyBorder="1"/>
    <xf numFmtId="10" fontId="10" fillId="0" borderId="0" xfId="3" applyNumberFormat="1" applyFont="1" applyFill="1"/>
    <xf numFmtId="10" fontId="10" fillId="0" borderId="0" xfId="3" applyNumberFormat="1" applyFont="1" applyFill="1" applyBorder="1"/>
    <xf numFmtId="10" fontId="10" fillId="0" borderId="12" xfId="4" applyNumberFormat="1" applyFont="1" applyBorder="1"/>
    <xf numFmtId="168" fontId="10" fillId="0" borderId="0" xfId="4" applyNumberFormat="1" applyFont="1"/>
    <xf numFmtId="165" fontId="10" fillId="0" borderId="0" xfId="1" applyNumberFormat="1" applyFont="1" applyFill="1" applyBorder="1"/>
    <xf numFmtId="10" fontId="10" fillId="0" borderId="12" xfId="1" applyNumberFormat="1" applyFont="1" applyFill="1" applyBorder="1"/>
    <xf numFmtId="171" fontId="10" fillId="0" borderId="0" xfId="1" applyNumberFormat="1" applyFont="1" applyFill="1" applyBorder="1" applyProtection="1">
      <protection locked="0"/>
    </xf>
    <xf numFmtId="10" fontId="10" fillId="0" borderId="0" xfId="1" applyNumberFormat="1" applyFont="1" applyFill="1" applyBorder="1" applyProtection="1">
      <protection locked="0"/>
    </xf>
    <xf numFmtId="175" fontId="10" fillId="0" borderId="0" xfId="4" applyNumberFormat="1" applyFont="1" applyProtection="1">
      <protection locked="0"/>
    </xf>
    <xf numFmtId="175" fontId="10" fillId="0" borderId="0" xfId="4" applyNumberFormat="1" applyFont="1"/>
    <xf numFmtId="10" fontId="10" fillId="0" borderId="3" xfId="4" applyNumberFormat="1" applyFont="1" applyBorder="1" applyAlignment="1">
      <alignment horizontal="right"/>
    </xf>
    <xf numFmtId="164" fontId="14" fillId="0" borderId="4" xfId="4" applyFont="1" applyBorder="1"/>
    <xf numFmtId="164" fontId="6" fillId="0" borderId="0" xfId="5" applyAlignment="1">
      <alignment horizontal="centerContinuous"/>
    </xf>
    <xf numFmtId="164" fontId="6" fillId="0" borderId="0" xfId="5"/>
    <xf numFmtId="164" fontId="8" fillId="0" borderId="1" xfId="5" applyFont="1" applyBorder="1" applyAlignment="1">
      <alignment horizontal="center"/>
    </xf>
    <xf numFmtId="164" fontId="6" fillId="0" borderId="0" xfId="5" applyAlignment="1">
      <alignment horizontal="right"/>
    </xf>
    <xf numFmtId="175" fontId="6" fillId="0" borderId="0" xfId="2" applyNumberFormat="1" applyFont="1" applyFill="1"/>
    <xf numFmtId="164" fontId="6" fillId="0" borderId="0" xfId="5" quotePrefix="1" applyAlignment="1">
      <alignment horizontal="right"/>
    </xf>
    <xf numFmtId="164" fontId="16" fillId="0" borderId="0" xfId="5" applyFont="1"/>
    <xf numFmtId="164" fontId="9" fillId="0" borderId="0" xfId="4" applyFont="1"/>
    <xf numFmtId="164" fontId="11" fillId="0" borderId="2" xfId="4" applyFont="1" applyBorder="1" applyAlignment="1">
      <alignment horizontal="center"/>
    </xf>
    <xf numFmtId="164" fontId="10" fillId="0" borderId="11" xfId="4" applyFont="1" applyBorder="1"/>
    <xf numFmtId="164" fontId="10" fillId="0" borderId="12" xfId="4" applyFont="1" applyBorder="1"/>
    <xf numFmtId="164" fontId="8" fillId="0" borderId="0" xfId="5" applyFont="1" applyAlignment="1">
      <alignment horizontal="left"/>
    </xf>
    <xf numFmtId="5" fontId="10" fillId="0" borderId="11" xfId="2" applyNumberFormat="1" applyFont="1" applyFill="1" applyBorder="1"/>
    <xf numFmtId="164" fontId="8" fillId="0" borderId="1" xfId="5" applyFont="1" applyBorder="1" applyAlignment="1">
      <alignment horizontal="centerContinuous"/>
    </xf>
    <xf numFmtId="164" fontId="10" fillId="0" borderId="0" xfId="5" applyFont="1"/>
    <xf numFmtId="164" fontId="10" fillId="0" borderId="0" xfId="5" applyFont="1" applyAlignment="1">
      <alignment horizontal="centerContinuous"/>
    </xf>
    <xf numFmtId="164" fontId="11" fillId="0" borderId="0" xfId="5" applyFont="1" applyAlignment="1">
      <alignment horizontal="centerContinuous"/>
    </xf>
    <xf numFmtId="164" fontId="11" fillId="0" borderId="1" xfId="5" quotePrefix="1" applyFont="1" applyBorder="1" applyAlignment="1">
      <alignment horizontal="center"/>
    </xf>
    <xf numFmtId="164" fontId="11" fillId="0" borderId="0" xfId="5" applyFont="1" applyAlignment="1">
      <alignment horizontal="center"/>
    </xf>
    <xf numFmtId="5" fontId="10" fillId="0" borderId="0" xfId="2" applyNumberFormat="1" applyFont="1" applyFill="1"/>
    <xf numFmtId="5" fontId="10" fillId="0" borderId="1" xfId="2" applyNumberFormat="1" applyFont="1" applyFill="1" applyBorder="1"/>
    <xf numFmtId="166" fontId="10" fillId="0" borderId="0" xfId="2" applyNumberFormat="1" applyFont="1" applyFill="1"/>
    <xf numFmtId="166" fontId="10" fillId="0" borderId="1" xfId="2" applyNumberFormat="1" applyFont="1" applyFill="1" applyBorder="1"/>
    <xf numFmtId="166" fontId="10" fillId="0" borderId="0" xfId="2" applyNumberFormat="1" applyFont="1" applyFill="1" applyBorder="1"/>
    <xf numFmtId="166" fontId="10" fillId="0" borderId="11" xfId="2" applyNumberFormat="1" applyFont="1" applyFill="1" applyBorder="1"/>
    <xf numFmtId="164" fontId="10" fillId="0" borderId="0" xfId="4" applyFont="1" applyAlignment="1">
      <alignment horizontal="centerContinuous"/>
    </xf>
    <xf numFmtId="164" fontId="10" fillId="0" borderId="0" xfId="4" applyFont="1" applyAlignment="1">
      <alignment horizontal="left"/>
    </xf>
    <xf numFmtId="5" fontId="40" fillId="0" borderId="0" xfId="4" applyNumberFormat="1" applyFont="1"/>
    <xf numFmtId="164" fontId="14" fillId="0" borderId="0" xfId="5" applyFont="1"/>
    <xf numFmtId="3" fontId="45" fillId="0" borderId="0" xfId="213" applyNumberFormat="1" applyFont="1" applyAlignment="1">
      <alignment horizontal="centerContinuous"/>
    </xf>
    <xf numFmtId="0" fontId="46" fillId="0" borderId="0" xfId="213" applyFont="1" applyAlignment="1">
      <alignment horizontal="centerContinuous"/>
    </xf>
    <xf numFmtId="177" fontId="46" fillId="0" borderId="0" xfId="213" applyNumberFormat="1" applyFont="1" applyAlignment="1">
      <alignment horizontal="centerContinuous"/>
    </xf>
    <xf numFmtId="7" fontId="46" fillId="0" borderId="0" xfId="213" applyNumberFormat="1" applyFont="1" applyAlignment="1">
      <alignment horizontal="centerContinuous"/>
    </xf>
    <xf numFmtId="0" fontId="46" fillId="0" borderId="0" xfId="213" applyFont="1"/>
    <xf numFmtId="3" fontId="46" fillId="0" borderId="0" xfId="213" applyNumberFormat="1" applyFont="1"/>
    <xf numFmtId="177" fontId="46" fillId="0" borderId="0" xfId="213" applyNumberFormat="1" applyFont="1"/>
    <xf numFmtId="7" fontId="46" fillId="0" borderId="0" xfId="213" applyNumberFormat="1" applyFont="1"/>
    <xf numFmtId="3" fontId="49" fillId="0" borderId="0" xfId="213" applyNumberFormat="1" applyFont="1" applyAlignment="1">
      <alignment horizontal="center"/>
    </xf>
    <xf numFmtId="177" fontId="46" fillId="0" borderId="22" xfId="213" applyNumberFormat="1" applyFont="1" applyBorder="1" applyAlignment="1">
      <alignment horizontal="centerContinuous"/>
    </xf>
    <xf numFmtId="177" fontId="46" fillId="0" borderId="22" xfId="213" applyNumberFormat="1" applyFont="1" applyBorder="1" applyAlignment="1">
      <alignment horizontal="centerContinuous" wrapText="1"/>
    </xf>
    <xf numFmtId="0" fontId="46" fillId="0" borderId="0" xfId="213" applyFont="1" applyAlignment="1">
      <alignment horizontal="center"/>
    </xf>
    <xf numFmtId="0" fontId="47" fillId="0" borderId="3" xfId="213" applyFont="1" applyBorder="1"/>
    <xf numFmtId="0" fontId="47" fillId="0" borderId="22" xfId="213" applyFont="1" applyBorder="1" applyAlignment="1">
      <alignment horizontal="center"/>
    </xf>
    <xf numFmtId="0" fontId="47" fillId="0" borderId="4" xfId="213" applyFont="1" applyBorder="1" applyAlignment="1">
      <alignment horizontal="center"/>
    </xf>
    <xf numFmtId="39" fontId="46" fillId="0" borderId="0" xfId="213" applyNumberFormat="1" applyFont="1"/>
    <xf numFmtId="0" fontId="50" fillId="0" borderId="8" xfId="213" applyFont="1" applyBorder="1"/>
    <xf numFmtId="0" fontId="46" fillId="0" borderId="7" xfId="213" applyFont="1" applyBorder="1"/>
    <xf numFmtId="0" fontId="46" fillId="0" borderId="8" xfId="213" applyFont="1" applyBorder="1"/>
    <xf numFmtId="166" fontId="46" fillId="0" borderId="0" xfId="213" applyNumberFormat="1" applyFont="1"/>
    <xf numFmtId="183" fontId="51" fillId="0" borderId="0" xfId="213" applyNumberFormat="1" applyFont="1"/>
    <xf numFmtId="0" fontId="46" fillId="0" borderId="9" xfId="213" applyFont="1" applyBorder="1"/>
    <xf numFmtId="10" fontId="51" fillId="0" borderId="0" xfId="213" applyNumberFormat="1" applyFont="1"/>
    <xf numFmtId="9" fontId="46" fillId="0" borderId="0" xfId="213" applyNumberFormat="1" applyFont="1"/>
    <xf numFmtId="3" fontId="48" fillId="0" borderId="0" xfId="213" applyNumberFormat="1" applyFont="1"/>
    <xf numFmtId="0" fontId="46" fillId="0" borderId="5" xfId="213" applyFont="1" applyBorder="1" applyAlignment="1">
      <alignment horizontal="centerContinuous"/>
    </xf>
    <xf numFmtId="0" fontId="46" fillId="0" borderId="21" xfId="213" applyFont="1" applyBorder="1" applyAlignment="1">
      <alignment horizontal="centerContinuous"/>
    </xf>
    <xf numFmtId="0" fontId="46" fillId="0" borderId="3" xfId="213" applyFont="1" applyBorder="1" applyAlignment="1">
      <alignment horizontal="centerContinuous"/>
    </xf>
    <xf numFmtId="0" fontId="46" fillId="0" borderId="4" xfId="213" applyFont="1" applyBorder="1" applyAlignment="1">
      <alignment horizontal="centerContinuous"/>
    </xf>
    <xf numFmtId="0" fontId="46" fillId="0" borderId="3" xfId="213" applyFont="1" applyBorder="1" applyAlignment="1">
      <alignment horizontal="center"/>
    </xf>
    <xf numFmtId="0" fontId="46" fillId="0" borderId="9" xfId="213" applyFont="1" applyBorder="1" applyAlignment="1">
      <alignment horizontal="center"/>
    </xf>
    <xf numFmtId="0" fontId="46" fillId="0" borderId="24" xfId="213" applyFont="1" applyBorder="1" applyAlignment="1">
      <alignment horizontal="center"/>
    </xf>
    <xf numFmtId="0" fontId="46" fillId="0" borderId="25" xfId="213" applyFont="1" applyBorder="1"/>
    <xf numFmtId="177" fontId="46" fillId="0" borderId="8" xfId="213" applyNumberFormat="1" applyFont="1" applyBorder="1"/>
    <xf numFmtId="0" fontId="46" fillId="0" borderId="26" xfId="213" applyFont="1" applyBorder="1"/>
    <xf numFmtId="166" fontId="6" fillId="0" borderId="0" xfId="5" applyNumberFormat="1" applyAlignment="1">
      <alignment horizontal="centerContinuous"/>
    </xf>
    <xf numFmtId="0" fontId="0" fillId="0" borderId="0" xfId="0" applyAlignment="1">
      <alignment horizontal="centerContinuous"/>
    </xf>
    <xf numFmtId="166" fontId="0" fillId="0" borderId="0" xfId="0" applyNumberFormat="1" applyAlignment="1">
      <alignment horizontal="centerContinuous"/>
    </xf>
    <xf numFmtId="166" fontId="6" fillId="0" borderId="0" xfId="5" applyNumberFormat="1"/>
    <xf numFmtId="166" fontId="8" fillId="0" borderId="1" xfId="5" applyNumberFormat="1" applyFont="1" applyBorder="1" applyAlignment="1">
      <alignment horizontal="centerContinuous"/>
    </xf>
    <xf numFmtId="166" fontId="8" fillId="0" borderId="1" xfId="5" applyNumberFormat="1" applyFont="1" applyBorder="1" applyAlignment="1">
      <alignment horizontal="center"/>
    </xf>
    <xf numFmtId="166" fontId="8" fillId="0" borderId="0" xfId="5" applyNumberFormat="1" applyFont="1" applyAlignment="1">
      <alignment horizontal="center"/>
    </xf>
    <xf numFmtId="166" fontId="6" fillId="0" borderId="0" xfId="2" applyNumberFormat="1" applyFont="1" applyFill="1"/>
    <xf numFmtId="164" fontId="6" fillId="0" borderId="1" xfId="5" applyBorder="1" applyAlignment="1">
      <alignment horizontal="right"/>
    </xf>
    <xf numFmtId="166" fontId="6" fillId="0" borderId="1" xfId="2" applyNumberFormat="1" applyFont="1" applyFill="1" applyBorder="1"/>
    <xf numFmtId="172" fontId="6" fillId="0" borderId="1" xfId="1" applyNumberFormat="1" applyFont="1" applyFill="1" applyBorder="1"/>
    <xf numFmtId="3" fontId="6" fillId="0" borderId="0" xfId="5" applyNumberFormat="1"/>
    <xf numFmtId="172" fontId="6" fillId="0" borderId="0" xfId="1" applyNumberFormat="1" applyFont="1" applyFill="1" applyBorder="1"/>
    <xf numFmtId="166" fontId="6" fillId="0" borderId="0" xfId="2" applyNumberFormat="1" applyFont="1" applyFill="1" applyBorder="1"/>
    <xf numFmtId="172" fontId="6" fillId="0" borderId="1" xfId="1" applyNumberFormat="1" applyFont="1" applyFill="1" applyBorder="1" applyAlignment="1">
      <alignment horizontal="right"/>
    </xf>
    <xf numFmtId="172" fontId="6" fillId="0" borderId="11" xfId="1" applyNumberFormat="1" applyFont="1" applyFill="1" applyBorder="1"/>
    <xf numFmtId="166" fontId="6" fillId="0" borderId="11" xfId="2" applyNumberFormat="1" applyFont="1" applyFill="1" applyBorder="1"/>
    <xf numFmtId="166" fontId="8" fillId="0" borderId="0" xfId="5" applyNumberFormat="1" applyFont="1" applyAlignment="1">
      <alignment horizontal="centerContinuous"/>
    </xf>
    <xf numFmtId="166" fontId="8" fillId="0" borderId="0" xfId="0" quotePrefix="1" applyNumberFormat="1" applyFont="1" applyAlignment="1">
      <alignment horizontal="centerContinuous"/>
    </xf>
    <xf numFmtId="7" fontId="6" fillId="0" borderId="0" xfId="2" applyNumberFormat="1" applyFont="1" applyFill="1"/>
    <xf numFmtId="164" fontId="10" fillId="0" borderId="0" xfId="4" applyFont="1" applyAlignment="1">
      <alignment vertical="center"/>
    </xf>
    <xf numFmtId="184" fontId="0" fillId="0" borderId="0" xfId="0" applyNumberFormat="1"/>
    <xf numFmtId="0" fontId="6" fillId="0" borderId="0" xfId="0" applyFont="1"/>
    <xf numFmtId="0" fontId="8" fillId="0" borderId="0" xfId="0" applyFont="1"/>
    <xf numFmtId="0" fontId="8" fillId="0" borderId="1" xfId="0" applyFont="1" applyBorder="1"/>
    <xf numFmtId="185" fontId="0" fillId="0" borderId="0" xfId="0" quotePrefix="1" applyNumberFormat="1"/>
    <xf numFmtId="5" fontId="10" fillId="0" borderId="0" xfId="2" applyNumberFormat="1" applyFont="1" applyFill="1" applyBorder="1"/>
    <xf numFmtId="164" fontId="11" fillId="0" borderId="2" xfId="4" quotePrefix="1" applyFont="1" applyBorder="1" applyAlignment="1">
      <alignment horizontal="center"/>
    </xf>
    <xf numFmtId="164" fontId="6" fillId="0" borderId="0" xfId="5" applyAlignment="1">
      <alignment horizontal="center"/>
    </xf>
    <xf numFmtId="9" fontId="6" fillId="0" borderId="0" xfId="5" applyNumberFormat="1" applyAlignment="1">
      <alignment horizontal="center"/>
    </xf>
    <xf numFmtId="0" fontId="46" fillId="0" borderId="24" xfId="213" applyFont="1" applyBorder="1"/>
    <xf numFmtId="177" fontId="46" fillId="0" borderId="9" xfId="213" applyNumberFormat="1" applyFont="1" applyBorder="1"/>
    <xf numFmtId="5" fontId="14" fillId="0" borderId="0" xfId="2" applyNumberFormat="1" applyFont="1" applyFill="1" applyBorder="1"/>
    <xf numFmtId="10" fontId="14" fillId="0" borderId="0" xfId="2" applyNumberFormat="1" applyFont="1" applyFill="1" applyBorder="1"/>
    <xf numFmtId="164" fontId="11" fillId="0" borderId="0" xfId="5" quotePrefix="1" applyFont="1" applyAlignment="1">
      <alignment horizontal="center"/>
    </xf>
    <xf numFmtId="164" fontId="14" fillId="0" borderId="0" xfId="5" applyFont="1" applyAlignment="1">
      <alignment horizontal="center"/>
    </xf>
    <xf numFmtId="165" fontId="14" fillId="0" borderId="0" xfId="5" applyNumberFormat="1" applyFont="1"/>
    <xf numFmtId="166" fontId="14" fillId="0" borderId="0" xfId="5" applyNumberFormat="1" applyFont="1"/>
    <xf numFmtId="0" fontId="11" fillId="0" borderId="22" xfId="6" applyFont="1" applyBorder="1" applyAlignment="1" applyProtection="1">
      <alignment horizontal="centerContinuous"/>
      <protection locked="0"/>
    </xf>
    <xf numFmtId="164" fontId="8" fillId="0" borderId="22" xfId="5" quotePrefix="1" applyFont="1" applyBorder="1" applyAlignment="1">
      <alignment horizontal="center"/>
    </xf>
    <xf numFmtId="164" fontId="8" fillId="0" borderId="22" xfId="5" quotePrefix="1" applyFont="1" applyBorder="1" applyAlignment="1">
      <alignment horizontal="centerContinuous"/>
    </xf>
    <xf numFmtId="164" fontId="46" fillId="0" borderId="0" xfId="5" applyFont="1"/>
    <xf numFmtId="10" fontId="6" fillId="0" borderId="0" xfId="5" applyNumberFormat="1"/>
    <xf numFmtId="164" fontId="14" fillId="0" borderId="0" xfId="5" applyFont="1" applyAlignment="1">
      <alignment horizontal="right"/>
    </xf>
    <xf numFmtId="164" fontId="14" fillId="0" borderId="0" xfId="5" applyFont="1" applyAlignment="1">
      <alignment horizontal="centerContinuous"/>
    </xf>
    <xf numFmtId="5" fontId="14" fillId="0" borderId="0" xfId="5" applyNumberFormat="1" applyFont="1" applyAlignment="1">
      <alignment horizontal="center"/>
    </xf>
    <xf numFmtId="5" fontId="10" fillId="0" borderId="0" xfId="5" applyNumberFormat="1" applyFont="1"/>
    <xf numFmtId="5" fontId="10" fillId="0" borderId="12" xfId="1" applyNumberFormat="1" applyFont="1" applyFill="1" applyBorder="1"/>
    <xf numFmtId="164" fontId="8" fillId="0" borderId="1" xfId="5" applyFont="1" applyBorder="1"/>
    <xf numFmtId="196" fontId="14" fillId="0" borderId="0" xfId="5" applyNumberFormat="1" applyFont="1"/>
    <xf numFmtId="166" fontId="14" fillId="0" borderId="0" xfId="2" applyNumberFormat="1" applyFont="1" applyFill="1" applyBorder="1"/>
    <xf numFmtId="166" fontId="14" fillId="0" borderId="0" xfId="5" applyNumberFormat="1" applyFont="1" applyAlignment="1">
      <alignment horizontal="right"/>
    </xf>
    <xf numFmtId="174" fontId="14" fillId="0" borderId="0" xfId="5" applyNumberFormat="1" applyFont="1"/>
    <xf numFmtId="10" fontId="10" fillId="0" borderId="0" xfId="4" applyNumberFormat="1" applyFont="1" applyAlignment="1">
      <alignment horizontal="centerContinuous"/>
    </xf>
    <xf numFmtId="164" fontId="6" fillId="0" borderId="0" xfId="4" applyAlignment="1">
      <alignment horizontal="centerContinuous"/>
    </xf>
    <xf numFmtId="10" fontId="11" fillId="0" borderId="0" xfId="4" applyNumberFormat="1" applyFont="1" applyAlignment="1">
      <alignment horizontal="centerContinuous"/>
    </xf>
    <xf numFmtId="164" fontId="6" fillId="0" borderId="1" xfId="4" applyBorder="1" applyAlignment="1">
      <alignment horizontal="centerContinuous"/>
    </xf>
    <xf numFmtId="164" fontId="11" fillId="0" borderId="1" xfId="4" applyFont="1" applyBorder="1" applyAlignment="1">
      <alignment horizontal="center"/>
    </xf>
    <xf numFmtId="164" fontId="8" fillId="0" borderId="0" xfId="4" applyFont="1" applyAlignment="1">
      <alignment horizontal="center"/>
    </xf>
    <xf numFmtId="164" fontId="10" fillId="0" borderId="0" xfId="4" applyFont="1" applyAlignment="1">
      <alignment horizontal="center"/>
    </xf>
    <xf numFmtId="164" fontId="10" fillId="0" borderId="11" xfId="4" applyFont="1" applyBorder="1" applyAlignment="1">
      <alignment horizontal="center"/>
    </xf>
    <xf numFmtId="164" fontId="8" fillId="0" borderId="22" xfId="4" applyFont="1" applyBorder="1" applyAlignment="1">
      <alignment horizontal="center"/>
    </xf>
    <xf numFmtId="164" fontId="8" fillId="0" borderId="22" xfId="4" applyFont="1" applyBorder="1" applyAlignment="1">
      <alignment horizontal="center" wrapText="1"/>
    </xf>
    <xf numFmtId="7" fontId="51" fillId="0" borderId="0" xfId="213" applyNumberFormat="1" applyFont="1"/>
    <xf numFmtId="7" fontId="51" fillId="0" borderId="7" xfId="213" applyNumberFormat="1" applyFont="1" applyBorder="1"/>
    <xf numFmtId="169" fontId="51" fillId="0" borderId="0" xfId="213" applyNumberFormat="1" applyFont="1"/>
    <xf numFmtId="169" fontId="51" fillId="0" borderId="7" xfId="213" applyNumberFormat="1" applyFont="1" applyBorder="1"/>
    <xf numFmtId="0" fontId="92" fillId="0" borderId="0" xfId="213" applyFont="1"/>
    <xf numFmtId="0" fontId="92" fillId="0" borderId="7" xfId="213" applyFont="1" applyBorder="1"/>
    <xf numFmtId="0" fontId="46" fillId="0" borderId="5" xfId="213" applyFont="1" applyBorder="1"/>
    <xf numFmtId="10" fontId="51" fillId="0" borderId="21" xfId="213" applyNumberFormat="1" applyFont="1" applyBorder="1"/>
    <xf numFmtId="10" fontId="46" fillId="0" borderId="10" xfId="213" applyNumberFormat="1" applyFont="1" applyBorder="1"/>
    <xf numFmtId="10" fontId="10" fillId="0" borderId="0" xfId="3" applyNumberFormat="1" applyFont="1" applyBorder="1" applyAlignment="1">
      <alignment horizontal="center"/>
    </xf>
    <xf numFmtId="10" fontId="10" fillId="0" borderId="11" xfId="3" applyNumberFormat="1" applyFont="1" applyBorder="1" applyAlignment="1">
      <alignment horizontal="center"/>
    </xf>
    <xf numFmtId="6" fontId="14" fillId="0" borderId="0" xfId="2" applyNumberFormat="1" applyFont="1" applyFill="1" applyBorder="1"/>
    <xf numFmtId="3" fontId="93" fillId="0" borderId="0" xfId="0" applyNumberFormat="1" applyFont="1" applyAlignment="1">
      <alignment horizontal="centerContinuous"/>
    </xf>
    <xf numFmtId="7" fontId="10" fillId="0" borderId="12" xfId="1" applyNumberFormat="1" applyFont="1" applyFill="1" applyBorder="1"/>
    <xf numFmtId="37" fontId="10" fillId="0" borderId="0" xfId="1" applyNumberFormat="1" applyFont="1" applyFill="1"/>
    <xf numFmtId="37" fontId="10" fillId="0" borderId="11" xfId="1" applyNumberFormat="1" applyFont="1" applyFill="1" applyBorder="1"/>
    <xf numFmtId="0" fontId="6" fillId="0" borderId="0" xfId="5" applyNumberFormat="1"/>
    <xf numFmtId="10" fontId="14" fillId="0" borderId="0" xfId="4" applyNumberFormat="1" applyFont="1" applyProtection="1">
      <protection locked="0"/>
    </xf>
    <xf numFmtId="10" fontId="14" fillId="0" borderId="0" xfId="4" applyNumberFormat="1" applyFont="1"/>
    <xf numFmtId="10" fontId="10" fillId="0" borderId="38" xfId="4" applyNumberFormat="1" applyFont="1" applyBorder="1"/>
    <xf numFmtId="5" fontId="10" fillId="0" borderId="38" xfId="4" applyNumberFormat="1" applyFont="1" applyBorder="1"/>
    <xf numFmtId="5" fontId="14" fillId="0" borderId="0" xfId="2" applyNumberFormat="1" applyFont="1" applyFill="1"/>
    <xf numFmtId="2" fontId="6" fillId="0" borderId="0" xfId="5" applyNumberFormat="1"/>
    <xf numFmtId="164" fontId="8" fillId="0" borderId="0" xfId="217" applyFont="1" applyAlignment="1">
      <alignment horizontal="right"/>
    </xf>
    <xf numFmtId="9" fontId="8" fillId="0" borderId="0" xfId="217" applyNumberFormat="1" applyFont="1" applyAlignment="1">
      <alignment horizontal="right"/>
    </xf>
    <xf numFmtId="10" fontId="8" fillId="0" borderId="0" xfId="217" applyNumberFormat="1" applyFont="1" applyAlignment="1">
      <alignment horizontal="right"/>
    </xf>
    <xf numFmtId="164" fontId="8" fillId="0" borderId="0" xfId="217" applyFont="1"/>
    <xf numFmtId="165" fontId="8" fillId="0" borderId="0" xfId="217" applyNumberFormat="1" applyFont="1"/>
    <xf numFmtId="7" fontId="46" fillId="0" borderId="0" xfId="3" applyNumberFormat="1" applyFont="1" applyFill="1"/>
    <xf numFmtId="166" fontId="46" fillId="0" borderId="0" xfId="3" applyNumberFormat="1" applyFont="1" applyFill="1"/>
    <xf numFmtId="1" fontId="46" fillId="0" borderId="0" xfId="213" applyNumberFormat="1" applyFont="1"/>
    <xf numFmtId="166" fontId="46" fillId="0" borderId="25" xfId="3" applyNumberFormat="1" applyFont="1" applyFill="1" applyBorder="1"/>
    <xf numFmtId="166" fontId="46" fillId="0" borderId="26" xfId="3" applyNumberFormat="1" applyFont="1" applyFill="1" applyBorder="1"/>
    <xf numFmtId="166" fontId="46" fillId="0" borderId="24" xfId="3" applyNumberFormat="1" applyFont="1" applyFill="1" applyBorder="1"/>
    <xf numFmtId="10" fontId="46" fillId="0" borderId="0" xfId="213" applyNumberFormat="1" applyFont="1"/>
    <xf numFmtId="10" fontId="92" fillId="0" borderId="0" xfId="3" applyNumberFormat="1" applyFont="1" applyFill="1" applyBorder="1"/>
    <xf numFmtId="183" fontId="51" fillId="0" borderId="7" xfId="213" applyNumberFormat="1" applyFont="1" applyBorder="1"/>
    <xf numFmtId="10" fontId="46" fillId="0" borderId="10" xfId="3" applyNumberFormat="1" applyFont="1" applyFill="1" applyBorder="1"/>
    <xf numFmtId="10" fontId="51" fillId="0" borderId="6" xfId="213" applyNumberFormat="1" applyFont="1" applyBorder="1"/>
    <xf numFmtId="10" fontId="51" fillId="0" borderId="7" xfId="213" applyNumberFormat="1" applyFont="1" applyBorder="1"/>
    <xf numFmtId="37" fontId="7" fillId="0" borderId="0" xfId="4" applyNumberFormat="1" applyFont="1" applyAlignment="1">
      <alignment horizontal="centerContinuous"/>
    </xf>
    <xf numFmtId="5" fontId="7" fillId="0" borderId="0" xfId="4" applyNumberFormat="1" applyFont="1" applyAlignment="1">
      <alignment horizontal="centerContinuous"/>
    </xf>
    <xf numFmtId="37" fontId="10" fillId="0" borderId="0" xfId="4" applyNumberFormat="1" applyFont="1"/>
    <xf numFmtId="164" fontId="11" fillId="0" borderId="0" xfId="4" applyFont="1" applyAlignment="1">
      <alignment horizontal="left"/>
    </xf>
    <xf numFmtId="164" fontId="6" fillId="0" borderId="4" xfId="4" applyBorder="1"/>
    <xf numFmtId="164" fontId="10" fillId="0" borderId="8" xfId="4" applyFont="1" applyBorder="1"/>
    <xf numFmtId="164" fontId="39" fillId="0" borderId="9" xfId="4" applyFont="1" applyBorder="1"/>
    <xf numFmtId="0" fontId="10" fillId="0" borderId="0" xfId="0" applyFont="1"/>
    <xf numFmtId="10" fontId="6" fillId="0" borderId="10" xfId="3" applyNumberFormat="1" applyFont="1" applyFill="1" applyBorder="1"/>
    <xf numFmtId="170" fontId="10" fillId="0" borderId="0" xfId="4" applyNumberFormat="1" applyFont="1" applyProtection="1">
      <protection locked="0"/>
    </xf>
    <xf numFmtId="167" fontId="10" fillId="0" borderId="0" xfId="4" applyNumberFormat="1" applyFont="1" applyProtection="1">
      <protection locked="0"/>
    </xf>
    <xf numFmtId="10" fontId="14" fillId="0" borderId="0" xfId="3" applyNumberFormat="1" applyFont="1" applyFill="1" applyBorder="1"/>
    <xf numFmtId="164" fontId="40" fillId="0" borderId="0" xfId="4" applyFont="1"/>
    <xf numFmtId="168" fontId="10" fillId="0" borderId="0" xfId="4" applyNumberFormat="1" applyFont="1" applyProtection="1">
      <protection locked="0"/>
    </xf>
    <xf numFmtId="164" fontId="10" fillId="0" borderId="0" xfId="217" applyFont="1" applyAlignment="1">
      <alignment horizontal="left"/>
    </xf>
    <xf numFmtId="164" fontId="40" fillId="0" borderId="0" xfId="217" applyFont="1"/>
    <xf numFmtId="168" fontId="10" fillId="0" borderId="0" xfId="217" applyNumberFormat="1" applyFont="1" applyProtection="1">
      <protection locked="0"/>
    </xf>
    <xf numFmtId="0" fontId="10" fillId="0" borderId="0" xfId="577" applyFont="1"/>
    <xf numFmtId="37" fontId="10" fillId="0" borderId="11" xfId="4" applyNumberFormat="1" applyFont="1" applyBorder="1"/>
    <xf numFmtId="164" fontId="16" fillId="0" borderId="0" xfId="4" applyFont="1"/>
    <xf numFmtId="164" fontId="11" fillId="0" borderId="0" xfId="217" applyFont="1" applyAlignment="1">
      <alignment horizontal="left"/>
    </xf>
    <xf numFmtId="164" fontId="10" fillId="0" borderId="0" xfId="217" applyFont="1"/>
    <xf numFmtId="37" fontId="10" fillId="0" borderId="0" xfId="217" applyNumberFormat="1" applyFont="1"/>
    <xf numFmtId="5" fontId="10" fillId="0" borderId="0" xfId="217" applyNumberFormat="1" applyFont="1"/>
    <xf numFmtId="7" fontId="10" fillId="0" borderId="0" xfId="217" applyNumberFormat="1" applyFont="1" applyProtection="1">
      <protection locked="0"/>
    </xf>
    <xf numFmtId="170" fontId="10" fillId="0" borderId="0" xfId="217" applyNumberFormat="1" applyFont="1" applyProtection="1">
      <protection locked="0"/>
    </xf>
    <xf numFmtId="37" fontId="10" fillId="0" borderId="11" xfId="217" applyNumberFormat="1" applyFont="1" applyBorder="1"/>
    <xf numFmtId="164" fontId="39" fillId="0" borderId="0" xfId="4" applyFont="1"/>
    <xf numFmtId="10" fontId="6" fillId="0" borderId="0" xfId="3" applyNumberFormat="1" applyFont="1" applyFill="1" applyBorder="1"/>
    <xf numFmtId="164" fontId="6" fillId="0" borderId="6" xfId="4" applyBorder="1"/>
    <xf numFmtId="164" fontId="10" fillId="0" borderId="5" xfId="4" applyFont="1" applyBorder="1"/>
    <xf numFmtId="164" fontId="14" fillId="0" borderId="0" xfId="4" applyFont="1" applyAlignment="1">
      <alignment horizontal="left"/>
    </xf>
    <xf numFmtId="6" fontId="6" fillId="0" borderId="0" xfId="3" applyNumberFormat="1" applyFont="1" applyFill="1" applyAlignment="1">
      <alignment horizontal="right"/>
    </xf>
    <xf numFmtId="37" fontId="10" fillId="0" borderId="12" xfId="4" applyNumberFormat="1" applyFont="1" applyBorder="1"/>
    <xf numFmtId="170" fontId="10" fillId="0" borderId="0" xfId="4" applyNumberFormat="1" applyFont="1"/>
    <xf numFmtId="10" fontId="10" fillId="0" borderId="38" xfId="3" applyNumberFormat="1" applyFont="1" applyFill="1" applyBorder="1"/>
    <xf numFmtId="170" fontId="14" fillId="0" borderId="0" xfId="4" applyNumberFormat="1" applyFont="1"/>
    <xf numFmtId="0" fontId="2" fillId="0" borderId="0" xfId="805"/>
    <xf numFmtId="165" fontId="10" fillId="0" borderId="0" xfId="0" applyNumberFormat="1" applyFont="1"/>
    <xf numFmtId="37" fontId="10" fillId="0" borderId="11" xfId="4" applyNumberFormat="1" applyFont="1" applyBorder="1" applyProtection="1">
      <protection locked="0"/>
    </xf>
    <xf numFmtId="0" fontId="94" fillId="0" borderId="0" xfId="1082" applyFont="1"/>
    <xf numFmtId="37" fontId="94" fillId="0" borderId="0" xfId="1082" applyNumberFormat="1" applyFont="1"/>
    <xf numFmtId="5" fontId="94" fillId="0" borderId="0" xfId="1082" applyNumberFormat="1" applyFont="1"/>
    <xf numFmtId="10" fontId="6" fillId="0" borderId="10" xfId="3" applyNumberFormat="1" applyFont="1" applyFill="1" applyBorder="1" applyAlignment="1">
      <alignment horizontal="right"/>
    </xf>
    <xf numFmtId="164" fontId="6" fillId="0" borderId="0" xfId="4" applyAlignment="1">
      <alignment horizontal="right"/>
    </xf>
    <xf numFmtId="174" fontId="9" fillId="0" borderId="0" xfId="4" applyNumberFormat="1" applyFont="1"/>
    <xf numFmtId="37" fontId="10" fillId="0" borderId="2" xfId="4" applyNumberFormat="1" applyFont="1" applyBorder="1"/>
    <xf numFmtId="0" fontId="9" fillId="0" borderId="0" xfId="0" applyFont="1"/>
    <xf numFmtId="164" fontId="10" fillId="0" borderId="2" xfId="4" applyFont="1" applyBorder="1"/>
    <xf numFmtId="9" fontId="6" fillId="0" borderId="0" xfId="3" applyFont="1" applyFill="1"/>
    <xf numFmtId="9" fontId="6" fillId="0" borderId="0" xfId="4" applyNumberFormat="1"/>
    <xf numFmtId="0" fontId="10" fillId="0" borderId="0" xfId="0" applyFont="1" applyAlignment="1">
      <alignment horizontal="center"/>
    </xf>
    <xf numFmtId="37" fontId="10" fillId="0" borderId="0" xfId="4" applyNumberFormat="1" applyFont="1" applyProtection="1">
      <protection locked="0"/>
    </xf>
    <xf numFmtId="37" fontId="10" fillId="0" borderId="12" xfId="4" applyNumberFormat="1" applyFont="1" applyBorder="1" applyProtection="1">
      <protection locked="0"/>
    </xf>
    <xf numFmtId="164" fontId="95" fillId="0" borderId="0" xfId="4" applyFont="1" applyAlignment="1">
      <alignment horizontal="left"/>
    </xf>
    <xf numFmtId="164" fontId="40" fillId="0" borderId="0" xfId="4" applyFont="1" applyAlignment="1">
      <alignment horizontal="left"/>
    </xf>
    <xf numFmtId="49" fontId="11" fillId="0" borderId="0" xfId="4" applyNumberFormat="1" applyFont="1"/>
    <xf numFmtId="183" fontId="10" fillId="0" borderId="0" xfId="4" applyNumberFormat="1" applyFont="1" applyProtection="1">
      <protection locked="0"/>
    </xf>
    <xf numFmtId="5" fontId="10" fillId="0" borderId="0" xfId="4" applyNumberFormat="1" applyFont="1" applyProtection="1">
      <protection locked="0"/>
    </xf>
    <xf numFmtId="177" fontId="10" fillId="0" borderId="0" xfId="4" applyNumberFormat="1" applyFont="1" applyProtection="1">
      <protection locked="0"/>
    </xf>
    <xf numFmtId="177" fontId="10" fillId="0" borderId="0" xfId="4" applyNumberFormat="1" applyFont="1"/>
    <xf numFmtId="164" fontId="96" fillId="0" borderId="0" xfId="4" applyFont="1" applyAlignment="1">
      <alignment horizontal="left"/>
    </xf>
    <xf numFmtId="37" fontId="10" fillId="0" borderId="2" xfId="4" applyNumberFormat="1" applyFont="1" applyBorder="1" applyProtection="1">
      <protection locked="0"/>
    </xf>
    <xf numFmtId="37" fontId="10" fillId="0" borderId="38" xfId="4" applyNumberFormat="1" applyFont="1" applyBorder="1"/>
    <xf numFmtId="170" fontId="10" fillId="0" borderId="38" xfId="4" applyNumberFormat="1" applyFont="1" applyBorder="1"/>
    <xf numFmtId="0" fontId="7" fillId="0" borderId="39" xfId="0" applyFont="1" applyBorder="1" applyAlignment="1">
      <alignment horizontal="left"/>
    </xf>
    <xf numFmtId="177" fontId="10" fillId="0" borderId="0" xfId="217" applyNumberFormat="1" applyFont="1" applyProtection="1">
      <protection locked="0"/>
    </xf>
    <xf numFmtId="197" fontId="10" fillId="0" borderId="0" xfId="217" applyNumberFormat="1" applyFont="1"/>
    <xf numFmtId="177" fontId="10" fillId="0" borderId="0" xfId="217" applyNumberFormat="1" applyFont="1"/>
    <xf numFmtId="170" fontId="10" fillId="0" borderId="0" xfId="217" applyNumberFormat="1" applyFont="1"/>
    <xf numFmtId="0" fontId="10" fillId="0" borderId="0" xfId="184" applyFont="1"/>
    <xf numFmtId="37" fontId="10" fillId="0" borderId="2" xfId="217" applyNumberFormat="1" applyFont="1" applyBorder="1" applyProtection="1">
      <protection locked="0"/>
    </xf>
    <xf numFmtId="37" fontId="10" fillId="0" borderId="0" xfId="217" applyNumberFormat="1" applyFont="1" applyProtection="1">
      <protection locked="0"/>
    </xf>
    <xf numFmtId="5" fontId="10" fillId="0" borderId="2" xfId="217" applyNumberFormat="1" applyFont="1" applyBorder="1"/>
    <xf numFmtId="164" fontId="96" fillId="0" borderId="0" xfId="217" applyFont="1" applyAlignment="1">
      <alignment horizontal="left"/>
    </xf>
    <xf numFmtId="7" fontId="10" fillId="0" borderId="0" xfId="217" applyNumberFormat="1" applyFont="1"/>
    <xf numFmtId="5" fontId="10" fillId="0" borderId="0" xfId="217" quotePrefix="1" applyNumberFormat="1" applyFont="1"/>
    <xf numFmtId="170" fontId="10" fillId="0" borderId="1" xfId="217" applyNumberFormat="1" applyFont="1" applyBorder="1"/>
    <xf numFmtId="37" fontId="10" fillId="0" borderId="12" xfId="217" applyNumberFormat="1" applyFont="1" applyBorder="1"/>
    <xf numFmtId="5" fontId="10" fillId="0" borderId="12" xfId="217" applyNumberFormat="1" applyFont="1" applyBorder="1"/>
    <xf numFmtId="5" fontId="10" fillId="0" borderId="11" xfId="217" applyNumberFormat="1" applyFont="1" applyBorder="1"/>
    <xf numFmtId="37" fontId="10" fillId="0" borderId="1" xfId="4" applyNumberFormat="1" applyFont="1" applyBorder="1"/>
    <xf numFmtId="168" fontId="10" fillId="0" borderId="12" xfId="4" applyNumberFormat="1" applyFont="1" applyBorder="1"/>
    <xf numFmtId="37" fontId="10" fillId="0" borderId="13" xfId="4" applyNumberFormat="1" applyFont="1" applyBorder="1"/>
    <xf numFmtId="168" fontId="10" fillId="0" borderId="11" xfId="4" applyNumberFormat="1" applyFont="1" applyBorder="1"/>
    <xf numFmtId="170" fontId="10" fillId="0" borderId="1" xfId="4" applyNumberFormat="1" applyFont="1" applyBorder="1"/>
    <xf numFmtId="5" fontId="10" fillId="0" borderId="1" xfId="4" applyNumberFormat="1" applyFont="1" applyBorder="1"/>
    <xf numFmtId="164" fontId="10" fillId="0" borderId="0" xfId="4" applyFont="1" applyAlignment="1">
      <alignment horizontal="right"/>
    </xf>
    <xf numFmtId="9" fontId="10" fillId="0" borderId="0" xfId="4" applyNumberFormat="1" applyFont="1"/>
    <xf numFmtId="0" fontId="41" fillId="0" borderId="40" xfId="1081" applyFont="1" applyBorder="1" applyAlignment="1">
      <alignment horizontal="centerContinuous"/>
    </xf>
    <xf numFmtId="0" fontId="41" fillId="0" borderId="41" xfId="1081" applyFont="1" applyBorder="1" applyAlignment="1">
      <alignment horizontal="right"/>
    </xf>
    <xf numFmtId="0" fontId="12" fillId="0" borderId="0" xfId="1081"/>
    <xf numFmtId="0" fontId="41" fillId="0" borderId="0" xfId="1081" applyFont="1" applyAlignment="1">
      <alignment horizontal="centerContinuous"/>
    </xf>
    <xf numFmtId="0" fontId="12" fillId="0" borderId="42" xfId="1081" applyBorder="1"/>
    <xf numFmtId="0" fontId="12" fillId="0" borderId="0" xfId="1081" applyAlignment="1">
      <alignment horizontal="center"/>
    </xf>
    <xf numFmtId="0" fontId="12" fillId="0" borderId="0" xfId="1081" applyAlignment="1">
      <alignment horizontal="left"/>
    </xf>
    <xf numFmtId="0" fontId="12" fillId="0" borderId="0" xfId="1081" quotePrefix="1" applyAlignment="1">
      <alignment horizontal="center"/>
    </xf>
    <xf numFmtId="0" fontId="12" fillId="0" borderId="42" xfId="1081" applyBorder="1" applyProtection="1">
      <protection locked="0"/>
    </xf>
    <xf numFmtId="0" fontId="12" fillId="0" borderId="0" xfId="1081" applyProtection="1">
      <protection locked="0"/>
    </xf>
    <xf numFmtId="172" fontId="12" fillId="0" borderId="0" xfId="1" quotePrefix="1" applyNumberFormat="1" applyFont="1" applyFill="1" applyBorder="1" applyAlignment="1" applyProtection="1">
      <alignment horizontal="center"/>
    </xf>
    <xf numFmtId="0" fontId="98" fillId="0" borderId="0" xfId="1081" applyFont="1" applyAlignment="1">
      <alignment horizontal="center"/>
    </xf>
    <xf numFmtId="176" fontId="12" fillId="0" borderId="0" xfId="1083" quotePrefix="1" applyNumberFormat="1" applyFont="1" applyFill="1" applyBorder="1" applyAlignment="1" applyProtection="1">
      <alignment horizontal="center"/>
    </xf>
    <xf numFmtId="0" fontId="12" fillId="0" borderId="0" xfId="1081" quotePrefix="1" applyAlignment="1">
      <alignment horizontal="left"/>
    </xf>
    <xf numFmtId="0" fontId="12" fillId="0" borderId="0" xfId="1081" applyAlignment="1" applyProtection="1">
      <alignment horizontal="center"/>
      <protection locked="0"/>
    </xf>
    <xf numFmtId="173" fontId="12" fillId="0" borderId="0" xfId="3" applyNumberFormat="1" applyFont="1" applyFill="1" applyAlignment="1" applyProtection="1">
      <alignment horizontal="center"/>
    </xf>
    <xf numFmtId="172" fontId="12" fillId="0" borderId="42" xfId="1081" applyNumberFormat="1" applyBorder="1" applyProtection="1">
      <protection locked="0"/>
    </xf>
    <xf numFmtId="0" fontId="41" fillId="0" borderId="0" xfId="1081" applyFont="1" applyAlignment="1">
      <alignment horizontal="left" indent="2"/>
    </xf>
    <xf numFmtId="0" fontId="41" fillId="0" borderId="0" xfId="1081" quotePrefix="1" applyFont="1" applyAlignment="1">
      <alignment horizontal="center"/>
    </xf>
    <xf numFmtId="176" fontId="41" fillId="0" borderId="22" xfId="1083" quotePrefix="1" applyNumberFormat="1" applyFont="1" applyFill="1" applyBorder="1" applyAlignment="1" applyProtection="1">
      <alignment horizontal="center"/>
    </xf>
    <xf numFmtId="176" fontId="41" fillId="0" borderId="0" xfId="1083" quotePrefix="1" applyNumberFormat="1" applyFont="1" applyFill="1" applyBorder="1" applyAlignment="1" applyProtection="1">
      <alignment horizontal="center"/>
    </xf>
    <xf numFmtId="172" fontId="41" fillId="0" borderId="0" xfId="1" quotePrefix="1" applyNumberFormat="1" applyFont="1" applyFill="1" applyBorder="1" applyAlignment="1" applyProtection="1">
      <alignment horizontal="center"/>
    </xf>
    <xf numFmtId="0" fontId="12" fillId="0" borderId="0" xfId="1081" quotePrefix="1" applyAlignment="1">
      <alignment horizontal="left" wrapText="1"/>
    </xf>
    <xf numFmtId="172" fontId="12" fillId="0" borderId="0" xfId="1" applyNumberFormat="1" applyFont="1" applyFill="1" applyBorder="1" applyProtection="1"/>
    <xf numFmtId="172" fontId="12" fillId="0" borderId="0" xfId="1" applyNumberFormat="1" applyFont="1" applyFill="1" applyBorder="1" applyProtection="1">
      <protection locked="0"/>
    </xf>
    <xf numFmtId="172" fontId="12" fillId="0" borderId="0" xfId="1081" applyNumberFormat="1"/>
    <xf numFmtId="172" fontId="12" fillId="0" borderId="0" xfId="1" applyNumberFormat="1" applyFont="1" applyFill="1" applyBorder="1" applyAlignment="1" applyProtection="1">
      <alignment horizontal="center"/>
      <protection locked="0"/>
    </xf>
    <xf numFmtId="10" fontId="12" fillId="0" borderId="0" xfId="3" applyNumberFormat="1" applyFont="1" applyFill="1" applyBorder="1" applyAlignment="1" applyProtection="1">
      <alignment horizontal="center"/>
      <protection locked="0"/>
    </xf>
    <xf numFmtId="0" fontId="41" fillId="0" borderId="0" xfId="1081" applyFont="1" applyAlignment="1">
      <alignment horizontal="center"/>
    </xf>
    <xf numFmtId="176" fontId="41" fillId="0" borderId="43" xfId="1081" quotePrefix="1" applyNumberFormat="1" applyFont="1" applyBorder="1" applyAlignment="1">
      <alignment horizontal="center"/>
    </xf>
    <xf numFmtId="172" fontId="12" fillId="0" borderId="42" xfId="1" applyNumberFormat="1" applyFont="1" applyFill="1" applyBorder="1" applyAlignment="1" applyProtection="1">
      <alignment vertical="center"/>
    </xf>
    <xf numFmtId="0" fontId="12" fillId="0" borderId="0" xfId="1081" applyAlignment="1">
      <alignment horizontal="left" indent="3"/>
    </xf>
    <xf numFmtId="198" fontId="12" fillId="0" borderId="0" xfId="1081" quotePrefix="1" applyNumberFormat="1" applyAlignment="1">
      <alignment horizontal="center"/>
    </xf>
    <xf numFmtId="170" fontId="12" fillId="0" borderId="0" xfId="1" quotePrefix="1" applyNumberFormat="1" applyFont="1" applyFill="1" applyBorder="1" applyAlignment="1" applyProtection="1">
      <alignment horizontal="center"/>
    </xf>
    <xf numFmtId="173" fontId="12" fillId="0" borderId="0" xfId="1081" quotePrefix="1" applyNumberFormat="1" applyAlignment="1">
      <alignment horizontal="center"/>
    </xf>
    <xf numFmtId="0" fontId="12" fillId="0" borderId="15" xfId="1081" quotePrefix="1" applyBorder="1" applyAlignment="1">
      <alignment horizontal="center"/>
    </xf>
    <xf numFmtId="172" fontId="12" fillId="0" borderId="44" xfId="1" applyNumberFormat="1" applyFont="1" applyFill="1" applyBorder="1" applyAlignment="1" applyProtection="1">
      <alignment vertical="center"/>
    </xf>
    <xf numFmtId="172" fontId="12" fillId="0" borderId="0" xfId="1" applyNumberFormat="1" applyFont="1" applyFill="1" applyAlignment="1" applyProtection="1">
      <alignment vertical="center"/>
    </xf>
    <xf numFmtId="172" fontId="41" fillId="0" borderId="0" xfId="1" applyNumberFormat="1" applyFont="1" applyFill="1" applyBorder="1" applyProtection="1">
      <protection locked="0"/>
    </xf>
    <xf numFmtId="176" fontId="12" fillId="0" borderId="0" xfId="1081" quotePrefix="1" applyNumberFormat="1" applyAlignment="1">
      <alignment horizontal="center"/>
    </xf>
    <xf numFmtId="172" fontId="12" fillId="0" borderId="0" xfId="1081" applyNumberFormat="1" applyProtection="1">
      <protection locked="0"/>
    </xf>
    <xf numFmtId="0" fontId="12" fillId="0" borderId="0" xfId="1081" applyAlignment="1">
      <alignment vertical="center"/>
    </xf>
    <xf numFmtId="172" fontId="12" fillId="0" borderId="0" xfId="1" applyNumberFormat="1" applyFont="1" applyFill="1" applyBorder="1" applyAlignment="1" applyProtection="1">
      <alignment vertical="center"/>
    </xf>
    <xf numFmtId="0" fontId="12" fillId="0" borderId="0" xfId="1081" quotePrefix="1" applyAlignment="1">
      <alignment horizontal="left" vertical="center"/>
    </xf>
    <xf numFmtId="0" fontId="42" fillId="0" borderId="0" xfId="0" applyFont="1"/>
    <xf numFmtId="0" fontId="12" fillId="0" borderId="0" xfId="0" applyFont="1"/>
    <xf numFmtId="199" fontId="12" fillId="0" borderId="0" xfId="0" applyNumberFormat="1" applyFont="1"/>
    <xf numFmtId="37" fontId="41" fillId="0" borderId="0" xfId="0" applyNumberFormat="1" applyFont="1" applyAlignment="1">
      <alignment horizontal="centerContinuous"/>
    </xf>
    <xf numFmtId="0" fontId="12" fillId="0" borderId="0" xfId="0" applyFont="1" applyAlignment="1">
      <alignment horizontal="centerContinuous"/>
    </xf>
    <xf numFmtId="37" fontId="12" fillId="0" borderId="0" xfId="0" applyNumberFormat="1" applyFont="1" applyAlignment="1">
      <alignment horizontal="centerContinuous"/>
    </xf>
    <xf numFmtId="199" fontId="12" fillId="0" borderId="0" xfId="0" applyNumberFormat="1" applyFont="1" applyAlignment="1">
      <alignment horizontal="centerContinuous"/>
    </xf>
    <xf numFmtId="37" fontId="41" fillId="0" borderId="0" xfId="0" applyNumberFormat="1" applyFont="1"/>
    <xf numFmtId="2" fontId="42" fillId="0" borderId="0" xfId="0" applyNumberFormat="1" applyFont="1" applyAlignment="1">
      <alignment horizontal="center"/>
    </xf>
    <xf numFmtId="0" fontId="41" fillId="0" borderId="0" xfId="0" applyFont="1"/>
    <xf numFmtId="0" fontId="41" fillId="0" borderId="45" xfId="0" applyFont="1" applyBorder="1"/>
    <xf numFmtId="0" fontId="41" fillId="0" borderId="46" xfId="0" applyFont="1" applyBorder="1"/>
    <xf numFmtId="0" fontId="41" fillId="0" borderId="47" xfId="0" applyFont="1" applyBorder="1"/>
    <xf numFmtId="0" fontId="41" fillId="0" borderId="46" xfId="0" applyFont="1" applyBorder="1" applyAlignment="1">
      <alignment horizontal="center"/>
    </xf>
    <xf numFmtId="172" fontId="41" fillId="0" borderId="46" xfId="1" applyNumberFormat="1" applyFont="1" applyFill="1" applyBorder="1" applyAlignment="1">
      <alignment horizontal="center"/>
    </xf>
    <xf numFmtId="199" fontId="41" fillId="0" borderId="48" xfId="0" applyNumberFormat="1" applyFont="1" applyBorder="1"/>
    <xf numFmtId="0" fontId="41" fillId="0" borderId="49" xfId="0" applyFont="1" applyBorder="1" applyAlignment="1">
      <alignment horizontal="center"/>
    </xf>
    <xf numFmtId="0" fontId="41" fillId="0" borderId="50" xfId="0" applyFont="1" applyBorder="1"/>
    <xf numFmtId="0" fontId="41" fillId="0" borderId="0" xfId="0" applyFont="1" applyAlignment="1">
      <alignment horizontal="center"/>
    </xf>
    <xf numFmtId="0" fontId="41" fillId="0" borderId="50" xfId="0" applyFont="1" applyBorder="1" applyAlignment="1">
      <alignment horizontal="center"/>
    </xf>
    <xf numFmtId="0" fontId="41" fillId="0" borderId="35" xfId="0" applyFont="1" applyBorder="1" applyAlignment="1">
      <alignment horizontal="center"/>
    </xf>
    <xf numFmtId="37" fontId="41" fillId="0" borderId="26" xfId="0" applyNumberFormat="1" applyFont="1" applyBorder="1" applyAlignment="1">
      <alignment horizontal="center"/>
    </xf>
    <xf numFmtId="199" fontId="41" fillId="0" borderId="51" xfId="0" applyNumberFormat="1" applyFont="1" applyBorder="1"/>
    <xf numFmtId="0" fontId="41" fillId="0" borderId="52" xfId="0" applyFont="1" applyBorder="1" applyAlignment="1">
      <alignment horizontal="center"/>
    </xf>
    <xf numFmtId="0" fontId="41" fillId="0" borderId="53" xfId="0" applyFont="1" applyBorder="1" applyAlignment="1">
      <alignment horizontal="center"/>
    </xf>
    <xf numFmtId="0" fontId="41" fillId="0" borderId="1" xfId="0" applyFont="1" applyBorder="1" applyAlignment="1">
      <alignment horizontal="centerContinuous"/>
    </xf>
    <xf numFmtId="0" fontId="41" fillId="0" borderId="53" xfId="0" applyFont="1" applyBorder="1" applyAlignment="1">
      <alignment horizontal="centerContinuous"/>
    </xf>
    <xf numFmtId="0" fontId="41" fillId="0" borderId="54" xfId="0" applyFont="1" applyBorder="1" applyAlignment="1">
      <alignment horizontal="center" wrapText="1"/>
    </xf>
    <xf numFmtId="199" fontId="41" fillId="0" borderId="55" xfId="0" applyNumberFormat="1" applyFont="1" applyBorder="1" applyAlignment="1">
      <alignment horizontal="center"/>
    </xf>
    <xf numFmtId="0" fontId="41" fillId="0" borderId="56" xfId="0" applyFont="1" applyBorder="1" applyAlignment="1">
      <alignment horizontal="center"/>
    </xf>
    <xf numFmtId="0" fontId="41" fillId="0" borderId="57" xfId="0" applyFont="1" applyBorder="1"/>
    <xf numFmtId="0" fontId="41" fillId="0" borderId="21" xfId="0" applyFont="1" applyBorder="1"/>
    <xf numFmtId="0" fontId="41" fillId="0" borderId="58" xfId="0" applyFont="1" applyBorder="1"/>
    <xf numFmtId="199" fontId="12" fillId="0" borderId="59" xfId="0" applyNumberFormat="1" applyFont="1" applyBorder="1"/>
    <xf numFmtId="0" fontId="41" fillId="0" borderId="60" xfId="0" applyFont="1" applyBorder="1" applyAlignment="1">
      <alignment horizontal="center"/>
    </xf>
    <xf numFmtId="0" fontId="41" fillId="0" borderId="61" xfId="0" applyFont="1" applyBorder="1"/>
    <xf numFmtId="9" fontId="41" fillId="0" borderId="62" xfId="0" applyNumberFormat="1" applyFont="1" applyBorder="1" applyAlignment="1">
      <alignment horizontal="center"/>
    </xf>
    <xf numFmtId="0" fontId="41" fillId="0" borderId="62" xfId="0" applyFont="1" applyBorder="1" applyAlignment="1">
      <alignment horizontal="center"/>
    </xf>
    <xf numFmtId="9" fontId="41" fillId="0" borderId="61" xfId="0" applyNumberFormat="1" applyFont="1" applyBorder="1" applyAlignment="1">
      <alignment horizontal="center"/>
    </xf>
    <xf numFmtId="179" fontId="41" fillId="0" borderId="61" xfId="0" applyNumberFormat="1" applyFont="1" applyBorder="1"/>
    <xf numFmtId="200" fontId="41" fillId="0" borderId="63" xfId="0" applyNumberFormat="1" applyFont="1" applyBorder="1" applyAlignment="1">
      <alignment horizontal="right"/>
    </xf>
    <xf numFmtId="0" fontId="41" fillId="0" borderId="64" xfId="0" applyFont="1" applyBorder="1" applyAlignment="1">
      <alignment horizontal="center"/>
    </xf>
    <xf numFmtId="0" fontId="41" fillId="0" borderId="65" xfId="0" applyFont="1" applyBorder="1"/>
    <xf numFmtId="9" fontId="41" fillId="0" borderId="2" xfId="0" applyNumberFormat="1" applyFont="1" applyBorder="1" applyAlignment="1">
      <alignment horizontal="center"/>
    </xf>
    <xf numFmtId="0" fontId="41" fillId="0" borderId="2" xfId="0" applyFont="1" applyBorder="1" applyAlignment="1">
      <alignment horizontal="center"/>
    </xf>
    <xf numFmtId="179" fontId="41" fillId="0" borderId="65" xfId="0" applyNumberFormat="1" applyFont="1" applyBorder="1"/>
    <xf numFmtId="0" fontId="41" fillId="0" borderId="64" xfId="0" quotePrefix="1" applyFont="1" applyBorder="1" applyAlignment="1">
      <alignment horizontal="center"/>
    </xf>
    <xf numFmtId="9" fontId="41" fillId="0" borderId="65" xfId="0" applyNumberFormat="1" applyFont="1" applyBorder="1" applyAlignment="1">
      <alignment horizontal="center"/>
    </xf>
    <xf numFmtId="0" fontId="41" fillId="0" borderId="2" xfId="0" applyFont="1" applyBorder="1"/>
    <xf numFmtId="0" fontId="41" fillId="0" borderId="1" xfId="0" applyFont="1" applyBorder="1"/>
    <xf numFmtId="0" fontId="41" fillId="0" borderId="66" xfId="0" applyFont="1" applyBorder="1" applyAlignment="1">
      <alignment horizontal="center"/>
    </xf>
    <xf numFmtId="0" fontId="41" fillId="0" borderId="4" xfId="0" applyFont="1" applyBorder="1" applyAlignment="1">
      <alignment horizontal="left"/>
    </xf>
    <xf numFmtId="0" fontId="41" fillId="0" borderId="4" xfId="0" applyFont="1" applyBorder="1"/>
    <xf numFmtId="0" fontId="41" fillId="0" borderId="65" xfId="0" quotePrefix="1" applyFont="1" applyBorder="1" applyAlignment="1">
      <alignment horizontal="left"/>
    </xf>
    <xf numFmtId="0" fontId="41" fillId="0" borderId="53" xfId="0" applyFont="1" applyBorder="1"/>
    <xf numFmtId="179" fontId="41" fillId="0" borderId="53" xfId="0" applyNumberFormat="1" applyFont="1" applyBorder="1"/>
    <xf numFmtId="0" fontId="41" fillId="0" borderId="67" xfId="0" applyFont="1" applyBorder="1" applyAlignment="1">
      <alignment horizontal="center"/>
    </xf>
    <xf numFmtId="0" fontId="41" fillId="0" borderId="6" xfId="0" applyFont="1" applyBorder="1" applyAlignment="1">
      <alignment horizontal="left"/>
    </xf>
    <xf numFmtId="0" fontId="41" fillId="0" borderId="68" xfId="0" applyFont="1" applyBorder="1"/>
    <xf numFmtId="0" fontId="41" fillId="0" borderId="69" xfId="0" applyFont="1" applyBorder="1"/>
    <xf numFmtId="179" fontId="41" fillId="0" borderId="68" xfId="1" applyNumberFormat="1" applyFont="1" applyFill="1" applyBorder="1" applyProtection="1"/>
    <xf numFmtId="0" fontId="41" fillId="0" borderId="3" xfId="0" applyFont="1" applyBorder="1"/>
    <xf numFmtId="0" fontId="41" fillId="0" borderId="22" xfId="0" applyFont="1" applyBorder="1"/>
    <xf numFmtId="0" fontId="41" fillId="0" borderId="70" xfId="0" applyFont="1" applyBorder="1"/>
    <xf numFmtId="179" fontId="41" fillId="0" borderId="70" xfId="0" applyNumberFormat="1" applyFont="1" applyBorder="1"/>
    <xf numFmtId="0" fontId="41" fillId="0" borderId="5" xfId="0" applyFont="1" applyBorder="1"/>
    <xf numFmtId="0" fontId="41" fillId="0" borderId="71" xfId="0" applyFont="1" applyBorder="1" applyAlignment="1">
      <alignment horizontal="center"/>
    </xf>
    <xf numFmtId="0" fontId="41" fillId="0" borderId="72" xfId="0" applyFont="1" applyBorder="1" applyAlignment="1">
      <alignment horizontal="left"/>
    </xf>
    <xf numFmtId="0" fontId="41" fillId="0" borderId="73" xfId="0" applyFont="1" applyBorder="1"/>
    <xf numFmtId="0" fontId="41" fillId="0" borderId="36" xfId="0" applyFont="1" applyBorder="1"/>
    <xf numFmtId="0" fontId="41" fillId="0" borderId="74" xfId="0" applyFont="1" applyBorder="1"/>
    <xf numFmtId="179" fontId="41" fillId="0" borderId="75" xfId="0" applyNumberFormat="1" applyFont="1" applyBorder="1"/>
    <xf numFmtId="179" fontId="41" fillId="0" borderId="76" xfId="0" applyNumberFormat="1" applyFont="1" applyBorder="1"/>
    <xf numFmtId="199" fontId="41" fillId="0" borderId="77" xfId="0" applyNumberFormat="1" applyFont="1" applyBorder="1" applyAlignment="1">
      <alignment horizontal="right"/>
    </xf>
    <xf numFmtId="0" fontId="12" fillId="0" borderId="78" xfId="0" applyFont="1" applyBorder="1"/>
    <xf numFmtId="0" fontId="12" fillId="0" borderId="23" xfId="0" applyFont="1" applyBorder="1"/>
    <xf numFmtId="200" fontId="12" fillId="0" borderId="79" xfId="0" applyNumberFormat="1" applyFont="1" applyBorder="1"/>
    <xf numFmtId="201" fontId="12" fillId="0" borderId="0" xfId="0" applyNumberFormat="1" applyFont="1"/>
    <xf numFmtId="202" fontId="41" fillId="0" borderId="0" xfId="0" applyNumberFormat="1" applyFont="1"/>
    <xf numFmtId="0" fontId="8" fillId="0" borderId="0" xfId="1081" applyFont="1" applyAlignment="1">
      <alignment horizontal="centerContinuous"/>
    </xf>
    <xf numFmtId="0" fontId="6" fillId="0" borderId="0" xfId="1081" applyFont="1" applyAlignment="1">
      <alignment horizontal="centerContinuous"/>
    </xf>
    <xf numFmtId="0" fontId="6" fillId="0" borderId="0" xfId="1081" applyFont="1"/>
    <xf numFmtId="0" fontId="6" fillId="0" borderId="0" xfId="1081" applyFont="1" applyAlignment="1">
      <alignment horizontal="center"/>
    </xf>
    <xf numFmtId="0" fontId="8" fillId="0" borderId="0" xfId="1081" applyFont="1" applyAlignment="1">
      <alignment horizontal="center"/>
    </xf>
    <xf numFmtId="41" fontId="8" fillId="0" borderId="0" xfId="0" applyNumberFormat="1" applyFont="1" applyAlignment="1">
      <alignment horizontal="center"/>
    </xf>
    <xf numFmtId="0" fontId="8" fillId="0" borderId="0" xfId="1081" applyFont="1" applyAlignment="1">
      <alignment horizontal="left"/>
    </xf>
    <xf numFmtId="0" fontId="8" fillId="0" borderId="0" xfId="1081" quotePrefix="1" applyFont="1" applyAlignment="1">
      <alignment horizontal="center"/>
    </xf>
    <xf numFmtId="0" fontId="8" fillId="0" borderId="38" xfId="1081" applyFont="1" applyBorder="1" applyAlignment="1">
      <alignment horizontal="left"/>
    </xf>
    <xf numFmtId="0" fontId="8" fillId="0" borderId="38" xfId="1081" applyFont="1" applyBorder="1" applyAlignment="1">
      <alignment horizontal="center"/>
    </xf>
    <xf numFmtId="0" fontId="8" fillId="0" borderId="38" xfId="1081" quotePrefix="1" applyFont="1" applyBorder="1" applyAlignment="1">
      <alignment horizontal="center"/>
    </xf>
    <xf numFmtId="41" fontId="100" fillId="0" borderId="0" xfId="0" applyNumberFormat="1" applyFont="1" applyAlignment="1">
      <alignment horizontal="center"/>
    </xf>
    <xf numFmtId="0" fontId="8" fillId="0" borderId="0" xfId="1081" applyFont="1"/>
    <xf numFmtId="0" fontId="6" fillId="0" borderId="0" xfId="1081" applyFont="1" applyAlignment="1">
      <alignment horizontal="left"/>
    </xf>
    <xf numFmtId="0" fontId="6" fillId="0" borderId="0" xfId="1081" quotePrefix="1" applyFont="1" applyAlignment="1">
      <alignment horizontal="center"/>
    </xf>
    <xf numFmtId="165" fontId="6" fillId="0" borderId="0" xfId="1081" quotePrefix="1" applyNumberFormat="1" applyFont="1" applyAlignment="1">
      <alignment horizontal="center"/>
    </xf>
    <xf numFmtId="3" fontId="6" fillId="0" borderId="0" xfId="1081" applyNumberFormat="1" applyFont="1"/>
    <xf numFmtId="165" fontId="8" fillId="0" borderId="0" xfId="1081" quotePrefix="1" applyNumberFormat="1" applyFont="1" applyAlignment="1">
      <alignment horizontal="center"/>
    </xf>
    <xf numFmtId="3" fontId="8" fillId="0" borderId="0" xfId="1081" quotePrefix="1" applyNumberFormat="1" applyFont="1" applyAlignment="1">
      <alignment horizontal="center"/>
    </xf>
    <xf numFmtId="197" fontId="6" fillId="0" borderId="0" xfId="1081" applyNumberFormat="1" applyFont="1"/>
    <xf numFmtId="0" fontId="6" fillId="0" borderId="0" xfId="1081" applyFont="1" applyAlignment="1">
      <alignment vertical="center"/>
    </xf>
    <xf numFmtId="172" fontId="6" fillId="0" borderId="0" xfId="1" applyNumberFormat="1" applyFont="1" applyFill="1" applyBorder="1" applyAlignment="1" applyProtection="1">
      <alignment vertical="center"/>
    </xf>
    <xf numFmtId="0" fontId="6" fillId="0" borderId="0" xfId="1081" quotePrefix="1" applyFont="1" applyAlignment="1">
      <alignment horizontal="left" vertical="center"/>
    </xf>
    <xf numFmtId="0" fontId="6" fillId="0" borderId="0" xfId="1081" quotePrefix="1" applyFont="1" applyAlignment="1">
      <alignment horizontal="right"/>
    </xf>
    <xf numFmtId="5" fontId="16" fillId="0" borderId="0" xfId="2" applyNumberFormat="1" applyFont="1" applyFill="1"/>
    <xf numFmtId="5" fontId="16" fillId="0" borderId="0" xfId="5" applyNumberFormat="1" applyFont="1"/>
    <xf numFmtId="5" fontId="40" fillId="0" borderId="0" xfId="2" applyNumberFormat="1" applyFont="1" applyFill="1"/>
    <xf numFmtId="166" fontId="40" fillId="0" borderId="0" xfId="2" applyNumberFormat="1" applyFont="1" applyFill="1"/>
    <xf numFmtId="2" fontId="16" fillId="0" borderId="0" xfId="5" applyNumberFormat="1" applyFont="1"/>
    <xf numFmtId="10" fontId="16" fillId="0" borderId="0" xfId="5" applyNumberFormat="1" applyFont="1"/>
    <xf numFmtId="172" fontId="16" fillId="0" borderId="0" xfId="1" applyNumberFormat="1" applyFont="1" applyFill="1"/>
    <xf numFmtId="166" fontId="16" fillId="0" borderId="0" xfId="2" applyNumberFormat="1" applyFont="1" applyFill="1"/>
    <xf numFmtId="203" fontId="6" fillId="0" borderId="0" xfId="5" applyNumberFormat="1"/>
    <xf numFmtId="2" fontId="0" fillId="0" borderId="0" xfId="0" applyNumberFormat="1"/>
    <xf numFmtId="173" fontId="6" fillId="0" borderId="0" xfId="4" applyNumberFormat="1"/>
    <xf numFmtId="164" fontId="8" fillId="0" borderId="0" xfId="4" applyFont="1" applyAlignment="1">
      <alignment horizontal="center" wrapText="1"/>
    </xf>
    <xf numFmtId="164" fontId="6" fillId="0" borderId="0" xfId="4" applyAlignment="1">
      <alignment horizontal="center"/>
    </xf>
    <xf numFmtId="0" fontId="6" fillId="0" borderId="0" xfId="0" applyFont="1" applyAlignment="1">
      <alignment horizontal="centerContinuous"/>
    </xf>
    <xf numFmtId="166" fontId="6" fillId="0" borderId="0" xfId="0" applyNumberFormat="1" applyFont="1" applyAlignment="1">
      <alignment horizontal="centerContinuous"/>
    </xf>
    <xf numFmtId="3" fontId="11" fillId="0" borderId="0" xfId="0" applyNumberFormat="1" applyFont="1" applyAlignment="1">
      <alignment horizontal="centerContinuous"/>
    </xf>
    <xf numFmtId="164" fontId="8" fillId="0" borderId="80" xfId="5" applyFont="1" applyBorder="1" applyAlignment="1">
      <alignment horizontal="centerContinuous"/>
    </xf>
    <xf numFmtId="164" fontId="8" fillId="0" borderId="81" xfId="5" applyFont="1" applyBorder="1" applyAlignment="1">
      <alignment horizontal="centerContinuous"/>
    </xf>
    <xf numFmtId="166" fontId="8" fillId="0" borderId="82" xfId="5" applyNumberFormat="1" applyFont="1" applyBorder="1" applyAlignment="1">
      <alignment horizontal="centerContinuous"/>
    </xf>
    <xf numFmtId="164" fontId="8" fillId="0" borderId="83" xfId="5" quotePrefix="1" applyFont="1" applyBorder="1" applyAlignment="1">
      <alignment horizontal="center"/>
    </xf>
    <xf numFmtId="166" fontId="8" fillId="0" borderId="84" xfId="5" applyNumberFormat="1" applyFont="1" applyBorder="1" applyAlignment="1">
      <alignment horizontal="center"/>
    </xf>
    <xf numFmtId="37" fontId="8" fillId="0" borderId="39" xfId="5" quotePrefix="1" applyNumberFormat="1" applyFont="1" applyBorder="1" applyAlignment="1">
      <alignment horizontal="center"/>
    </xf>
    <xf numFmtId="37" fontId="8" fillId="0" borderId="42" xfId="5" quotePrefix="1" applyNumberFormat="1" applyFont="1" applyBorder="1" applyAlignment="1">
      <alignment horizontal="center"/>
    </xf>
    <xf numFmtId="164" fontId="8" fillId="0" borderId="39" xfId="5" applyFont="1" applyBorder="1"/>
    <xf numFmtId="166" fontId="8" fillId="0" borderId="42" xfId="5" applyNumberFormat="1" applyFont="1" applyBorder="1" applyAlignment="1">
      <alignment horizontal="center"/>
    </xf>
    <xf numFmtId="166" fontId="8" fillId="0" borderId="42" xfId="5" applyNumberFormat="1" applyFont="1" applyBorder="1"/>
    <xf numFmtId="5" fontId="8" fillId="0" borderId="39" xfId="2" applyNumberFormat="1" applyFont="1" applyFill="1" applyBorder="1"/>
    <xf numFmtId="5" fontId="8" fillId="0" borderId="0" xfId="5" applyNumberFormat="1" applyFont="1"/>
    <xf numFmtId="166" fontId="8" fillId="0" borderId="42" xfId="2" applyNumberFormat="1" applyFont="1" applyFill="1" applyBorder="1"/>
    <xf numFmtId="5" fontId="8" fillId="0" borderId="83" xfId="2" applyNumberFormat="1" applyFont="1" applyFill="1" applyBorder="1"/>
    <xf numFmtId="166" fontId="8" fillId="0" borderId="84" xfId="2" applyNumberFormat="1" applyFont="1" applyFill="1" applyBorder="1"/>
    <xf numFmtId="5" fontId="101" fillId="0" borderId="39" xfId="2" applyNumberFormat="1" applyFont="1" applyFill="1" applyBorder="1"/>
    <xf numFmtId="5" fontId="101" fillId="0" borderId="0" xfId="5" applyNumberFormat="1" applyFont="1"/>
    <xf numFmtId="166" fontId="101" fillId="0" borderId="42" xfId="2" applyNumberFormat="1" applyFont="1" applyFill="1" applyBorder="1"/>
    <xf numFmtId="5" fontId="8" fillId="0" borderId="0" xfId="2" applyNumberFormat="1" applyFont="1" applyFill="1" applyBorder="1"/>
    <xf numFmtId="5" fontId="8" fillId="0" borderId="85" xfId="2" applyNumberFormat="1" applyFont="1" applyFill="1" applyBorder="1"/>
    <xf numFmtId="5" fontId="8" fillId="0" borderId="15" xfId="5" applyNumberFormat="1" applyFont="1" applyBorder="1"/>
    <xf numFmtId="166" fontId="8" fillId="0" borderId="44" xfId="2" applyNumberFormat="1" applyFont="1" applyFill="1" applyBorder="1"/>
    <xf numFmtId="0" fontId="0" fillId="65" borderId="5" xfId="0" applyFill="1" applyBorder="1"/>
    <xf numFmtId="0" fontId="0" fillId="65" borderId="21" xfId="0" applyFill="1" applyBorder="1"/>
    <xf numFmtId="0" fontId="102" fillId="65" borderId="6" xfId="0" applyFont="1" applyFill="1" applyBorder="1" applyAlignment="1">
      <alignment horizontal="center"/>
    </xf>
    <xf numFmtId="0" fontId="0" fillId="65" borderId="0" xfId="0" applyFill="1"/>
    <xf numFmtId="0" fontId="42" fillId="65" borderId="8" xfId="0" applyFont="1" applyFill="1" applyBorder="1"/>
    <xf numFmtId="0" fontId="102" fillId="65" borderId="7" xfId="0" applyFont="1" applyFill="1" applyBorder="1" applyAlignment="1">
      <alignment horizontal="center"/>
    </xf>
    <xf numFmtId="0" fontId="0" fillId="65" borderId="8" xfId="0" applyFill="1" applyBorder="1"/>
    <xf numFmtId="0" fontId="0" fillId="65" borderId="8" xfId="0" applyFill="1" applyBorder="1" applyAlignment="1">
      <alignment horizontal="left" indent="1"/>
    </xf>
    <xf numFmtId="44" fontId="12" fillId="65" borderId="0" xfId="2" applyFont="1" applyFill="1" applyBorder="1" applyAlignment="1">
      <alignment horizontal="right" vertical="center"/>
    </xf>
    <xf numFmtId="43" fontId="12" fillId="65" borderId="1" xfId="1" applyFont="1" applyFill="1" applyBorder="1" applyAlignment="1">
      <alignment horizontal="right" vertical="center"/>
    </xf>
    <xf numFmtId="44" fontId="41" fillId="65" borderId="0" xfId="2" applyFont="1" applyFill="1" applyBorder="1" applyAlignment="1">
      <alignment horizontal="right" vertical="center"/>
    </xf>
    <xf numFmtId="43" fontId="0" fillId="65" borderId="0" xfId="0" applyNumberFormat="1" applyFill="1"/>
    <xf numFmtId="41" fontId="0" fillId="65" borderId="0" xfId="0" applyNumberFormat="1" applyFill="1"/>
    <xf numFmtId="42" fontId="0" fillId="65" borderId="0" xfId="0" applyNumberFormat="1" applyFill="1"/>
    <xf numFmtId="41" fontId="0" fillId="65" borderId="1" xfId="0" applyNumberFormat="1" applyFill="1" applyBorder="1"/>
    <xf numFmtId="204" fontId="0" fillId="65" borderId="0" xfId="0" applyNumberFormat="1" applyFill="1"/>
    <xf numFmtId="176" fontId="0" fillId="65" borderId="0" xfId="0" applyNumberFormat="1" applyFill="1"/>
    <xf numFmtId="0" fontId="41" fillId="65" borderId="8" xfId="0" applyFont="1" applyFill="1" applyBorder="1" applyAlignment="1">
      <alignment horizontal="left" indent="1"/>
    </xf>
    <xf numFmtId="176" fontId="41" fillId="65" borderId="86" xfId="0" applyNumberFormat="1" applyFont="1" applyFill="1" applyBorder="1"/>
    <xf numFmtId="0" fontId="0" fillId="65" borderId="7" xfId="0" applyFill="1" applyBorder="1"/>
    <xf numFmtId="0" fontId="0" fillId="65" borderId="9" xfId="0" applyFill="1" applyBorder="1"/>
    <xf numFmtId="0" fontId="0" fillId="65" borderId="1" xfId="0" applyFill="1" applyBorder="1"/>
    <xf numFmtId="0" fontId="0" fillId="65" borderId="10" xfId="0" applyFill="1" applyBorder="1"/>
    <xf numFmtId="0" fontId="0" fillId="65" borderId="6" xfId="0" applyFill="1" applyBorder="1"/>
    <xf numFmtId="176" fontId="0" fillId="65" borderId="0" xfId="2" applyNumberFormat="1" applyFont="1" applyFill="1" applyBorder="1"/>
    <xf numFmtId="10" fontId="0" fillId="65" borderId="0" xfId="3" applyNumberFormat="1" applyFont="1" applyFill="1"/>
    <xf numFmtId="172" fontId="0" fillId="65" borderId="0" xfId="1" applyNumberFormat="1" applyFont="1" applyFill="1"/>
    <xf numFmtId="176" fontId="41" fillId="65" borderId="0" xfId="2" applyNumberFormat="1" applyFont="1" applyFill="1" applyBorder="1"/>
    <xf numFmtId="166" fontId="0" fillId="65" borderId="0" xfId="3" applyNumberFormat="1" applyFont="1" applyFill="1"/>
    <xf numFmtId="166" fontId="0" fillId="65" borderId="0" xfId="0" applyNumberFormat="1" applyFill="1"/>
    <xf numFmtId="41" fontId="0" fillId="65" borderId="22" xfId="0" applyNumberFormat="1" applyFill="1" applyBorder="1"/>
    <xf numFmtId="43" fontId="0" fillId="65" borderId="0" xfId="1" applyFont="1" applyFill="1"/>
    <xf numFmtId="176" fontId="41" fillId="65" borderId="86" xfId="2" applyNumberFormat="1" applyFont="1" applyFill="1" applyBorder="1"/>
    <xf numFmtId="10" fontId="11" fillId="0" borderId="38" xfId="4" applyNumberFormat="1" applyFont="1" applyBorder="1" applyAlignment="1">
      <alignment horizontal="centerContinuous"/>
    </xf>
    <xf numFmtId="164" fontId="11" fillId="0" borderId="38" xfId="4" applyFont="1" applyBorder="1" applyAlignment="1">
      <alignment horizontal="centerContinuous"/>
    </xf>
    <xf numFmtId="5" fontId="11" fillId="0" borderId="38" xfId="4" applyNumberFormat="1" applyFont="1" applyBorder="1" applyAlignment="1">
      <alignment horizontal="centerContinuous"/>
    </xf>
    <xf numFmtId="37" fontId="11" fillId="0" borderId="38" xfId="4" quotePrefix="1" applyNumberFormat="1" applyFont="1" applyBorder="1" applyAlignment="1">
      <alignment horizontal="center"/>
    </xf>
    <xf numFmtId="177" fontId="47" fillId="0" borderId="1" xfId="213" applyNumberFormat="1" applyFont="1" applyBorder="1" applyAlignment="1">
      <alignment horizontal="centerContinuous"/>
    </xf>
    <xf numFmtId="0" fontId="12" fillId="0" borderId="1" xfId="213" applyBorder="1" applyAlignment="1">
      <alignment horizontal="centerContinuous"/>
    </xf>
    <xf numFmtId="177" fontId="46" fillId="0" borderId="1" xfId="213" applyNumberFormat="1" applyFont="1" applyBorder="1" applyAlignment="1">
      <alignment horizontal="centerContinuous"/>
    </xf>
    <xf numFmtId="0" fontId="46" fillId="0" borderId="1" xfId="213" applyFont="1" applyBorder="1" applyAlignment="1">
      <alignment horizontal="centerContinuous"/>
    </xf>
    <xf numFmtId="7" fontId="46" fillId="0" borderId="1" xfId="213" applyNumberFormat="1" applyFont="1" applyBorder="1" applyAlignment="1">
      <alignment horizontal="centerContinuous"/>
    </xf>
    <xf numFmtId="7" fontId="46" fillId="0" borderId="1" xfId="213" applyNumberFormat="1" applyFont="1" applyBorder="1" applyAlignment="1">
      <alignment horizontal="center"/>
    </xf>
    <xf numFmtId="0" fontId="46" fillId="0" borderId="1" xfId="213" applyFont="1" applyBorder="1" applyAlignment="1">
      <alignment horizontal="center"/>
    </xf>
    <xf numFmtId="3" fontId="46" fillId="0" borderId="1" xfId="213" applyNumberFormat="1" applyFont="1" applyBorder="1"/>
    <xf numFmtId="10" fontId="46" fillId="0" borderId="1" xfId="3" applyNumberFormat="1" applyFont="1" applyFill="1" applyBorder="1"/>
    <xf numFmtId="10" fontId="46" fillId="0" borderId="1" xfId="213" applyNumberFormat="1" applyFont="1" applyBorder="1"/>
    <xf numFmtId="0" fontId="12" fillId="0" borderId="1" xfId="1081" applyBorder="1" applyAlignment="1">
      <alignment horizontal="left"/>
    </xf>
    <xf numFmtId="0" fontId="12" fillId="0" borderId="1" xfId="1081" quotePrefix="1" applyBorder="1" applyAlignment="1">
      <alignment horizontal="center"/>
    </xf>
    <xf numFmtId="0" fontId="12" fillId="0" borderId="1" xfId="1081" applyBorder="1" applyAlignment="1">
      <alignment horizontal="center"/>
    </xf>
    <xf numFmtId="0" fontId="12" fillId="0" borderId="1" xfId="1081" applyBorder="1"/>
    <xf numFmtId="7" fontId="47" fillId="0" borderId="0" xfId="213" applyNumberFormat="1" applyFont="1" applyAlignment="1">
      <alignment horizontal="center"/>
    </xf>
  </cellXfs>
  <cellStyles count="1085">
    <cellStyle name="20% - Accent1 2" xfId="218" xr:uid="{00000000-0005-0000-0000-000000000000}"/>
    <cellStyle name="20% - Accent1 3" xfId="219" xr:uid="{00000000-0005-0000-0000-000001000000}"/>
    <cellStyle name="20% - Accent1 4" xfId="220" xr:uid="{00000000-0005-0000-0000-000002000000}"/>
    <cellStyle name="20% - Accent1 5" xfId="221" xr:uid="{00000000-0005-0000-0000-000003000000}"/>
    <cellStyle name="20% - Accent1 6" xfId="222" xr:uid="{00000000-0005-0000-0000-000004000000}"/>
    <cellStyle name="20% - Accent2 2" xfId="223" xr:uid="{00000000-0005-0000-0000-000005000000}"/>
    <cellStyle name="20% - Accent2 3" xfId="224" xr:uid="{00000000-0005-0000-0000-000006000000}"/>
    <cellStyle name="20% - Accent2 4" xfId="225" xr:uid="{00000000-0005-0000-0000-000007000000}"/>
    <cellStyle name="20% - Accent2 5" xfId="226" xr:uid="{00000000-0005-0000-0000-000008000000}"/>
    <cellStyle name="20% - Accent2 6" xfId="227" xr:uid="{00000000-0005-0000-0000-000009000000}"/>
    <cellStyle name="20% - Accent3 2" xfId="228" xr:uid="{00000000-0005-0000-0000-00000A000000}"/>
    <cellStyle name="20% - Accent3 3" xfId="229" xr:uid="{00000000-0005-0000-0000-00000B000000}"/>
    <cellStyle name="20% - Accent3 4" xfId="230" xr:uid="{00000000-0005-0000-0000-00000C000000}"/>
    <cellStyle name="20% - Accent3 5" xfId="231" xr:uid="{00000000-0005-0000-0000-00000D000000}"/>
    <cellStyle name="20% - Accent3 6" xfId="232" xr:uid="{00000000-0005-0000-0000-00000E000000}"/>
    <cellStyle name="20% - Accent4 2" xfId="233" xr:uid="{00000000-0005-0000-0000-00000F000000}"/>
    <cellStyle name="20% - Accent4 3" xfId="234" xr:uid="{00000000-0005-0000-0000-000010000000}"/>
    <cellStyle name="20% - Accent4 4" xfId="235" xr:uid="{00000000-0005-0000-0000-000011000000}"/>
    <cellStyle name="20% - Accent4 5" xfId="236" xr:uid="{00000000-0005-0000-0000-000012000000}"/>
    <cellStyle name="20% - Accent4 6" xfId="237" xr:uid="{00000000-0005-0000-0000-000013000000}"/>
    <cellStyle name="20% - Accent5 2" xfId="238" xr:uid="{00000000-0005-0000-0000-000014000000}"/>
    <cellStyle name="20% - Accent5 3" xfId="239" xr:uid="{00000000-0005-0000-0000-000015000000}"/>
    <cellStyle name="20% - Accent5 4" xfId="240" xr:uid="{00000000-0005-0000-0000-000016000000}"/>
    <cellStyle name="20% - Accent5 5" xfId="241" xr:uid="{00000000-0005-0000-0000-000017000000}"/>
    <cellStyle name="20% - Accent5 6" xfId="242" xr:uid="{00000000-0005-0000-0000-000018000000}"/>
    <cellStyle name="20% - Accent6 2" xfId="243" xr:uid="{00000000-0005-0000-0000-000019000000}"/>
    <cellStyle name="20% - Accent6 3" xfId="244" xr:uid="{00000000-0005-0000-0000-00001A000000}"/>
    <cellStyle name="20% - Accent6 4" xfId="245" xr:uid="{00000000-0005-0000-0000-00001B000000}"/>
    <cellStyle name="20% - Accent6 5" xfId="246" xr:uid="{00000000-0005-0000-0000-00001C000000}"/>
    <cellStyle name="20% - Accent6 6" xfId="247" xr:uid="{00000000-0005-0000-0000-00001D000000}"/>
    <cellStyle name="40% - Accent1 2" xfId="248" xr:uid="{00000000-0005-0000-0000-00001E000000}"/>
    <cellStyle name="40% - Accent1 3" xfId="249" xr:uid="{00000000-0005-0000-0000-00001F000000}"/>
    <cellStyle name="40% - Accent1 4" xfId="250" xr:uid="{00000000-0005-0000-0000-000020000000}"/>
    <cellStyle name="40% - Accent1 5" xfId="251" xr:uid="{00000000-0005-0000-0000-000021000000}"/>
    <cellStyle name="40% - Accent1 6" xfId="252" xr:uid="{00000000-0005-0000-0000-000022000000}"/>
    <cellStyle name="40% - Accent2 2" xfId="253" xr:uid="{00000000-0005-0000-0000-000023000000}"/>
    <cellStyle name="40% - Accent2 3" xfId="254" xr:uid="{00000000-0005-0000-0000-000024000000}"/>
    <cellStyle name="40% - Accent2 4" xfId="255" xr:uid="{00000000-0005-0000-0000-000025000000}"/>
    <cellStyle name="40% - Accent2 5" xfId="256" xr:uid="{00000000-0005-0000-0000-000026000000}"/>
    <cellStyle name="40% - Accent2 6" xfId="257" xr:uid="{00000000-0005-0000-0000-000027000000}"/>
    <cellStyle name="40% - Accent3 2" xfId="258" xr:uid="{00000000-0005-0000-0000-000028000000}"/>
    <cellStyle name="40% - Accent3 3" xfId="259" xr:uid="{00000000-0005-0000-0000-000029000000}"/>
    <cellStyle name="40% - Accent3 4" xfId="260" xr:uid="{00000000-0005-0000-0000-00002A000000}"/>
    <cellStyle name="40% - Accent3 5" xfId="261" xr:uid="{00000000-0005-0000-0000-00002B000000}"/>
    <cellStyle name="40% - Accent3 6" xfId="262" xr:uid="{00000000-0005-0000-0000-00002C000000}"/>
    <cellStyle name="40% - Accent4 2" xfId="263" xr:uid="{00000000-0005-0000-0000-00002D000000}"/>
    <cellStyle name="40% - Accent4 3" xfId="264" xr:uid="{00000000-0005-0000-0000-00002E000000}"/>
    <cellStyle name="40% - Accent4 4" xfId="265" xr:uid="{00000000-0005-0000-0000-00002F000000}"/>
    <cellStyle name="40% - Accent4 5" xfId="266" xr:uid="{00000000-0005-0000-0000-000030000000}"/>
    <cellStyle name="40% - Accent4 6" xfId="267" xr:uid="{00000000-0005-0000-0000-000031000000}"/>
    <cellStyle name="40% - Accent5 2" xfId="268" xr:uid="{00000000-0005-0000-0000-000032000000}"/>
    <cellStyle name="40% - Accent5 3" xfId="269" xr:uid="{00000000-0005-0000-0000-000033000000}"/>
    <cellStyle name="40% - Accent5 4" xfId="270" xr:uid="{00000000-0005-0000-0000-000034000000}"/>
    <cellStyle name="40% - Accent5 5" xfId="271" xr:uid="{00000000-0005-0000-0000-000035000000}"/>
    <cellStyle name="40% - Accent5 6" xfId="272" xr:uid="{00000000-0005-0000-0000-000036000000}"/>
    <cellStyle name="40% - Accent6 2" xfId="273" xr:uid="{00000000-0005-0000-0000-000037000000}"/>
    <cellStyle name="40% - Accent6 3" xfId="274" xr:uid="{00000000-0005-0000-0000-000038000000}"/>
    <cellStyle name="40% - Accent6 4" xfId="275" xr:uid="{00000000-0005-0000-0000-000039000000}"/>
    <cellStyle name="40% - Accent6 5" xfId="276" xr:uid="{00000000-0005-0000-0000-00003A000000}"/>
    <cellStyle name="40% - Accent6 6" xfId="277" xr:uid="{00000000-0005-0000-0000-00003B000000}"/>
    <cellStyle name="60% - Accent1 2" xfId="278" xr:uid="{00000000-0005-0000-0000-00003C000000}"/>
    <cellStyle name="60% - Accent1 3" xfId="279" xr:uid="{00000000-0005-0000-0000-00003D000000}"/>
    <cellStyle name="60% - Accent1 4" xfId="280" xr:uid="{00000000-0005-0000-0000-00003E000000}"/>
    <cellStyle name="60% - Accent1 5" xfId="281" xr:uid="{00000000-0005-0000-0000-00003F000000}"/>
    <cellStyle name="60% - Accent1 6" xfId="282" xr:uid="{00000000-0005-0000-0000-000040000000}"/>
    <cellStyle name="60% - Accent2 2" xfId="283" xr:uid="{00000000-0005-0000-0000-000041000000}"/>
    <cellStyle name="60% - Accent2 3" xfId="284" xr:uid="{00000000-0005-0000-0000-000042000000}"/>
    <cellStyle name="60% - Accent2 4" xfId="285" xr:uid="{00000000-0005-0000-0000-000043000000}"/>
    <cellStyle name="60% - Accent2 5" xfId="286" xr:uid="{00000000-0005-0000-0000-000044000000}"/>
    <cellStyle name="60% - Accent2 6" xfId="287" xr:uid="{00000000-0005-0000-0000-000045000000}"/>
    <cellStyle name="60% - Accent3 2" xfId="288" xr:uid="{00000000-0005-0000-0000-000046000000}"/>
    <cellStyle name="60% - Accent3 3" xfId="289" xr:uid="{00000000-0005-0000-0000-000047000000}"/>
    <cellStyle name="60% - Accent3 4" xfId="290" xr:uid="{00000000-0005-0000-0000-000048000000}"/>
    <cellStyle name="60% - Accent3 5" xfId="291" xr:uid="{00000000-0005-0000-0000-000049000000}"/>
    <cellStyle name="60% - Accent3 6" xfId="292" xr:uid="{00000000-0005-0000-0000-00004A000000}"/>
    <cellStyle name="60% - Accent4 2" xfId="293" xr:uid="{00000000-0005-0000-0000-00004B000000}"/>
    <cellStyle name="60% - Accent4 3" xfId="294" xr:uid="{00000000-0005-0000-0000-00004C000000}"/>
    <cellStyle name="60% - Accent4 4" xfId="295" xr:uid="{00000000-0005-0000-0000-00004D000000}"/>
    <cellStyle name="60% - Accent4 5" xfId="296" xr:uid="{00000000-0005-0000-0000-00004E000000}"/>
    <cellStyle name="60% - Accent4 6" xfId="297" xr:uid="{00000000-0005-0000-0000-00004F000000}"/>
    <cellStyle name="60% - Accent5 2" xfId="298" xr:uid="{00000000-0005-0000-0000-000050000000}"/>
    <cellStyle name="60% - Accent5 3" xfId="299" xr:uid="{00000000-0005-0000-0000-000051000000}"/>
    <cellStyle name="60% - Accent5 4" xfId="300" xr:uid="{00000000-0005-0000-0000-000052000000}"/>
    <cellStyle name="60% - Accent5 5" xfId="301" xr:uid="{00000000-0005-0000-0000-000053000000}"/>
    <cellStyle name="60% - Accent5 6" xfId="302" xr:uid="{00000000-0005-0000-0000-000054000000}"/>
    <cellStyle name="60% - Accent6 2" xfId="303" xr:uid="{00000000-0005-0000-0000-000055000000}"/>
    <cellStyle name="60% - Accent6 3" xfId="304" xr:uid="{00000000-0005-0000-0000-000056000000}"/>
    <cellStyle name="60% - Accent6 4" xfId="305" xr:uid="{00000000-0005-0000-0000-000057000000}"/>
    <cellStyle name="60% - Accent6 5" xfId="306" xr:uid="{00000000-0005-0000-0000-000058000000}"/>
    <cellStyle name="60% - Accent6 6" xfId="307" xr:uid="{00000000-0005-0000-0000-000059000000}"/>
    <cellStyle name="Accent1 - 20%" xfId="308" xr:uid="{00000000-0005-0000-0000-00005A000000}"/>
    <cellStyle name="Accent1 - 40%" xfId="309" xr:uid="{00000000-0005-0000-0000-00005B000000}"/>
    <cellStyle name="Accent1 - 60%" xfId="310" xr:uid="{00000000-0005-0000-0000-00005C000000}"/>
    <cellStyle name="Accent1 2" xfId="311" xr:uid="{00000000-0005-0000-0000-00005D000000}"/>
    <cellStyle name="Accent1 3" xfId="312" xr:uid="{00000000-0005-0000-0000-00005E000000}"/>
    <cellStyle name="Accent1 4" xfId="313" xr:uid="{00000000-0005-0000-0000-00005F000000}"/>
    <cellStyle name="Accent1 5" xfId="314" xr:uid="{00000000-0005-0000-0000-000060000000}"/>
    <cellStyle name="Accent1 6" xfId="315" xr:uid="{00000000-0005-0000-0000-000061000000}"/>
    <cellStyle name="Accent2 - 20%" xfId="316" xr:uid="{00000000-0005-0000-0000-000062000000}"/>
    <cellStyle name="Accent2 - 40%" xfId="317" xr:uid="{00000000-0005-0000-0000-000063000000}"/>
    <cellStyle name="Accent2 - 60%" xfId="318" xr:uid="{00000000-0005-0000-0000-000064000000}"/>
    <cellStyle name="Accent2 2" xfId="319" xr:uid="{00000000-0005-0000-0000-000065000000}"/>
    <cellStyle name="Accent2 3" xfId="320" xr:uid="{00000000-0005-0000-0000-000066000000}"/>
    <cellStyle name="Accent2 4" xfId="321" xr:uid="{00000000-0005-0000-0000-000067000000}"/>
    <cellStyle name="Accent2 5" xfId="322" xr:uid="{00000000-0005-0000-0000-000068000000}"/>
    <cellStyle name="Accent2 6" xfId="323" xr:uid="{00000000-0005-0000-0000-000069000000}"/>
    <cellStyle name="Accent3 - 20%" xfId="324" xr:uid="{00000000-0005-0000-0000-00006A000000}"/>
    <cellStyle name="Accent3 - 40%" xfId="325" xr:uid="{00000000-0005-0000-0000-00006B000000}"/>
    <cellStyle name="Accent3 - 60%" xfId="326" xr:uid="{00000000-0005-0000-0000-00006C000000}"/>
    <cellStyle name="Accent3 2" xfId="327" xr:uid="{00000000-0005-0000-0000-00006D000000}"/>
    <cellStyle name="Accent3 3" xfId="328" xr:uid="{00000000-0005-0000-0000-00006E000000}"/>
    <cellStyle name="Accent3 4" xfId="329" xr:uid="{00000000-0005-0000-0000-00006F000000}"/>
    <cellStyle name="Accent3 5" xfId="330" xr:uid="{00000000-0005-0000-0000-000070000000}"/>
    <cellStyle name="Accent3 6" xfId="331" xr:uid="{00000000-0005-0000-0000-000071000000}"/>
    <cellStyle name="Accent4 - 20%" xfId="332" xr:uid="{00000000-0005-0000-0000-000072000000}"/>
    <cellStyle name="Accent4 - 40%" xfId="333" xr:uid="{00000000-0005-0000-0000-000073000000}"/>
    <cellStyle name="Accent4 - 60%" xfId="334" xr:uid="{00000000-0005-0000-0000-000074000000}"/>
    <cellStyle name="Accent4 2" xfId="335" xr:uid="{00000000-0005-0000-0000-000075000000}"/>
    <cellStyle name="Accent4 3" xfId="336" xr:uid="{00000000-0005-0000-0000-000076000000}"/>
    <cellStyle name="Accent4 4" xfId="337" xr:uid="{00000000-0005-0000-0000-000077000000}"/>
    <cellStyle name="Accent4 5" xfId="338" xr:uid="{00000000-0005-0000-0000-000078000000}"/>
    <cellStyle name="Accent4 6" xfId="339" xr:uid="{00000000-0005-0000-0000-000079000000}"/>
    <cellStyle name="Accent5 - 20%" xfId="340" xr:uid="{00000000-0005-0000-0000-00007A000000}"/>
    <cellStyle name="Accent5 - 40%" xfId="341" xr:uid="{00000000-0005-0000-0000-00007B000000}"/>
    <cellStyle name="Accent5 - 60%" xfId="342" xr:uid="{00000000-0005-0000-0000-00007C000000}"/>
    <cellStyle name="Accent5 2" xfId="343" xr:uid="{00000000-0005-0000-0000-00007D000000}"/>
    <cellStyle name="Accent5 3" xfId="344" xr:uid="{00000000-0005-0000-0000-00007E000000}"/>
    <cellStyle name="Accent5 4" xfId="345" xr:uid="{00000000-0005-0000-0000-00007F000000}"/>
    <cellStyle name="Accent5 5" xfId="346" xr:uid="{00000000-0005-0000-0000-000080000000}"/>
    <cellStyle name="Accent5 6" xfId="347" xr:uid="{00000000-0005-0000-0000-000081000000}"/>
    <cellStyle name="Accent6 - 20%" xfId="348" xr:uid="{00000000-0005-0000-0000-000082000000}"/>
    <cellStyle name="Accent6 - 40%" xfId="349" xr:uid="{00000000-0005-0000-0000-000083000000}"/>
    <cellStyle name="Accent6 - 60%" xfId="350" xr:uid="{00000000-0005-0000-0000-000084000000}"/>
    <cellStyle name="Accent6 2" xfId="351" xr:uid="{00000000-0005-0000-0000-000085000000}"/>
    <cellStyle name="Accent6 3" xfId="352" xr:uid="{00000000-0005-0000-0000-000086000000}"/>
    <cellStyle name="Accent6 4" xfId="353" xr:uid="{00000000-0005-0000-0000-000087000000}"/>
    <cellStyle name="Accent6 5" xfId="354" xr:uid="{00000000-0005-0000-0000-000088000000}"/>
    <cellStyle name="Accent6 6" xfId="355" xr:uid="{00000000-0005-0000-0000-000089000000}"/>
    <cellStyle name="ArrayHeading" xfId="356" xr:uid="{00000000-0005-0000-0000-00008A000000}"/>
    <cellStyle name="Bad 2" xfId="357" xr:uid="{00000000-0005-0000-0000-00008B000000}"/>
    <cellStyle name="Bad 3" xfId="358" xr:uid="{00000000-0005-0000-0000-00008C000000}"/>
    <cellStyle name="Bad 4" xfId="359" xr:uid="{00000000-0005-0000-0000-00008D000000}"/>
    <cellStyle name="Bad 5" xfId="360" xr:uid="{00000000-0005-0000-0000-00008E000000}"/>
    <cellStyle name="Bad 6" xfId="361" xr:uid="{00000000-0005-0000-0000-00008F000000}"/>
    <cellStyle name="BetweenMacros" xfId="362" xr:uid="{00000000-0005-0000-0000-000090000000}"/>
    <cellStyle name="Calc Currency (0)" xfId="363" xr:uid="{00000000-0005-0000-0000-000091000000}"/>
    <cellStyle name="Calculation 2" xfId="364" xr:uid="{00000000-0005-0000-0000-000092000000}"/>
    <cellStyle name="Calculation 3" xfId="365" xr:uid="{00000000-0005-0000-0000-000093000000}"/>
    <cellStyle name="Calculation 4" xfId="366" xr:uid="{00000000-0005-0000-0000-000094000000}"/>
    <cellStyle name="Calculation 5" xfId="367" xr:uid="{00000000-0005-0000-0000-000095000000}"/>
    <cellStyle name="Calculation 6" xfId="368" xr:uid="{00000000-0005-0000-0000-000096000000}"/>
    <cellStyle name="Cancel" xfId="369" xr:uid="{00000000-0005-0000-0000-000097000000}"/>
    <cellStyle name="Check Cell 2" xfId="370" xr:uid="{00000000-0005-0000-0000-000098000000}"/>
    <cellStyle name="Check Cell 3" xfId="371" xr:uid="{00000000-0005-0000-0000-000099000000}"/>
    <cellStyle name="Check Cell 4" xfId="372" xr:uid="{00000000-0005-0000-0000-00009A000000}"/>
    <cellStyle name="Check Cell 5" xfId="373" xr:uid="{00000000-0005-0000-0000-00009B000000}"/>
    <cellStyle name="Check Cell 6" xfId="374" xr:uid="{00000000-0005-0000-0000-00009C000000}"/>
    <cellStyle name="Column total in dollars" xfId="375" xr:uid="{00000000-0005-0000-0000-00009D000000}"/>
    <cellStyle name="Comma" xfId="1" builtinId="3"/>
    <cellStyle name="Comma  - Style1" xfId="189" xr:uid="{00000000-0005-0000-0000-00009F000000}"/>
    <cellStyle name="Comma  - Style1 2" xfId="376" xr:uid="{00000000-0005-0000-0000-0000A0000000}"/>
    <cellStyle name="Comma  - Style1 3" xfId="377" xr:uid="{00000000-0005-0000-0000-0000A1000000}"/>
    <cellStyle name="Comma  - Style2" xfId="190" xr:uid="{00000000-0005-0000-0000-0000A2000000}"/>
    <cellStyle name="Comma  - Style2 2" xfId="378" xr:uid="{00000000-0005-0000-0000-0000A3000000}"/>
    <cellStyle name="Comma  - Style2 3" xfId="379" xr:uid="{00000000-0005-0000-0000-0000A4000000}"/>
    <cellStyle name="Comma  - Style3" xfId="191" xr:uid="{00000000-0005-0000-0000-0000A5000000}"/>
    <cellStyle name="Comma  - Style3 2" xfId="380" xr:uid="{00000000-0005-0000-0000-0000A6000000}"/>
    <cellStyle name="Comma  - Style3 3" xfId="381" xr:uid="{00000000-0005-0000-0000-0000A7000000}"/>
    <cellStyle name="Comma  - Style4" xfId="192" xr:uid="{00000000-0005-0000-0000-0000A8000000}"/>
    <cellStyle name="Comma  - Style4 2" xfId="382" xr:uid="{00000000-0005-0000-0000-0000A9000000}"/>
    <cellStyle name="Comma  - Style4 3" xfId="383" xr:uid="{00000000-0005-0000-0000-0000AA000000}"/>
    <cellStyle name="Comma  - Style5" xfId="193" xr:uid="{00000000-0005-0000-0000-0000AB000000}"/>
    <cellStyle name="Comma  - Style5 2" xfId="384" xr:uid="{00000000-0005-0000-0000-0000AC000000}"/>
    <cellStyle name="Comma  - Style5 3" xfId="385" xr:uid="{00000000-0005-0000-0000-0000AD000000}"/>
    <cellStyle name="Comma  - Style6" xfId="194" xr:uid="{00000000-0005-0000-0000-0000AE000000}"/>
    <cellStyle name="Comma  - Style6 2" xfId="386" xr:uid="{00000000-0005-0000-0000-0000AF000000}"/>
    <cellStyle name="Comma  - Style6 3" xfId="387" xr:uid="{00000000-0005-0000-0000-0000B0000000}"/>
    <cellStyle name="Comma  - Style7" xfId="195" xr:uid="{00000000-0005-0000-0000-0000B1000000}"/>
    <cellStyle name="Comma  - Style7 2" xfId="388" xr:uid="{00000000-0005-0000-0000-0000B2000000}"/>
    <cellStyle name="Comma  - Style7 3" xfId="389" xr:uid="{00000000-0005-0000-0000-0000B3000000}"/>
    <cellStyle name="Comma  - Style8" xfId="196" xr:uid="{00000000-0005-0000-0000-0000B4000000}"/>
    <cellStyle name="Comma  - Style8 2" xfId="390" xr:uid="{00000000-0005-0000-0000-0000B5000000}"/>
    <cellStyle name="Comma  - Style8 3" xfId="391" xr:uid="{00000000-0005-0000-0000-0000B6000000}"/>
    <cellStyle name="Comma (0)" xfId="392" xr:uid="{00000000-0005-0000-0000-0000B7000000}"/>
    <cellStyle name="Comma [0] 2" xfId="393" xr:uid="{00000000-0005-0000-0000-0000B8000000}"/>
    <cellStyle name="Comma 10" xfId="394" xr:uid="{00000000-0005-0000-0000-0000B9000000}"/>
    <cellStyle name="Comma 10 2" xfId="395" xr:uid="{00000000-0005-0000-0000-0000BA000000}"/>
    <cellStyle name="Comma 11" xfId="26" xr:uid="{00000000-0005-0000-0000-0000BB000000}"/>
    <cellStyle name="Comma 12" xfId="396" xr:uid="{00000000-0005-0000-0000-0000BC000000}"/>
    <cellStyle name="Comma 13" xfId="397" xr:uid="{00000000-0005-0000-0000-0000BD000000}"/>
    <cellStyle name="Comma 13 2" xfId="398" xr:uid="{00000000-0005-0000-0000-0000BE000000}"/>
    <cellStyle name="Comma 13 2 2" xfId="399" xr:uid="{00000000-0005-0000-0000-0000BF000000}"/>
    <cellStyle name="Comma 14" xfId="400" xr:uid="{00000000-0005-0000-0000-0000C0000000}"/>
    <cellStyle name="Comma 15" xfId="401" xr:uid="{00000000-0005-0000-0000-0000C1000000}"/>
    <cellStyle name="Comma 16" xfId="402" xr:uid="{00000000-0005-0000-0000-0000C2000000}"/>
    <cellStyle name="Comma 17" xfId="403" xr:uid="{00000000-0005-0000-0000-0000C3000000}"/>
    <cellStyle name="Comma 17 2" xfId="404" xr:uid="{00000000-0005-0000-0000-0000C4000000}"/>
    <cellStyle name="Comma 18" xfId="405" xr:uid="{00000000-0005-0000-0000-0000C5000000}"/>
    <cellStyle name="Comma 19" xfId="27" xr:uid="{00000000-0005-0000-0000-0000C6000000}"/>
    <cellStyle name="Comma 2" xfId="8" xr:uid="{00000000-0005-0000-0000-0000C7000000}"/>
    <cellStyle name="Comma 2 10" xfId="28" xr:uid="{00000000-0005-0000-0000-0000C8000000}"/>
    <cellStyle name="Comma 2 11" xfId="29" xr:uid="{00000000-0005-0000-0000-0000C9000000}"/>
    <cellStyle name="Comma 2 12" xfId="30" xr:uid="{00000000-0005-0000-0000-0000CA000000}"/>
    <cellStyle name="Comma 2 13" xfId="31" xr:uid="{00000000-0005-0000-0000-0000CB000000}"/>
    <cellStyle name="Comma 2 14" xfId="32" xr:uid="{00000000-0005-0000-0000-0000CC000000}"/>
    <cellStyle name="Comma 2 15" xfId="33" xr:uid="{00000000-0005-0000-0000-0000CD000000}"/>
    <cellStyle name="Comma 2 16" xfId="34" xr:uid="{00000000-0005-0000-0000-0000CE000000}"/>
    <cellStyle name="Comma 2 17" xfId="35" xr:uid="{00000000-0005-0000-0000-0000CF000000}"/>
    <cellStyle name="Comma 2 18" xfId="36" xr:uid="{00000000-0005-0000-0000-0000D0000000}"/>
    <cellStyle name="Comma 2 19" xfId="37" xr:uid="{00000000-0005-0000-0000-0000D1000000}"/>
    <cellStyle name="Comma 2 2" xfId="38" xr:uid="{00000000-0005-0000-0000-0000D2000000}"/>
    <cellStyle name="Comma 2 2 2" xfId="39" xr:uid="{00000000-0005-0000-0000-0000D3000000}"/>
    <cellStyle name="Comma 2 2 2 2" xfId="406" xr:uid="{00000000-0005-0000-0000-0000D4000000}"/>
    <cellStyle name="Comma 2 20" xfId="40" xr:uid="{00000000-0005-0000-0000-0000D5000000}"/>
    <cellStyle name="Comma 2 21" xfId="41" xr:uid="{00000000-0005-0000-0000-0000D6000000}"/>
    <cellStyle name="Comma 2 3" xfId="42" xr:uid="{00000000-0005-0000-0000-0000D7000000}"/>
    <cellStyle name="Comma 2 4" xfId="43" xr:uid="{00000000-0005-0000-0000-0000D8000000}"/>
    <cellStyle name="Comma 2 5" xfId="44" xr:uid="{00000000-0005-0000-0000-0000D9000000}"/>
    <cellStyle name="Comma 2 6" xfId="45" xr:uid="{00000000-0005-0000-0000-0000DA000000}"/>
    <cellStyle name="Comma 2 7" xfId="46" xr:uid="{00000000-0005-0000-0000-0000DB000000}"/>
    <cellStyle name="Comma 2 8" xfId="47" xr:uid="{00000000-0005-0000-0000-0000DC000000}"/>
    <cellStyle name="Comma 2 9" xfId="48" xr:uid="{00000000-0005-0000-0000-0000DD000000}"/>
    <cellStyle name="Comma 20" xfId="407" xr:uid="{00000000-0005-0000-0000-0000DE000000}"/>
    <cellStyle name="Comma 21" xfId="49" xr:uid="{00000000-0005-0000-0000-0000DF000000}"/>
    <cellStyle name="Comma 22" xfId="50" xr:uid="{00000000-0005-0000-0000-0000E0000000}"/>
    <cellStyle name="Comma 23" xfId="408" xr:uid="{00000000-0005-0000-0000-0000E1000000}"/>
    <cellStyle name="Comma 24" xfId="409" xr:uid="{00000000-0005-0000-0000-0000E2000000}"/>
    <cellStyle name="Comma 25" xfId="410" xr:uid="{00000000-0005-0000-0000-0000E3000000}"/>
    <cellStyle name="Comma 26" xfId="411" xr:uid="{00000000-0005-0000-0000-0000E4000000}"/>
    <cellStyle name="Comma 27" xfId="412" xr:uid="{00000000-0005-0000-0000-0000E5000000}"/>
    <cellStyle name="Comma 28" xfId="413" xr:uid="{00000000-0005-0000-0000-0000E6000000}"/>
    <cellStyle name="Comma 29" xfId="414" xr:uid="{00000000-0005-0000-0000-0000E7000000}"/>
    <cellStyle name="Comma 3" xfId="51" xr:uid="{00000000-0005-0000-0000-0000E8000000}"/>
    <cellStyle name="Comma 3 2" xfId="197" xr:uid="{00000000-0005-0000-0000-0000E9000000}"/>
    <cellStyle name="Comma 3 3" xfId="415" xr:uid="{00000000-0005-0000-0000-0000EA000000}"/>
    <cellStyle name="Comma 3 4" xfId="416" xr:uid="{00000000-0005-0000-0000-0000EB000000}"/>
    <cellStyle name="Comma 30" xfId="417" xr:uid="{00000000-0005-0000-0000-0000EC000000}"/>
    <cellStyle name="Comma 31" xfId="418" xr:uid="{00000000-0005-0000-0000-0000ED000000}"/>
    <cellStyle name="Comma 32" xfId="419" xr:uid="{00000000-0005-0000-0000-0000EE000000}"/>
    <cellStyle name="Comma 33" xfId="420" xr:uid="{00000000-0005-0000-0000-0000EF000000}"/>
    <cellStyle name="Comma 34" xfId="421" xr:uid="{00000000-0005-0000-0000-0000F0000000}"/>
    <cellStyle name="Comma 35" xfId="422" xr:uid="{00000000-0005-0000-0000-0000F1000000}"/>
    <cellStyle name="Comma 36" xfId="423" xr:uid="{00000000-0005-0000-0000-0000F2000000}"/>
    <cellStyle name="Comma 37" xfId="424" xr:uid="{00000000-0005-0000-0000-0000F3000000}"/>
    <cellStyle name="Comma 38" xfId="425" xr:uid="{00000000-0005-0000-0000-0000F4000000}"/>
    <cellStyle name="Comma 4" xfId="52" xr:uid="{00000000-0005-0000-0000-0000F5000000}"/>
    <cellStyle name="Comma 4 2" xfId="426" xr:uid="{00000000-0005-0000-0000-0000F6000000}"/>
    <cellStyle name="Comma 4 2 2" xfId="427" xr:uid="{00000000-0005-0000-0000-0000F7000000}"/>
    <cellStyle name="Comma 4 3" xfId="428" xr:uid="{00000000-0005-0000-0000-0000F8000000}"/>
    <cellStyle name="Comma 4 3 2" xfId="429" xr:uid="{00000000-0005-0000-0000-0000F9000000}"/>
    <cellStyle name="Comma 4 3 3" xfId="430" xr:uid="{00000000-0005-0000-0000-0000FA000000}"/>
    <cellStyle name="Comma 4 3 4" xfId="431" xr:uid="{00000000-0005-0000-0000-0000FB000000}"/>
    <cellStyle name="Comma 4 4" xfId="432" xr:uid="{00000000-0005-0000-0000-0000FC000000}"/>
    <cellStyle name="Comma 4 5" xfId="433" xr:uid="{00000000-0005-0000-0000-0000FD000000}"/>
    <cellStyle name="Comma 5" xfId="53" xr:uid="{00000000-0005-0000-0000-0000FE000000}"/>
    <cellStyle name="Comma 5 2" xfId="434" xr:uid="{00000000-0005-0000-0000-0000FF000000}"/>
    <cellStyle name="Comma 6" xfId="186" xr:uid="{00000000-0005-0000-0000-000000010000}"/>
    <cellStyle name="Comma 6 2" xfId="435" xr:uid="{00000000-0005-0000-0000-000001010000}"/>
    <cellStyle name="Comma 6 2 2" xfId="436" xr:uid="{00000000-0005-0000-0000-000002010000}"/>
    <cellStyle name="Comma 6 3" xfId="437" xr:uid="{00000000-0005-0000-0000-000003010000}"/>
    <cellStyle name="Comma 7" xfId="438" xr:uid="{00000000-0005-0000-0000-000004010000}"/>
    <cellStyle name="Comma 7 2" xfId="439" xr:uid="{00000000-0005-0000-0000-000005010000}"/>
    <cellStyle name="Comma 7 2 2" xfId="440" xr:uid="{00000000-0005-0000-0000-000006010000}"/>
    <cellStyle name="Comma 7 2 2 2" xfId="441" xr:uid="{00000000-0005-0000-0000-000007010000}"/>
    <cellStyle name="Comma 7 2 2 2 2" xfId="442" xr:uid="{00000000-0005-0000-0000-000008010000}"/>
    <cellStyle name="Comma 7 2 2 2 3" xfId="443" xr:uid="{00000000-0005-0000-0000-000009010000}"/>
    <cellStyle name="Comma 7 2 2 3" xfId="444" xr:uid="{00000000-0005-0000-0000-00000A010000}"/>
    <cellStyle name="Comma 8" xfId="445" xr:uid="{00000000-0005-0000-0000-00000B010000}"/>
    <cellStyle name="Comma 9" xfId="446" xr:uid="{00000000-0005-0000-0000-00000C010000}"/>
    <cellStyle name="Comma0" xfId="54" xr:uid="{00000000-0005-0000-0000-00000D010000}"/>
    <cellStyle name="Comma0 - Style1" xfId="447" xr:uid="{00000000-0005-0000-0000-00000E010000}"/>
    <cellStyle name="Comma0 - Style2" xfId="448" xr:uid="{00000000-0005-0000-0000-00000F010000}"/>
    <cellStyle name="Comma0 - Style3" xfId="449" xr:uid="{00000000-0005-0000-0000-000010010000}"/>
    <cellStyle name="Comma0 - Style4" xfId="450" xr:uid="{00000000-0005-0000-0000-000011010000}"/>
    <cellStyle name="Comma0 2" xfId="451" xr:uid="{00000000-0005-0000-0000-000012010000}"/>
    <cellStyle name="Comma0 2 2" xfId="452" xr:uid="{00000000-0005-0000-0000-000013010000}"/>
    <cellStyle name="Comma0 3" xfId="453" xr:uid="{00000000-0005-0000-0000-000014010000}"/>
    <cellStyle name="Comma0 4" xfId="454" xr:uid="{00000000-0005-0000-0000-000015010000}"/>
    <cellStyle name="Comma0_1st Qtr 2009 Global Insight Factors" xfId="455" xr:uid="{00000000-0005-0000-0000-000016010000}"/>
    <cellStyle name="Comma1 - Style1" xfId="456" xr:uid="{00000000-0005-0000-0000-000017010000}"/>
    <cellStyle name="Curren - Style2" xfId="457" xr:uid="{00000000-0005-0000-0000-000018010000}"/>
    <cellStyle name="Curren - Style3" xfId="458" xr:uid="{00000000-0005-0000-0000-000019010000}"/>
    <cellStyle name="Currency" xfId="2" builtinId="4"/>
    <cellStyle name="Currency 10" xfId="459" xr:uid="{00000000-0005-0000-0000-00001B010000}"/>
    <cellStyle name="Currency 10 2" xfId="460" xr:uid="{00000000-0005-0000-0000-00001C010000}"/>
    <cellStyle name="Currency 10 3" xfId="461" xr:uid="{00000000-0005-0000-0000-00001D010000}"/>
    <cellStyle name="Currency 2" xfId="9" xr:uid="{00000000-0005-0000-0000-00001E010000}"/>
    <cellStyle name="Currency 2 10" xfId="55" xr:uid="{00000000-0005-0000-0000-00001F010000}"/>
    <cellStyle name="Currency 2 11" xfId="56" xr:uid="{00000000-0005-0000-0000-000020010000}"/>
    <cellStyle name="Currency 2 12" xfId="57" xr:uid="{00000000-0005-0000-0000-000021010000}"/>
    <cellStyle name="Currency 2 13" xfId="58" xr:uid="{00000000-0005-0000-0000-000022010000}"/>
    <cellStyle name="Currency 2 14" xfId="59" xr:uid="{00000000-0005-0000-0000-000023010000}"/>
    <cellStyle name="Currency 2 15" xfId="60" xr:uid="{00000000-0005-0000-0000-000024010000}"/>
    <cellStyle name="Currency 2 16" xfId="61" xr:uid="{00000000-0005-0000-0000-000025010000}"/>
    <cellStyle name="Currency 2 17" xfId="62" xr:uid="{00000000-0005-0000-0000-000026010000}"/>
    <cellStyle name="Currency 2 18" xfId="63" xr:uid="{00000000-0005-0000-0000-000027010000}"/>
    <cellStyle name="Currency 2 19" xfId="64" xr:uid="{00000000-0005-0000-0000-000028010000}"/>
    <cellStyle name="Currency 2 2" xfId="65" xr:uid="{00000000-0005-0000-0000-000029010000}"/>
    <cellStyle name="Currency 2 2 2" xfId="66" xr:uid="{00000000-0005-0000-0000-00002A010000}"/>
    <cellStyle name="Currency 2 20" xfId="67" xr:uid="{00000000-0005-0000-0000-00002B010000}"/>
    <cellStyle name="Currency 2 21" xfId="68" xr:uid="{00000000-0005-0000-0000-00002C010000}"/>
    <cellStyle name="Currency 2 3" xfId="69" xr:uid="{00000000-0005-0000-0000-00002D010000}"/>
    <cellStyle name="Currency 2 4" xfId="70" xr:uid="{00000000-0005-0000-0000-00002E010000}"/>
    <cellStyle name="Currency 2 5" xfId="71" xr:uid="{00000000-0005-0000-0000-00002F010000}"/>
    <cellStyle name="Currency 2 6" xfId="72" xr:uid="{00000000-0005-0000-0000-000030010000}"/>
    <cellStyle name="Currency 2 7" xfId="73" xr:uid="{00000000-0005-0000-0000-000031010000}"/>
    <cellStyle name="Currency 2 8" xfId="74" xr:uid="{00000000-0005-0000-0000-000032010000}"/>
    <cellStyle name="Currency 2 9" xfId="75" xr:uid="{00000000-0005-0000-0000-000033010000}"/>
    <cellStyle name="Currency 3" xfId="198" xr:uid="{00000000-0005-0000-0000-000034010000}"/>
    <cellStyle name="Currency 3 2" xfId="462" xr:uid="{00000000-0005-0000-0000-000035010000}"/>
    <cellStyle name="Currency 4" xfId="463" xr:uid="{00000000-0005-0000-0000-000036010000}"/>
    <cellStyle name="Currency 4 2" xfId="464" xr:uid="{00000000-0005-0000-0000-000037010000}"/>
    <cellStyle name="Currency 4 2 2" xfId="1083" xr:uid="{3D90761B-E81A-4545-8AEB-59448851F35F}"/>
    <cellStyle name="Currency 5" xfId="465" xr:uid="{00000000-0005-0000-0000-000038010000}"/>
    <cellStyle name="Currency 6" xfId="466" xr:uid="{00000000-0005-0000-0000-000039010000}"/>
    <cellStyle name="Currency 7" xfId="467" xr:uid="{00000000-0005-0000-0000-00003A010000}"/>
    <cellStyle name="Currency 7 2" xfId="468" xr:uid="{00000000-0005-0000-0000-00003B010000}"/>
    <cellStyle name="Currency 7 2 2" xfId="469" xr:uid="{00000000-0005-0000-0000-00003C010000}"/>
    <cellStyle name="Currency 8" xfId="470" xr:uid="{00000000-0005-0000-0000-00003D010000}"/>
    <cellStyle name="Currency 9" xfId="471" xr:uid="{00000000-0005-0000-0000-00003E010000}"/>
    <cellStyle name="Currency No Comma" xfId="76" xr:uid="{00000000-0005-0000-0000-00003F010000}"/>
    <cellStyle name="Currency(0)" xfId="472" xr:uid="{00000000-0005-0000-0000-000040010000}"/>
    <cellStyle name="Currency0" xfId="77" xr:uid="{00000000-0005-0000-0000-000041010000}"/>
    <cellStyle name="Currency0 2" xfId="473" xr:uid="{00000000-0005-0000-0000-000042010000}"/>
    <cellStyle name="Currency0 2 2" xfId="474" xr:uid="{00000000-0005-0000-0000-000043010000}"/>
    <cellStyle name="Currency0 3" xfId="475" xr:uid="{00000000-0005-0000-0000-000044010000}"/>
    <cellStyle name="Currency0 4" xfId="476" xr:uid="{00000000-0005-0000-0000-000045010000}"/>
    <cellStyle name="Custom - Style8" xfId="477" xr:uid="{00000000-0005-0000-0000-000046010000}"/>
    <cellStyle name="Data   - Style2" xfId="478" xr:uid="{00000000-0005-0000-0000-000047010000}"/>
    <cellStyle name="Date" xfId="78" xr:uid="{00000000-0005-0000-0000-000048010000}"/>
    <cellStyle name="Date - Style1" xfId="479" xr:uid="{00000000-0005-0000-0000-000049010000}"/>
    <cellStyle name="Date - Style3" xfId="480" xr:uid="{00000000-0005-0000-0000-00004A010000}"/>
    <cellStyle name="Date 2" xfId="481" xr:uid="{00000000-0005-0000-0000-00004B010000}"/>
    <cellStyle name="Date 2 2" xfId="482" xr:uid="{00000000-0005-0000-0000-00004C010000}"/>
    <cellStyle name="Date 3" xfId="483" xr:uid="{00000000-0005-0000-0000-00004D010000}"/>
    <cellStyle name="Date 4" xfId="484" xr:uid="{00000000-0005-0000-0000-00004E010000}"/>
    <cellStyle name="Date_1st Qtr 2009 Global Insight Factors" xfId="485" xr:uid="{00000000-0005-0000-0000-00004F010000}"/>
    <cellStyle name="Explanatory Text 2" xfId="486" xr:uid="{00000000-0005-0000-0000-000050010000}"/>
    <cellStyle name="Explanatory Text 3" xfId="487" xr:uid="{00000000-0005-0000-0000-000051010000}"/>
    <cellStyle name="Explanatory Text 4" xfId="488" xr:uid="{00000000-0005-0000-0000-000052010000}"/>
    <cellStyle name="Explanatory Text 5" xfId="489" xr:uid="{00000000-0005-0000-0000-000053010000}"/>
    <cellStyle name="Explanatory Text 6" xfId="490" xr:uid="{00000000-0005-0000-0000-000054010000}"/>
    <cellStyle name="Fixed" xfId="79" xr:uid="{00000000-0005-0000-0000-000055010000}"/>
    <cellStyle name="Fixed 2" xfId="491" xr:uid="{00000000-0005-0000-0000-000056010000}"/>
    <cellStyle name="Fixed 2 2" xfId="492" xr:uid="{00000000-0005-0000-0000-000057010000}"/>
    <cellStyle name="Fixed 3" xfId="493" xr:uid="{00000000-0005-0000-0000-000058010000}"/>
    <cellStyle name="Fixed 4" xfId="494" xr:uid="{00000000-0005-0000-0000-000059010000}"/>
    <cellStyle name="Fixed2 - Style2" xfId="495" xr:uid="{00000000-0005-0000-0000-00005A010000}"/>
    <cellStyle name="General" xfId="10" xr:uid="{00000000-0005-0000-0000-00005B010000}"/>
    <cellStyle name="Good 2" xfId="496" xr:uid="{00000000-0005-0000-0000-00005C010000}"/>
    <cellStyle name="Good 3" xfId="497" xr:uid="{00000000-0005-0000-0000-00005D010000}"/>
    <cellStyle name="Good 4" xfId="498" xr:uid="{00000000-0005-0000-0000-00005E010000}"/>
    <cellStyle name="Good 5" xfId="499" xr:uid="{00000000-0005-0000-0000-00005F010000}"/>
    <cellStyle name="Good 6" xfId="500" xr:uid="{00000000-0005-0000-0000-000060010000}"/>
    <cellStyle name="Grey" xfId="199" xr:uid="{00000000-0005-0000-0000-000061010000}"/>
    <cellStyle name="Grey 2" xfId="501" xr:uid="{00000000-0005-0000-0000-000062010000}"/>
    <cellStyle name="Grey 3" xfId="502" xr:uid="{00000000-0005-0000-0000-000063010000}"/>
    <cellStyle name="header" xfId="200" xr:uid="{00000000-0005-0000-0000-000064010000}"/>
    <cellStyle name="Header1" xfId="201" xr:uid="{00000000-0005-0000-0000-000065010000}"/>
    <cellStyle name="Header2" xfId="202" xr:uid="{00000000-0005-0000-0000-000066010000}"/>
    <cellStyle name="Heading 1 2" xfId="503" xr:uid="{00000000-0005-0000-0000-000067010000}"/>
    <cellStyle name="Heading 2 2" xfId="504" xr:uid="{00000000-0005-0000-0000-000068010000}"/>
    <cellStyle name="Heading 2 2 2" xfId="505" xr:uid="{00000000-0005-0000-0000-000069010000}"/>
    <cellStyle name="Heading 2 3" xfId="506" xr:uid="{00000000-0005-0000-0000-00006A010000}"/>
    <cellStyle name="Heading 2 4" xfId="507" xr:uid="{00000000-0005-0000-0000-00006B010000}"/>
    <cellStyle name="Heading 2 5" xfId="508" xr:uid="{00000000-0005-0000-0000-00006C010000}"/>
    <cellStyle name="Heading 3 2" xfId="509" xr:uid="{00000000-0005-0000-0000-00006D010000}"/>
    <cellStyle name="Heading 3 3" xfId="510" xr:uid="{00000000-0005-0000-0000-00006E010000}"/>
    <cellStyle name="Heading 3 4" xfId="511" xr:uid="{00000000-0005-0000-0000-00006F010000}"/>
    <cellStyle name="Heading 3 5" xfId="512" xr:uid="{00000000-0005-0000-0000-000070010000}"/>
    <cellStyle name="Heading 3 6" xfId="513" xr:uid="{00000000-0005-0000-0000-000071010000}"/>
    <cellStyle name="Heading 4 2" xfId="514" xr:uid="{00000000-0005-0000-0000-000072010000}"/>
    <cellStyle name="Heading 4 3" xfId="515" xr:uid="{00000000-0005-0000-0000-000073010000}"/>
    <cellStyle name="Heading 4 4" xfId="516" xr:uid="{00000000-0005-0000-0000-000074010000}"/>
    <cellStyle name="Heading 4 5" xfId="517" xr:uid="{00000000-0005-0000-0000-000075010000}"/>
    <cellStyle name="Heading 4 6" xfId="518" xr:uid="{00000000-0005-0000-0000-000076010000}"/>
    <cellStyle name="Heading1" xfId="519" xr:uid="{00000000-0005-0000-0000-000077010000}"/>
    <cellStyle name="Heading2" xfId="520" xr:uid="{00000000-0005-0000-0000-000078010000}"/>
    <cellStyle name="Hyperlink 2" xfId="521" xr:uid="{00000000-0005-0000-0000-000079010000}"/>
    <cellStyle name="Hyperlink 2 2" xfId="522" xr:uid="{00000000-0005-0000-0000-00007A010000}"/>
    <cellStyle name="Hyperlink 2 3" xfId="523" xr:uid="{00000000-0005-0000-0000-00007B010000}"/>
    <cellStyle name="Hyperlink 3" xfId="524" xr:uid="{00000000-0005-0000-0000-00007C010000}"/>
    <cellStyle name="Hyperlink 4" xfId="525" xr:uid="{00000000-0005-0000-0000-00007D010000}"/>
    <cellStyle name="Input [yellow]" xfId="203" xr:uid="{00000000-0005-0000-0000-00007E010000}"/>
    <cellStyle name="Input [yellow] 2" xfId="526" xr:uid="{00000000-0005-0000-0000-00007F010000}"/>
    <cellStyle name="Input [yellow] 3" xfId="527" xr:uid="{00000000-0005-0000-0000-000080010000}"/>
    <cellStyle name="Input 2" xfId="528" xr:uid="{00000000-0005-0000-0000-000081010000}"/>
    <cellStyle name="Input 2 2" xfId="529" xr:uid="{00000000-0005-0000-0000-000082010000}"/>
    <cellStyle name="Inst. Sections" xfId="530" xr:uid="{00000000-0005-0000-0000-000083010000}"/>
    <cellStyle name="Inst. Subheading" xfId="531" xr:uid="{00000000-0005-0000-0000-000084010000}"/>
    <cellStyle name="Labels - Style3" xfId="532" xr:uid="{00000000-0005-0000-0000-000085010000}"/>
    <cellStyle name="Linked Cell 2" xfId="533" xr:uid="{00000000-0005-0000-0000-000086010000}"/>
    <cellStyle name="Linked Cell 3" xfId="534" xr:uid="{00000000-0005-0000-0000-000087010000}"/>
    <cellStyle name="Linked Cell 4" xfId="535" xr:uid="{00000000-0005-0000-0000-000088010000}"/>
    <cellStyle name="Linked Cell 5" xfId="536" xr:uid="{00000000-0005-0000-0000-000089010000}"/>
    <cellStyle name="Linked Cell 6" xfId="537" xr:uid="{00000000-0005-0000-0000-00008A010000}"/>
    <cellStyle name="Macro" xfId="538" xr:uid="{00000000-0005-0000-0000-00008B010000}"/>
    <cellStyle name="macro descr" xfId="539" xr:uid="{00000000-0005-0000-0000-00008C010000}"/>
    <cellStyle name="Macro_Comments" xfId="540" xr:uid="{00000000-0005-0000-0000-00008D010000}"/>
    <cellStyle name="MacroText" xfId="541" xr:uid="{00000000-0005-0000-0000-00008E010000}"/>
    <cellStyle name="Marathon" xfId="542" xr:uid="{00000000-0005-0000-0000-00008F010000}"/>
    <cellStyle name="MCP" xfId="80" xr:uid="{00000000-0005-0000-0000-000090010000}"/>
    <cellStyle name="Neutral 2" xfId="543" xr:uid="{00000000-0005-0000-0000-000091010000}"/>
    <cellStyle name="Neutral 3" xfId="544" xr:uid="{00000000-0005-0000-0000-000092010000}"/>
    <cellStyle name="Neutral 4" xfId="545" xr:uid="{00000000-0005-0000-0000-000093010000}"/>
    <cellStyle name="Neutral 5" xfId="546" xr:uid="{00000000-0005-0000-0000-000094010000}"/>
    <cellStyle name="Neutral 6" xfId="547" xr:uid="{00000000-0005-0000-0000-000095010000}"/>
    <cellStyle name="nONE" xfId="11" xr:uid="{00000000-0005-0000-0000-000096010000}"/>
    <cellStyle name="nONE 2" xfId="548" xr:uid="{00000000-0005-0000-0000-000097010000}"/>
    <cellStyle name="noninput" xfId="81" xr:uid="{00000000-0005-0000-0000-000098010000}"/>
    <cellStyle name="noninput 2" xfId="549" xr:uid="{00000000-0005-0000-0000-000099010000}"/>
    <cellStyle name="noninput 3" xfId="550" xr:uid="{00000000-0005-0000-0000-00009A010000}"/>
    <cellStyle name="noninput 4" xfId="551" xr:uid="{00000000-0005-0000-0000-00009B010000}"/>
    <cellStyle name="Normal" xfId="0" builtinId="0"/>
    <cellStyle name="Normal - Style1" xfId="204" xr:uid="{00000000-0005-0000-0000-00009D010000}"/>
    <cellStyle name="Normal - Style1 2" xfId="552" xr:uid="{00000000-0005-0000-0000-00009E010000}"/>
    <cellStyle name="Normal - Style1 3" xfId="553" xr:uid="{00000000-0005-0000-0000-00009F010000}"/>
    <cellStyle name="Normal - Style2" xfId="554" xr:uid="{00000000-0005-0000-0000-0000A0010000}"/>
    <cellStyle name="Normal - Style3" xfId="555" xr:uid="{00000000-0005-0000-0000-0000A1010000}"/>
    <cellStyle name="Normal - Style4" xfId="556" xr:uid="{00000000-0005-0000-0000-0000A2010000}"/>
    <cellStyle name="Normal - Style5" xfId="557" xr:uid="{00000000-0005-0000-0000-0000A3010000}"/>
    <cellStyle name="Normal - Style6" xfId="558" xr:uid="{00000000-0005-0000-0000-0000A4010000}"/>
    <cellStyle name="Normal - Style7" xfId="559" xr:uid="{00000000-0005-0000-0000-0000A5010000}"/>
    <cellStyle name="Normal - Style8" xfId="560" xr:uid="{00000000-0005-0000-0000-0000A6010000}"/>
    <cellStyle name="Normal 10" xfId="82" xr:uid="{00000000-0005-0000-0000-0000A7010000}"/>
    <cellStyle name="Normal 10 2" xfId="561" xr:uid="{00000000-0005-0000-0000-0000A8010000}"/>
    <cellStyle name="Normal 10 2 2" xfId="562" xr:uid="{00000000-0005-0000-0000-0000A9010000}"/>
    <cellStyle name="Normal 10 3" xfId="563" xr:uid="{00000000-0005-0000-0000-0000AA010000}"/>
    <cellStyle name="Normal 10 4" xfId="564" xr:uid="{00000000-0005-0000-0000-0000AB010000}"/>
    <cellStyle name="Normal 10 5" xfId="565" xr:uid="{00000000-0005-0000-0000-0000AC010000}"/>
    <cellStyle name="Normal 10 6" xfId="566" xr:uid="{00000000-0005-0000-0000-0000AD010000}"/>
    <cellStyle name="Normal 100" xfId="567" xr:uid="{00000000-0005-0000-0000-0000AE010000}"/>
    <cellStyle name="Normal 101" xfId="568" xr:uid="{00000000-0005-0000-0000-0000AF010000}"/>
    <cellStyle name="Normal 102" xfId="569" xr:uid="{00000000-0005-0000-0000-0000B0010000}"/>
    <cellStyle name="Normal 103" xfId="570" xr:uid="{00000000-0005-0000-0000-0000B1010000}"/>
    <cellStyle name="Normal 104" xfId="571" xr:uid="{00000000-0005-0000-0000-0000B2010000}"/>
    <cellStyle name="Normal 105" xfId="572" xr:uid="{00000000-0005-0000-0000-0000B3010000}"/>
    <cellStyle name="Normal 106" xfId="573" xr:uid="{00000000-0005-0000-0000-0000B4010000}"/>
    <cellStyle name="Normal 107" xfId="574" xr:uid="{00000000-0005-0000-0000-0000B5010000}"/>
    <cellStyle name="Normal 108" xfId="575" xr:uid="{00000000-0005-0000-0000-0000B6010000}"/>
    <cellStyle name="Normal 109" xfId="576" xr:uid="{00000000-0005-0000-0000-0000B7010000}"/>
    <cellStyle name="Normal 11" xfId="83" xr:uid="{00000000-0005-0000-0000-0000B8010000}"/>
    <cellStyle name="Normal 11 2" xfId="577" xr:uid="{00000000-0005-0000-0000-0000B9010000}"/>
    <cellStyle name="Normal 11 2 2" xfId="578" xr:uid="{00000000-0005-0000-0000-0000BA010000}"/>
    <cellStyle name="Normal 110" xfId="579" xr:uid="{00000000-0005-0000-0000-0000BB010000}"/>
    <cellStyle name="Normal 111" xfId="580" xr:uid="{00000000-0005-0000-0000-0000BC010000}"/>
    <cellStyle name="Normal 112" xfId="581" xr:uid="{00000000-0005-0000-0000-0000BD010000}"/>
    <cellStyle name="Normal 113" xfId="582" xr:uid="{00000000-0005-0000-0000-0000BE010000}"/>
    <cellStyle name="Normal 114" xfId="583" xr:uid="{00000000-0005-0000-0000-0000BF010000}"/>
    <cellStyle name="Normal 115" xfId="584" xr:uid="{00000000-0005-0000-0000-0000C0010000}"/>
    <cellStyle name="Normal 116" xfId="585" xr:uid="{00000000-0005-0000-0000-0000C1010000}"/>
    <cellStyle name="Normal 117" xfId="586" xr:uid="{00000000-0005-0000-0000-0000C2010000}"/>
    <cellStyle name="Normal 118" xfId="587" xr:uid="{00000000-0005-0000-0000-0000C3010000}"/>
    <cellStyle name="Normal 119" xfId="588" xr:uid="{00000000-0005-0000-0000-0000C4010000}"/>
    <cellStyle name="Normal 12" xfId="84" xr:uid="{00000000-0005-0000-0000-0000C5010000}"/>
    <cellStyle name="Normal 12 2" xfId="589" xr:uid="{00000000-0005-0000-0000-0000C6010000}"/>
    <cellStyle name="Normal 120" xfId="590" xr:uid="{00000000-0005-0000-0000-0000C7010000}"/>
    <cellStyle name="Normal 121" xfId="591" xr:uid="{00000000-0005-0000-0000-0000C8010000}"/>
    <cellStyle name="Normal 122" xfId="592" xr:uid="{00000000-0005-0000-0000-0000C9010000}"/>
    <cellStyle name="Normal 123" xfId="593" xr:uid="{00000000-0005-0000-0000-0000CA010000}"/>
    <cellStyle name="Normal 124" xfId="594" xr:uid="{00000000-0005-0000-0000-0000CB010000}"/>
    <cellStyle name="Normal 125" xfId="595" xr:uid="{00000000-0005-0000-0000-0000CC010000}"/>
    <cellStyle name="Normal 126" xfId="596" xr:uid="{00000000-0005-0000-0000-0000CD010000}"/>
    <cellStyle name="Normal 127" xfId="597" xr:uid="{00000000-0005-0000-0000-0000CE010000}"/>
    <cellStyle name="Normal 128" xfId="598" xr:uid="{00000000-0005-0000-0000-0000CF010000}"/>
    <cellStyle name="Normal 129" xfId="599" xr:uid="{00000000-0005-0000-0000-0000D0010000}"/>
    <cellStyle name="Normal 13" xfId="85" xr:uid="{00000000-0005-0000-0000-0000D1010000}"/>
    <cellStyle name="Normal 130" xfId="600" xr:uid="{00000000-0005-0000-0000-0000D2010000}"/>
    <cellStyle name="Normal 131" xfId="601" xr:uid="{00000000-0005-0000-0000-0000D3010000}"/>
    <cellStyle name="Normal 132" xfId="602" xr:uid="{00000000-0005-0000-0000-0000D4010000}"/>
    <cellStyle name="Normal 133" xfId="603" xr:uid="{00000000-0005-0000-0000-0000D5010000}"/>
    <cellStyle name="Normal 134" xfId="604" xr:uid="{00000000-0005-0000-0000-0000D6010000}"/>
    <cellStyle name="Normal 135" xfId="605" xr:uid="{00000000-0005-0000-0000-0000D7010000}"/>
    <cellStyle name="Normal 136" xfId="606" xr:uid="{00000000-0005-0000-0000-0000D8010000}"/>
    <cellStyle name="Normal 137" xfId="607" xr:uid="{00000000-0005-0000-0000-0000D9010000}"/>
    <cellStyle name="Normal 138" xfId="608" xr:uid="{00000000-0005-0000-0000-0000DA010000}"/>
    <cellStyle name="Normal 139" xfId="609" xr:uid="{00000000-0005-0000-0000-0000DB010000}"/>
    <cellStyle name="Normal 14" xfId="86" xr:uid="{00000000-0005-0000-0000-0000DC010000}"/>
    <cellStyle name="Normal 14 2" xfId="610" xr:uid="{00000000-0005-0000-0000-0000DD010000}"/>
    <cellStyle name="Normal 140" xfId="611" xr:uid="{00000000-0005-0000-0000-0000DE010000}"/>
    <cellStyle name="Normal 141" xfId="612" xr:uid="{00000000-0005-0000-0000-0000DF010000}"/>
    <cellStyle name="Normal 142" xfId="613" xr:uid="{00000000-0005-0000-0000-0000E0010000}"/>
    <cellStyle name="Normal 143" xfId="614" xr:uid="{00000000-0005-0000-0000-0000E1010000}"/>
    <cellStyle name="Normal 144" xfId="615" xr:uid="{00000000-0005-0000-0000-0000E2010000}"/>
    <cellStyle name="Normal 145" xfId="616" xr:uid="{00000000-0005-0000-0000-0000E3010000}"/>
    <cellStyle name="Normal 146" xfId="617" xr:uid="{00000000-0005-0000-0000-0000E4010000}"/>
    <cellStyle name="Normal 147" xfId="618" xr:uid="{00000000-0005-0000-0000-0000E5010000}"/>
    <cellStyle name="Normal 148" xfId="619" xr:uid="{00000000-0005-0000-0000-0000E6010000}"/>
    <cellStyle name="Normal 149" xfId="620" xr:uid="{00000000-0005-0000-0000-0000E7010000}"/>
    <cellStyle name="Normal 15" xfId="184" xr:uid="{00000000-0005-0000-0000-0000E8010000}"/>
    <cellStyle name="Normal 15 2" xfId="621" xr:uid="{00000000-0005-0000-0000-0000E9010000}"/>
    <cellStyle name="Normal 15 2 2" xfId="622" xr:uid="{00000000-0005-0000-0000-0000EA010000}"/>
    <cellStyle name="Normal 150" xfId="623" xr:uid="{00000000-0005-0000-0000-0000EB010000}"/>
    <cellStyle name="Normal 151" xfId="624" xr:uid="{00000000-0005-0000-0000-0000EC010000}"/>
    <cellStyle name="Normal 152" xfId="625" xr:uid="{00000000-0005-0000-0000-0000ED010000}"/>
    <cellStyle name="Normal 153" xfId="626" xr:uid="{00000000-0005-0000-0000-0000EE010000}"/>
    <cellStyle name="Normal 154" xfId="627" xr:uid="{00000000-0005-0000-0000-0000EF010000}"/>
    <cellStyle name="Normal 155" xfId="628" xr:uid="{00000000-0005-0000-0000-0000F0010000}"/>
    <cellStyle name="Normal 156" xfId="629" xr:uid="{00000000-0005-0000-0000-0000F1010000}"/>
    <cellStyle name="Normal 157" xfId="630" xr:uid="{00000000-0005-0000-0000-0000F2010000}"/>
    <cellStyle name="Normal 158" xfId="631" xr:uid="{00000000-0005-0000-0000-0000F3010000}"/>
    <cellStyle name="Normal 159" xfId="632" xr:uid="{00000000-0005-0000-0000-0000F4010000}"/>
    <cellStyle name="Normal 16" xfId="87" xr:uid="{00000000-0005-0000-0000-0000F5010000}"/>
    <cellStyle name="Normal 16 2" xfId="633" xr:uid="{00000000-0005-0000-0000-0000F6010000}"/>
    <cellStyle name="Normal 160" xfId="634" xr:uid="{00000000-0005-0000-0000-0000F7010000}"/>
    <cellStyle name="Normal 161" xfId="635" xr:uid="{00000000-0005-0000-0000-0000F8010000}"/>
    <cellStyle name="Normal 162" xfId="636" xr:uid="{00000000-0005-0000-0000-0000F9010000}"/>
    <cellStyle name="Normal 163" xfId="637" xr:uid="{00000000-0005-0000-0000-0000FA010000}"/>
    <cellStyle name="Normal 164" xfId="638" xr:uid="{00000000-0005-0000-0000-0000FB010000}"/>
    <cellStyle name="Normal 165" xfId="639" xr:uid="{00000000-0005-0000-0000-0000FC010000}"/>
    <cellStyle name="Normal 166" xfId="640" xr:uid="{00000000-0005-0000-0000-0000FD010000}"/>
    <cellStyle name="Normal 167" xfId="641" xr:uid="{00000000-0005-0000-0000-0000FE010000}"/>
    <cellStyle name="Normal 168" xfId="642" xr:uid="{00000000-0005-0000-0000-0000FF010000}"/>
    <cellStyle name="Normal 169" xfId="643" xr:uid="{00000000-0005-0000-0000-000000020000}"/>
    <cellStyle name="Normal 17" xfId="88" xr:uid="{00000000-0005-0000-0000-000001020000}"/>
    <cellStyle name="Normal 170" xfId="644" xr:uid="{00000000-0005-0000-0000-000002020000}"/>
    <cellStyle name="Normal 171" xfId="645" xr:uid="{00000000-0005-0000-0000-000003020000}"/>
    <cellStyle name="Normal 172" xfId="646" xr:uid="{00000000-0005-0000-0000-000004020000}"/>
    <cellStyle name="Normal 173" xfId="647" xr:uid="{00000000-0005-0000-0000-000005020000}"/>
    <cellStyle name="Normal 174" xfId="648" xr:uid="{00000000-0005-0000-0000-000006020000}"/>
    <cellStyle name="Normal 175" xfId="649" xr:uid="{00000000-0005-0000-0000-000007020000}"/>
    <cellStyle name="Normal 176" xfId="650" xr:uid="{00000000-0005-0000-0000-000008020000}"/>
    <cellStyle name="Normal 177" xfId="651" xr:uid="{00000000-0005-0000-0000-000009020000}"/>
    <cellStyle name="Normal 178" xfId="652" xr:uid="{00000000-0005-0000-0000-00000A020000}"/>
    <cellStyle name="Normal 179" xfId="653" xr:uid="{00000000-0005-0000-0000-00000B020000}"/>
    <cellStyle name="Normal 18" xfId="89" xr:uid="{00000000-0005-0000-0000-00000C020000}"/>
    <cellStyle name="Normal 18 2" xfId="654" xr:uid="{00000000-0005-0000-0000-00000D020000}"/>
    <cellStyle name="Normal 180" xfId="655" xr:uid="{00000000-0005-0000-0000-00000E020000}"/>
    <cellStyle name="Normal 181" xfId="656" xr:uid="{00000000-0005-0000-0000-00000F020000}"/>
    <cellStyle name="Normal 182" xfId="657" xr:uid="{00000000-0005-0000-0000-000010020000}"/>
    <cellStyle name="Normal 183" xfId="658" xr:uid="{00000000-0005-0000-0000-000011020000}"/>
    <cellStyle name="Normal 184" xfId="659" xr:uid="{00000000-0005-0000-0000-000012020000}"/>
    <cellStyle name="Normal 185" xfId="660" xr:uid="{00000000-0005-0000-0000-000013020000}"/>
    <cellStyle name="Normal 186" xfId="661" xr:uid="{00000000-0005-0000-0000-000014020000}"/>
    <cellStyle name="Normal 187" xfId="662" xr:uid="{00000000-0005-0000-0000-000015020000}"/>
    <cellStyle name="Normal 188" xfId="663" xr:uid="{00000000-0005-0000-0000-000016020000}"/>
    <cellStyle name="Normal 189" xfId="664" xr:uid="{00000000-0005-0000-0000-000017020000}"/>
    <cellStyle name="Normal 19" xfId="90" xr:uid="{00000000-0005-0000-0000-000018020000}"/>
    <cellStyle name="Normal 190" xfId="665" xr:uid="{00000000-0005-0000-0000-000019020000}"/>
    <cellStyle name="Normal 191" xfId="666" xr:uid="{00000000-0005-0000-0000-00001A020000}"/>
    <cellStyle name="Normal 192" xfId="667" xr:uid="{00000000-0005-0000-0000-00001B020000}"/>
    <cellStyle name="Normal 193" xfId="668" xr:uid="{00000000-0005-0000-0000-00001C020000}"/>
    <cellStyle name="Normal 194" xfId="669" xr:uid="{00000000-0005-0000-0000-00001D020000}"/>
    <cellStyle name="Normal 195" xfId="670" xr:uid="{00000000-0005-0000-0000-00001E020000}"/>
    <cellStyle name="Normal 196" xfId="671" xr:uid="{00000000-0005-0000-0000-00001F020000}"/>
    <cellStyle name="Normal 197" xfId="672" xr:uid="{00000000-0005-0000-0000-000020020000}"/>
    <cellStyle name="Normal 198" xfId="673" xr:uid="{00000000-0005-0000-0000-000021020000}"/>
    <cellStyle name="Normal 199" xfId="674" xr:uid="{00000000-0005-0000-0000-000022020000}"/>
    <cellStyle name="Normal 2" xfId="12" xr:uid="{00000000-0005-0000-0000-000023020000}"/>
    <cellStyle name="Normal 2 10" xfId="91" xr:uid="{00000000-0005-0000-0000-000024020000}"/>
    <cellStyle name="Normal 2 10 2" xfId="675" xr:uid="{00000000-0005-0000-0000-000025020000}"/>
    <cellStyle name="Normal 2 10 2 2 2 3" xfId="1081" xr:uid="{00000000-0005-0000-0000-000026020000}"/>
    <cellStyle name="Normal 2 11" xfId="92" xr:uid="{00000000-0005-0000-0000-000027020000}"/>
    <cellStyle name="Normal 2 12" xfId="93" xr:uid="{00000000-0005-0000-0000-000028020000}"/>
    <cellStyle name="Normal 2 13" xfId="94" xr:uid="{00000000-0005-0000-0000-000029020000}"/>
    <cellStyle name="Normal 2 14" xfId="95" xr:uid="{00000000-0005-0000-0000-00002A020000}"/>
    <cellStyle name="Normal 2 15" xfId="96" xr:uid="{00000000-0005-0000-0000-00002B020000}"/>
    <cellStyle name="Normal 2 16" xfId="97" xr:uid="{00000000-0005-0000-0000-00002C020000}"/>
    <cellStyle name="Normal 2 17" xfId="98" xr:uid="{00000000-0005-0000-0000-00002D020000}"/>
    <cellStyle name="Normal 2 18" xfId="99" xr:uid="{00000000-0005-0000-0000-00002E020000}"/>
    <cellStyle name="Normal 2 19" xfId="100" xr:uid="{00000000-0005-0000-0000-00002F020000}"/>
    <cellStyle name="Normal 2 2" xfId="6" xr:uid="{00000000-0005-0000-0000-000030020000}"/>
    <cellStyle name="Normal 2 2 2" xfId="676" xr:uid="{00000000-0005-0000-0000-000031020000}"/>
    <cellStyle name="Normal 2 2 2 2" xfId="677" xr:uid="{00000000-0005-0000-0000-000032020000}"/>
    <cellStyle name="Normal 2 2 3" xfId="678" xr:uid="{00000000-0005-0000-0000-000033020000}"/>
    <cellStyle name="Normal 2 2 4" xfId="679" xr:uid="{00000000-0005-0000-0000-000034020000}"/>
    <cellStyle name="Normal 2 2 5" xfId="680" xr:uid="{00000000-0005-0000-0000-000035020000}"/>
    <cellStyle name="Normal 2 20" xfId="101" xr:uid="{00000000-0005-0000-0000-000036020000}"/>
    <cellStyle name="Normal 2 21" xfId="102" xr:uid="{00000000-0005-0000-0000-000037020000}"/>
    <cellStyle name="Normal 2 22" xfId="103" xr:uid="{00000000-0005-0000-0000-000038020000}"/>
    <cellStyle name="Normal 2 23" xfId="681" xr:uid="{00000000-0005-0000-0000-000039020000}"/>
    <cellStyle name="Normal 2 3" xfId="104" xr:uid="{00000000-0005-0000-0000-00003A020000}"/>
    <cellStyle name="Normal 2 3 2" xfId="105" xr:uid="{00000000-0005-0000-0000-00003B020000}"/>
    <cellStyle name="Normal 2 3 2 2" xfId="682" xr:uid="{00000000-0005-0000-0000-00003C020000}"/>
    <cellStyle name="Normal 2 3 3" xfId="683" xr:uid="{00000000-0005-0000-0000-00003D020000}"/>
    <cellStyle name="Normal 2 3 4" xfId="684" xr:uid="{00000000-0005-0000-0000-00003E020000}"/>
    <cellStyle name="Normal 2 3 5" xfId="685" xr:uid="{00000000-0005-0000-0000-00003F020000}"/>
    <cellStyle name="Normal 2 3 6" xfId="686" xr:uid="{00000000-0005-0000-0000-000040020000}"/>
    <cellStyle name="Normal 2 4" xfId="106" xr:uid="{00000000-0005-0000-0000-000041020000}"/>
    <cellStyle name="Normal 2 4 2" xfId="687" xr:uid="{00000000-0005-0000-0000-000042020000}"/>
    <cellStyle name="Normal 2 5" xfId="107" xr:uid="{00000000-0005-0000-0000-000043020000}"/>
    <cellStyle name="Normal 2 5 2" xfId="688" xr:uid="{00000000-0005-0000-0000-000044020000}"/>
    <cellStyle name="Normal 2 6" xfId="108" xr:uid="{00000000-0005-0000-0000-000045020000}"/>
    <cellStyle name="Normal 2 7" xfId="109" xr:uid="{00000000-0005-0000-0000-000046020000}"/>
    <cellStyle name="Normal 2 8" xfId="110" xr:uid="{00000000-0005-0000-0000-000047020000}"/>
    <cellStyle name="Normal 2 9" xfId="111" xr:uid="{00000000-0005-0000-0000-000048020000}"/>
    <cellStyle name="Normal 2_Book1" xfId="112" xr:uid="{00000000-0005-0000-0000-000049020000}"/>
    <cellStyle name="Normal 20" xfId="113" xr:uid="{00000000-0005-0000-0000-00004A020000}"/>
    <cellStyle name="Normal 20 2" xfId="689" xr:uid="{00000000-0005-0000-0000-00004B020000}"/>
    <cellStyle name="Normal 200" xfId="690" xr:uid="{00000000-0005-0000-0000-00004C020000}"/>
    <cellStyle name="Normal 201" xfId="691" xr:uid="{00000000-0005-0000-0000-00004D020000}"/>
    <cellStyle name="Normal 202" xfId="692" xr:uid="{00000000-0005-0000-0000-00004E020000}"/>
    <cellStyle name="Normal 203" xfId="693" xr:uid="{00000000-0005-0000-0000-00004F020000}"/>
    <cellStyle name="Normal 204" xfId="694" xr:uid="{00000000-0005-0000-0000-000050020000}"/>
    <cellStyle name="Normal 205" xfId="695" xr:uid="{00000000-0005-0000-0000-000051020000}"/>
    <cellStyle name="Normal 206" xfId="696" xr:uid="{00000000-0005-0000-0000-000052020000}"/>
    <cellStyle name="Normal 207" xfId="697" xr:uid="{00000000-0005-0000-0000-000053020000}"/>
    <cellStyle name="Normal 208" xfId="698" xr:uid="{00000000-0005-0000-0000-000054020000}"/>
    <cellStyle name="Normal 209" xfId="699" xr:uid="{00000000-0005-0000-0000-000055020000}"/>
    <cellStyle name="Normal 21" xfId="114" xr:uid="{00000000-0005-0000-0000-000056020000}"/>
    <cellStyle name="Normal 210" xfId="700" xr:uid="{00000000-0005-0000-0000-000057020000}"/>
    <cellStyle name="Normal 211" xfId="701" xr:uid="{00000000-0005-0000-0000-000058020000}"/>
    <cellStyle name="Normal 212" xfId="702" xr:uid="{00000000-0005-0000-0000-000059020000}"/>
    <cellStyle name="Normal 213" xfId="703" xr:uid="{00000000-0005-0000-0000-00005A020000}"/>
    <cellStyle name="Normal 214" xfId="704" xr:uid="{00000000-0005-0000-0000-00005B020000}"/>
    <cellStyle name="Normal 215" xfId="705" xr:uid="{00000000-0005-0000-0000-00005C020000}"/>
    <cellStyle name="Normal 216" xfId="706" xr:uid="{00000000-0005-0000-0000-00005D020000}"/>
    <cellStyle name="Normal 217" xfId="707" xr:uid="{00000000-0005-0000-0000-00005E020000}"/>
    <cellStyle name="Normal 218" xfId="708" xr:uid="{00000000-0005-0000-0000-00005F020000}"/>
    <cellStyle name="Normal 219" xfId="709" xr:uid="{00000000-0005-0000-0000-000060020000}"/>
    <cellStyle name="Normal 22" xfId="115" xr:uid="{00000000-0005-0000-0000-000061020000}"/>
    <cellStyle name="Normal 22 2" xfId="710" xr:uid="{00000000-0005-0000-0000-000062020000}"/>
    <cellStyle name="Normal 22 3" xfId="711" xr:uid="{00000000-0005-0000-0000-000063020000}"/>
    <cellStyle name="Normal 220" xfId="712" xr:uid="{00000000-0005-0000-0000-000064020000}"/>
    <cellStyle name="Normal 221" xfId="713" xr:uid="{00000000-0005-0000-0000-000065020000}"/>
    <cellStyle name="Normal 222" xfId="714" xr:uid="{00000000-0005-0000-0000-000066020000}"/>
    <cellStyle name="Normal 223" xfId="715" xr:uid="{00000000-0005-0000-0000-000067020000}"/>
    <cellStyle name="Normal 224" xfId="716" xr:uid="{00000000-0005-0000-0000-000068020000}"/>
    <cellStyle name="Normal 225" xfId="717" xr:uid="{00000000-0005-0000-0000-000069020000}"/>
    <cellStyle name="Normal 226" xfId="718" xr:uid="{00000000-0005-0000-0000-00006A020000}"/>
    <cellStyle name="Normal 227" xfId="719" xr:uid="{00000000-0005-0000-0000-00006B020000}"/>
    <cellStyle name="Normal 228" xfId="720" xr:uid="{00000000-0005-0000-0000-00006C020000}"/>
    <cellStyle name="Normal 229" xfId="721" xr:uid="{00000000-0005-0000-0000-00006D020000}"/>
    <cellStyle name="Normal 23" xfId="116" xr:uid="{00000000-0005-0000-0000-00006E020000}"/>
    <cellStyle name="Normal 23 2" xfId="722" xr:uid="{00000000-0005-0000-0000-00006F020000}"/>
    <cellStyle name="Normal 230" xfId="723" xr:uid="{00000000-0005-0000-0000-000070020000}"/>
    <cellStyle name="Normal 231" xfId="724" xr:uid="{00000000-0005-0000-0000-000071020000}"/>
    <cellStyle name="Normal 232" xfId="725" xr:uid="{00000000-0005-0000-0000-000072020000}"/>
    <cellStyle name="Normal 233" xfId="726" xr:uid="{00000000-0005-0000-0000-000073020000}"/>
    <cellStyle name="Normal 234" xfId="727" xr:uid="{00000000-0005-0000-0000-000074020000}"/>
    <cellStyle name="Normal 235" xfId="728" xr:uid="{00000000-0005-0000-0000-000075020000}"/>
    <cellStyle name="Normal 236" xfId="729" xr:uid="{00000000-0005-0000-0000-000076020000}"/>
    <cellStyle name="Normal 237" xfId="730" xr:uid="{00000000-0005-0000-0000-000077020000}"/>
    <cellStyle name="Normal 238" xfId="731" xr:uid="{00000000-0005-0000-0000-000078020000}"/>
    <cellStyle name="Normal 239" xfId="732" xr:uid="{00000000-0005-0000-0000-000079020000}"/>
    <cellStyle name="Normal 24" xfId="117" xr:uid="{00000000-0005-0000-0000-00007A020000}"/>
    <cellStyle name="Normal 24 2" xfId="733" xr:uid="{00000000-0005-0000-0000-00007B020000}"/>
    <cellStyle name="Normal 24 3" xfId="734" xr:uid="{00000000-0005-0000-0000-00007C020000}"/>
    <cellStyle name="Normal 240" xfId="735" xr:uid="{00000000-0005-0000-0000-00007D020000}"/>
    <cellStyle name="Normal 240 2" xfId="736" xr:uid="{00000000-0005-0000-0000-00007E020000}"/>
    <cellStyle name="Normal 241" xfId="737" xr:uid="{00000000-0005-0000-0000-00007F020000}"/>
    <cellStyle name="Normal 241 2" xfId="738" xr:uid="{00000000-0005-0000-0000-000080020000}"/>
    <cellStyle name="Normal 241 3" xfId="739" xr:uid="{00000000-0005-0000-0000-000081020000}"/>
    <cellStyle name="Normal 242" xfId="740" xr:uid="{00000000-0005-0000-0000-000082020000}"/>
    <cellStyle name="Normal 243" xfId="741" xr:uid="{00000000-0005-0000-0000-000083020000}"/>
    <cellStyle name="Normal 243 2" xfId="742" xr:uid="{00000000-0005-0000-0000-000084020000}"/>
    <cellStyle name="Normal 244" xfId="743" xr:uid="{00000000-0005-0000-0000-000085020000}"/>
    <cellStyle name="Normal 245" xfId="744" xr:uid="{00000000-0005-0000-0000-000086020000}"/>
    <cellStyle name="Normal 246" xfId="745" xr:uid="{00000000-0005-0000-0000-000087020000}"/>
    <cellStyle name="Normal 247" xfId="746" xr:uid="{00000000-0005-0000-0000-000088020000}"/>
    <cellStyle name="Normal 248" xfId="747" xr:uid="{00000000-0005-0000-0000-000089020000}"/>
    <cellStyle name="Normal 249" xfId="748" xr:uid="{00000000-0005-0000-0000-00008A020000}"/>
    <cellStyle name="Normal 25" xfId="187" xr:uid="{00000000-0005-0000-0000-00008B020000}"/>
    <cellStyle name="Normal 250" xfId="749" xr:uid="{00000000-0005-0000-0000-00008C020000}"/>
    <cellStyle name="Normal 251" xfId="750" xr:uid="{00000000-0005-0000-0000-00008D020000}"/>
    <cellStyle name="Normal 252" xfId="751" xr:uid="{00000000-0005-0000-0000-00008E020000}"/>
    <cellStyle name="Normal 253" xfId="752" xr:uid="{00000000-0005-0000-0000-00008F020000}"/>
    <cellStyle name="Normal 254" xfId="753" xr:uid="{00000000-0005-0000-0000-000090020000}"/>
    <cellStyle name="Normal 255" xfId="754" xr:uid="{00000000-0005-0000-0000-000091020000}"/>
    <cellStyle name="Normal 256" xfId="755" xr:uid="{00000000-0005-0000-0000-000092020000}"/>
    <cellStyle name="Normal 257" xfId="756" xr:uid="{00000000-0005-0000-0000-000093020000}"/>
    <cellStyle name="Normal 258" xfId="757" xr:uid="{00000000-0005-0000-0000-000094020000}"/>
    <cellStyle name="Normal 259" xfId="758" xr:uid="{00000000-0005-0000-0000-000095020000}"/>
    <cellStyle name="Normal 26" xfId="214" xr:uid="{00000000-0005-0000-0000-000096020000}"/>
    <cellStyle name="Normal 26 2" xfId="759" xr:uid="{00000000-0005-0000-0000-000097020000}"/>
    <cellStyle name="Normal 260" xfId="760" xr:uid="{00000000-0005-0000-0000-000098020000}"/>
    <cellStyle name="Normal 261" xfId="761" xr:uid="{00000000-0005-0000-0000-000099020000}"/>
    <cellStyle name="Normal 262" xfId="762" xr:uid="{00000000-0005-0000-0000-00009A020000}"/>
    <cellStyle name="Normal 263" xfId="763" xr:uid="{00000000-0005-0000-0000-00009B020000}"/>
    <cellStyle name="Normal 264" xfId="764" xr:uid="{00000000-0005-0000-0000-00009C020000}"/>
    <cellStyle name="Normal 265" xfId="765" xr:uid="{00000000-0005-0000-0000-00009D020000}"/>
    <cellStyle name="Normal 266" xfId="766" xr:uid="{00000000-0005-0000-0000-00009E020000}"/>
    <cellStyle name="Normal 267" xfId="767" xr:uid="{00000000-0005-0000-0000-00009F020000}"/>
    <cellStyle name="Normal 268" xfId="768" xr:uid="{00000000-0005-0000-0000-0000A0020000}"/>
    <cellStyle name="Normal 269" xfId="769" xr:uid="{00000000-0005-0000-0000-0000A1020000}"/>
    <cellStyle name="Normal 27" xfId="215" xr:uid="{00000000-0005-0000-0000-0000A2020000}"/>
    <cellStyle name="Normal 270" xfId="770" xr:uid="{00000000-0005-0000-0000-0000A3020000}"/>
    <cellStyle name="Normal 270 2" xfId="771" xr:uid="{00000000-0005-0000-0000-0000A4020000}"/>
    <cellStyle name="Normal 271" xfId="1080" xr:uid="{00000000-0005-0000-0000-0000A5020000}"/>
    <cellStyle name="Normal 272" xfId="1084" xr:uid="{5EECB0DE-C3AD-4976-8B87-D226BBEC2474}"/>
    <cellStyle name="Normal 28" xfId="772" xr:uid="{00000000-0005-0000-0000-0000A6020000}"/>
    <cellStyle name="Normal 29" xfId="773" xr:uid="{00000000-0005-0000-0000-0000A7020000}"/>
    <cellStyle name="Normal 3" xfId="7" xr:uid="{00000000-0005-0000-0000-0000A8020000}"/>
    <cellStyle name="Normal 3 2" xfId="13" xr:uid="{00000000-0005-0000-0000-0000A9020000}"/>
    <cellStyle name="Normal 3 2 2" xfId="205" xr:uid="{00000000-0005-0000-0000-0000AA020000}"/>
    <cellStyle name="Normal 3 2 2 2" xfId="774" xr:uid="{00000000-0005-0000-0000-0000AB020000}"/>
    <cellStyle name="Normal 3 2 3" xfId="775" xr:uid="{00000000-0005-0000-0000-0000AC020000}"/>
    <cellStyle name="Normal 3 2 4" xfId="776" xr:uid="{00000000-0005-0000-0000-0000AD020000}"/>
    <cellStyle name="Normal 3 2 5" xfId="777" xr:uid="{00000000-0005-0000-0000-0000AE020000}"/>
    <cellStyle name="Normal 3 2 6" xfId="778" xr:uid="{00000000-0005-0000-0000-0000AF020000}"/>
    <cellStyle name="Normal 3 3" xfId="206" xr:uid="{00000000-0005-0000-0000-0000B0020000}"/>
    <cellStyle name="Normal 3 3 2" xfId="779" xr:uid="{00000000-0005-0000-0000-0000B1020000}"/>
    <cellStyle name="Normal 3 4" xfId="780" xr:uid="{00000000-0005-0000-0000-0000B2020000}"/>
    <cellStyle name="Normal 3 5" xfId="781" xr:uid="{00000000-0005-0000-0000-0000B3020000}"/>
    <cellStyle name="Normal 3 5 2" xfId="782" xr:uid="{00000000-0005-0000-0000-0000B4020000}"/>
    <cellStyle name="Normal 3 6" xfId="783" xr:uid="{00000000-0005-0000-0000-0000B5020000}"/>
    <cellStyle name="Normal 3 7" xfId="784" xr:uid="{00000000-0005-0000-0000-0000B6020000}"/>
    <cellStyle name="Normal 3 8" xfId="785" xr:uid="{00000000-0005-0000-0000-0000B7020000}"/>
    <cellStyle name="Normal 30" xfId="786" xr:uid="{00000000-0005-0000-0000-0000B8020000}"/>
    <cellStyle name="Normal 31" xfId="787" xr:uid="{00000000-0005-0000-0000-0000B9020000}"/>
    <cellStyle name="Normal 32" xfId="788" xr:uid="{00000000-0005-0000-0000-0000BA020000}"/>
    <cellStyle name="Normal 33" xfId="789" xr:uid="{00000000-0005-0000-0000-0000BB020000}"/>
    <cellStyle name="Normal 34" xfId="790" xr:uid="{00000000-0005-0000-0000-0000BC020000}"/>
    <cellStyle name="Normal 35" xfId="791" xr:uid="{00000000-0005-0000-0000-0000BD020000}"/>
    <cellStyle name="Normal 36" xfId="792" xr:uid="{00000000-0005-0000-0000-0000BE020000}"/>
    <cellStyle name="Normal 37" xfId="793" xr:uid="{00000000-0005-0000-0000-0000BF020000}"/>
    <cellStyle name="Normal 38" xfId="794" xr:uid="{00000000-0005-0000-0000-0000C0020000}"/>
    <cellStyle name="Normal 39" xfId="795" xr:uid="{00000000-0005-0000-0000-0000C1020000}"/>
    <cellStyle name="Normal 4" xfId="14" xr:uid="{00000000-0005-0000-0000-0000C2020000}"/>
    <cellStyle name="Normal 4 2" xfId="207" xr:uid="{00000000-0005-0000-0000-0000C3020000}"/>
    <cellStyle name="Normal 4 3" xfId="796" xr:uid="{00000000-0005-0000-0000-0000C4020000}"/>
    <cellStyle name="Normal 4 3 2" xfId="797" xr:uid="{00000000-0005-0000-0000-0000C5020000}"/>
    <cellStyle name="Normal 4 3 3" xfId="798" xr:uid="{00000000-0005-0000-0000-0000C6020000}"/>
    <cellStyle name="Normal 4 3 4" xfId="799" xr:uid="{00000000-0005-0000-0000-0000C7020000}"/>
    <cellStyle name="Normal 4 4" xfId="800" xr:uid="{00000000-0005-0000-0000-0000C8020000}"/>
    <cellStyle name="Normal 4 5" xfId="801" xr:uid="{00000000-0005-0000-0000-0000C9020000}"/>
    <cellStyle name="Normal 4 6" xfId="802" xr:uid="{00000000-0005-0000-0000-0000CA020000}"/>
    <cellStyle name="Normal 4 7" xfId="803" xr:uid="{00000000-0005-0000-0000-0000CB020000}"/>
    <cellStyle name="Normal 40" xfId="804" xr:uid="{00000000-0005-0000-0000-0000CC020000}"/>
    <cellStyle name="Normal 41" xfId="805" xr:uid="{00000000-0005-0000-0000-0000CD020000}"/>
    <cellStyle name="Normal 42" xfId="806" xr:uid="{00000000-0005-0000-0000-0000CE020000}"/>
    <cellStyle name="Normal 43" xfId="807" xr:uid="{00000000-0005-0000-0000-0000CF020000}"/>
    <cellStyle name="Normal 44" xfId="808" xr:uid="{00000000-0005-0000-0000-0000D0020000}"/>
    <cellStyle name="Normal 45" xfId="809" xr:uid="{00000000-0005-0000-0000-0000D1020000}"/>
    <cellStyle name="Normal 46" xfId="810" xr:uid="{00000000-0005-0000-0000-0000D2020000}"/>
    <cellStyle name="Normal 47" xfId="811" xr:uid="{00000000-0005-0000-0000-0000D3020000}"/>
    <cellStyle name="Normal 48" xfId="812" xr:uid="{00000000-0005-0000-0000-0000D4020000}"/>
    <cellStyle name="Normal 49" xfId="813" xr:uid="{00000000-0005-0000-0000-0000D5020000}"/>
    <cellStyle name="Normal 5" xfId="15" xr:uid="{00000000-0005-0000-0000-0000D6020000}"/>
    <cellStyle name="Normal 5 2" xfId="814" xr:uid="{00000000-0005-0000-0000-0000D7020000}"/>
    <cellStyle name="Normal 5 2 2" xfId="815" xr:uid="{00000000-0005-0000-0000-0000D8020000}"/>
    <cellStyle name="Normal 5 2 3" xfId="816" xr:uid="{00000000-0005-0000-0000-0000D9020000}"/>
    <cellStyle name="Normal 5 3" xfId="817" xr:uid="{00000000-0005-0000-0000-0000DA020000}"/>
    <cellStyle name="Normal 50" xfId="818" xr:uid="{00000000-0005-0000-0000-0000DB020000}"/>
    <cellStyle name="Normal 51" xfId="819" xr:uid="{00000000-0005-0000-0000-0000DC020000}"/>
    <cellStyle name="Normal 52" xfId="820" xr:uid="{00000000-0005-0000-0000-0000DD020000}"/>
    <cellStyle name="Normal 53" xfId="821" xr:uid="{00000000-0005-0000-0000-0000DE020000}"/>
    <cellStyle name="Normal 54" xfId="822" xr:uid="{00000000-0005-0000-0000-0000DF020000}"/>
    <cellStyle name="Normal 55" xfId="823" xr:uid="{00000000-0005-0000-0000-0000E0020000}"/>
    <cellStyle name="Normal 56" xfId="824" xr:uid="{00000000-0005-0000-0000-0000E1020000}"/>
    <cellStyle name="Normal 57" xfId="825" xr:uid="{00000000-0005-0000-0000-0000E2020000}"/>
    <cellStyle name="Normal 58" xfId="826" xr:uid="{00000000-0005-0000-0000-0000E3020000}"/>
    <cellStyle name="Normal 59" xfId="827" xr:uid="{00000000-0005-0000-0000-0000E4020000}"/>
    <cellStyle name="Normal 6" xfId="16" xr:uid="{00000000-0005-0000-0000-0000E5020000}"/>
    <cellStyle name="Normal 6 2" xfId="208" xr:uid="{00000000-0005-0000-0000-0000E6020000}"/>
    <cellStyle name="Normal 6 2 2" xfId="828" xr:uid="{00000000-0005-0000-0000-0000E7020000}"/>
    <cellStyle name="Normal 6 3" xfId="829" xr:uid="{00000000-0005-0000-0000-0000E8020000}"/>
    <cellStyle name="Normal 6 4" xfId="830" xr:uid="{00000000-0005-0000-0000-0000E9020000}"/>
    <cellStyle name="Normal 6 4 2" xfId="831" xr:uid="{00000000-0005-0000-0000-0000EA020000}"/>
    <cellStyle name="Normal 6 4 2 2" xfId="832" xr:uid="{00000000-0005-0000-0000-0000EB020000}"/>
    <cellStyle name="Normal 6 5" xfId="833" xr:uid="{00000000-0005-0000-0000-0000EC020000}"/>
    <cellStyle name="Normal 60" xfId="834" xr:uid="{00000000-0005-0000-0000-0000ED020000}"/>
    <cellStyle name="Normal 61" xfId="835" xr:uid="{00000000-0005-0000-0000-0000EE020000}"/>
    <cellStyle name="Normal 62" xfId="836" xr:uid="{00000000-0005-0000-0000-0000EF020000}"/>
    <cellStyle name="Normal 63" xfId="837" xr:uid="{00000000-0005-0000-0000-0000F0020000}"/>
    <cellStyle name="Normal 64" xfId="838" xr:uid="{00000000-0005-0000-0000-0000F1020000}"/>
    <cellStyle name="Normal 65" xfId="839" xr:uid="{00000000-0005-0000-0000-0000F2020000}"/>
    <cellStyle name="Normal 66" xfId="840" xr:uid="{00000000-0005-0000-0000-0000F3020000}"/>
    <cellStyle name="Normal 67" xfId="841" xr:uid="{00000000-0005-0000-0000-0000F4020000}"/>
    <cellStyle name="Normal 68" xfId="842" xr:uid="{00000000-0005-0000-0000-0000F5020000}"/>
    <cellStyle name="Normal 69" xfId="843" xr:uid="{00000000-0005-0000-0000-0000F6020000}"/>
    <cellStyle name="Normal 7" xfId="17" xr:uid="{00000000-0005-0000-0000-0000F7020000}"/>
    <cellStyle name="Normal 7 2" xfId="844" xr:uid="{00000000-0005-0000-0000-0000F8020000}"/>
    <cellStyle name="Normal 70" xfId="845" xr:uid="{00000000-0005-0000-0000-0000F9020000}"/>
    <cellStyle name="Normal 71" xfId="846" xr:uid="{00000000-0005-0000-0000-0000FA020000}"/>
    <cellStyle name="Normal 72" xfId="847" xr:uid="{00000000-0005-0000-0000-0000FB020000}"/>
    <cellStyle name="Normal 73" xfId="848" xr:uid="{00000000-0005-0000-0000-0000FC020000}"/>
    <cellStyle name="Normal 74" xfId="849" xr:uid="{00000000-0005-0000-0000-0000FD020000}"/>
    <cellStyle name="Normal 75" xfId="850" xr:uid="{00000000-0005-0000-0000-0000FE020000}"/>
    <cellStyle name="Normal 76" xfId="851" xr:uid="{00000000-0005-0000-0000-0000FF020000}"/>
    <cellStyle name="Normal 77" xfId="852" xr:uid="{00000000-0005-0000-0000-000000030000}"/>
    <cellStyle name="Normal 78" xfId="853" xr:uid="{00000000-0005-0000-0000-000001030000}"/>
    <cellStyle name="Normal 79" xfId="854" xr:uid="{00000000-0005-0000-0000-000002030000}"/>
    <cellStyle name="Normal 8" xfId="18" xr:uid="{00000000-0005-0000-0000-000003030000}"/>
    <cellStyle name="Normal 8 2" xfId="855" xr:uid="{00000000-0005-0000-0000-000004030000}"/>
    <cellStyle name="Normal 8 3" xfId="856" xr:uid="{00000000-0005-0000-0000-000005030000}"/>
    <cellStyle name="Normal 80" xfId="857" xr:uid="{00000000-0005-0000-0000-000006030000}"/>
    <cellStyle name="Normal 81" xfId="858" xr:uid="{00000000-0005-0000-0000-000007030000}"/>
    <cellStyle name="Normal 82" xfId="859" xr:uid="{00000000-0005-0000-0000-000008030000}"/>
    <cellStyle name="Normal 83" xfId="860" xr:uid="{00000000-0005-0000-0000-000009030000}"/>
    <cellStyle name="Normal 84" xfId="861" xr:uid="{00000000-0005-0000-0000-00000A030000}"/>
    <cellStyle name="Normal 85" xfId="862" xr:uid="{00000000-0005-0000-0000-00000B030000}"/>
    <cellStyle name="Normal 86" xfId="863" xr:uid="{00000000-0005-0000-0000-00000C030000}"/>
    <cellStyle name="Normal 87" xfId="864" xr:uid="{00000000-0005-0000-0000-00000D030000}"/>
    <cellStyle name="Normal 88" xfId="865" xr:uid="{00000000-0005-0000-0000-00000E030000}"/>
    <cellStyle name="Normal 89" xfId="866" xr:uid="{00000000-0005-0000-0000-00000F030000}"/>
    <cellStyle name="Normal 9" xfId="118" xr:uid="{00000000-0005-0000-0000-000010030000}"/>
    <cellStyle name="Normal 9 2" xfId="867" xr:uid="{00000000-0005-0000-0000-000011030000}"/>
    <cellStyle name="Normal 90" xfId="868" xr:uid="{00000000-0005-0000-0000-000012030000}"/>
    <cellStyle name="Normal 91" xfId="869" xr:uid="{00000000-0005-0000-0000-000013030000}"/>
    <cellStyle name="Normal 92" xfId="870" xr:uid="{00000000-0005-0000-0000-000014030000}"/>
    <cellStyle name="Normal 93" xfId="871" xr:uid="{00000000-0005-0000-0000-000015030000}"/>
    <cellStyle name="Normal 94" xfId="872" xr:uid="{00000000-0005-0000-0000-000016030000}"/>
    <cellStyle name="Normal 95" xfId="873" xr:uid="{00000000-0005-0000-0000-000017030000}"/>
    <cellStyle name="Normal 96" xfId="874" xr:uid="{00000000-0005-0000-0000-000018030000}"/>
    <cellStyle name="Normal 97" xfId="875" xr:uid="{00000000-0005-0000-0000-000019030000}"/>
    <cellStyle name="Normal 98" xfId="876" xr:uid="{00000000-0005-0000-0000-00001A030000}"/>
    <cellStyle name="Normal 99" xfId="877" xr:uid="{00000000-0005-0000-0000-00001B030000}"/>
    <cellStyle name="Normal(0)" xfId="878" xr:uid="{00000000-0005-0000-0000-00001C030000}"/>
    <cellStyle name="Normal_Bill Comp Settlement with New DSM" xfId="213" xr:uid="{00000000-0005-0000-0000-00001D030000}"/>
    <cellStyle name="Normal_Blocking 03-01" xfId="5" xr:uid="{00000000-0005-0000-0000-00001E030000}"/>
    <cellStyle name="Normal_Blocking 09-00" xfId="4" xr:uid="{00000000-0005-0000-0000-00001F030000}"/>
    <cellStyle name="Normal_Blocking 09-00 2" xfId="217" xr:uid="{00000000-0005-0000-0000-000020030000}"/>
    <cellStyle name="Normal_Book4" xfId="1082" xr:uid="{32E854FE-59DB-41F6-A7D9-1DD77A0B4B0E}"/>
    <cellStyle name="Note 2" xfId="879" xr:uid="{00000000-0005-0000-0000-000022030000}"/>
    <cellStyle name="Note 3" xfId="880" xr:uid="{00000000-0005-0000-0000-000023030000}"/>
    <cellStyle name="Note 4" xfId="881" xr:uid="{00000000-0005-0000-0000-000024030000}"/>
    <cellStyle name="Note 5" xfId="882" xr:uid="{00000000-0005-0000-0000-000025030000}"/>
    <cellStyle name="Note 6" xfId="883" xr:uid="{00000000-0005-0000-0000-000026030000}"/>
    <cellStyle name="Number" xfId="884" xr:uid="{00000000-0005-0000-0000-000027030000}"/>
    <cellStyle name="Number 10" xfId="885" xr:uid="{00000000-0005-0000-0000-000028030000}"/>
    <cellStyle name="Number 11" xfId="886" xr:uid="{00000000-0005-0000-0000-000029030000}"/>
    <cellStyle name="Number 12" xfId="887" xr:uid="{00000000-0005-0000-0000-00002A030000}"/>
    <cellStyle name="Number 13" xfId="888" xr:uid="{00000000-0005-0000-0000-00002B030000}"/>
    <cellStyle name="Number 14" xfId="889" xr:uid="{00000000-0005-0000-0000-00002C030000}"/>
    <cellStyle name="Number 2" xfId="890" xr:uid="{00000000-0005-0000-0000-00002D030000}"/>
    <cellStyle name="Number 3" xfId="891" xr:uid="{00000000-0005-0000-0000-00002E030000}"/>
    <cellStyle name="Number 4" xfId="892" xr:uid="{00000000-0005-0000-0000-00002F030000}"/>
    <cellStyle name="Number 5" xfId="893" xr:uid="{00000000-0005-0000-0000-000030030000}"/>
    <cellStyle name="Number 6" xfId="894" xr:uid="{00000000-0005-0000-0000-000031030000}"/>
    <cellStyle name="Number 7" xfId="895" xr:uid="{00000000-0005-0000-0000-000032030000}"/>
    <cellStyle name="Number 8" xfId="896" xr:uid="{00000000-0005-0000-0000-000033030000}"/>
    <cellStyle name="Number 9" xfId="897" xr:uid="{00000000-0005-0000-0000-000034030000}"/>
    <cellStyle name="Output 2" xfId="898" xr:uid="{00000000-0005-0000-0000-000035030000}"/>
    <cellStyle name="Output 3" xfId="899" xr:uid="{00000000-0005-0000-0000-000036030000}"/>
    <cellStyle name="Output 4" xfId="900" xr:uid="{00000000-0005-0000-0000-000037030000}"/>
    <cellStyle name="Output 5" xfId="901" xr:uid="{00000000-0005-0000-0000-000038030000}"/>
    <cellStyle name="Output 6" xfId="902" xr:uid="{00000000-0005-0000-0000-000039030000}"/>
    <cellStyle name="Output Amounts" xfId="903" xr:uid="{00000000-0005-0000-0000-00003A030000}"/>
    <cellStyle name="Output Line Items" xfId="904" xr:uid="{00000000-0005-0000-0000-00003B030000}"/>
    <cellStyle name="Password" xfId="119" xr:uid="{00000000-0005-0000-0000-00003C030000}"/>
    <cellStyle name="Percen - Style1" xfId="905" xr:uid="{00000000-0005-0000-0000-00003D030000}"/>
    <cellStyle name="Percen - Style2" xfId="906" xr:uid="{00000000-0005-0000-0000-00003E030000}"/>
    <cellStyle name="Percent" xfId="3" builtinId="5"/>
    <cellStyle name="Percent [2]" xfId="209" xr:uid="{00000000-0005-0000-0000-000040030000}"/>
    <cellStyle name="Percent [2] 2" xfId="907" xr:uid="{00000000-0005-0000-0000-000041030000}"/>
    <cellStyle name="Percent [2] 3" xfId="908" xr:uid="{00000000-0005-0000-0000-000042030000}"/>
    <cellStyle name="Percent 10" xfId="909" xr:uid="{00000000-0005-0000-0000-000043030000}"/>
    <cellStyle name="Percent 11" xfId="910" xr:uid="{00000000-0005-0000-0000-000044030000}"/>
    <cellStyle name="Percent 12" xfId="911" xr:uid="{00000000-0005-0000-0000-000045030000}"/>
    <cellStyle name="Percent 13" xfId="120" xr:uid="{00000000-0005-0000-0000-000046030000}"/>
    <cellStyle name="Percent 19" xfId="121" xr:uid="{00000000-0005-0000-0000-000047030000}"/>
    <cellStyle name="Percent 2" xfId="19" xr:uid="{00000000-0005-0000-0000-000048030000}"/>
    <cellStyle name="Percent 2 10" xfId="122" xr:uid="{00000000-0005-0000-0000-000049030000}"/>
    <cellStyle name="Percent 2 11" xfId="123" xr:uid="{00000000-0005-0000-0000-00004A030000}"/>
    <cellStyle name="Percent 2 12" xfId="124" xr:uid="{00000000-0005-0000-0000-00004B030000}"/>
    <cellStyle name="Percent 2 13" xfId="125" xr:uid="{00000000-0005-0000-0000-00004C030000}"/>
    <cellStyle name="Percent 2 14" xfId="126" xr:uid="{00000000-0005-0000-0000-00004D030000}"/>
    <cellStyle name="Percent 2 15" xfId="127" xr:uid="{00000000-0005-0000-0000-00004E030000}"/>
    <cellStyle name="Percent 2 16" xfId="128" xr:uid="{00000000-0005-0000-0000-00004F030000}"/>
    <cellStyle name="Percent 2 17" xfId="129" xr:uid="{00000000-0005-0000-0000-000050030000}"/>
    <cellStyle name="Percent 2 18" xfId="130" xr:uid="{00000000-0005-0000-0000-000051030000}"/>
    <cellStyle name="Percent 2 19" xfId="131" xr:uid="{00000000-0005-0000-0000-000052030000}"/>
    <cellStyle name="Percent 2 2" xfId="20" xr:uid="{00000000-0005-0000-0000-000053030000}"/>
    <cellStyle name="Percent 2 2 2" xfId="132" xr:uid="{00000000-0005-0000-0000-000054030000}"/>
    <cellStyle name="Percent 2 20" xfId="133" xr:uid="{00000000-0005-0000-0000-000055030000}"/>
    <cellStyle name="Percent 2 21" xfId="134" xr:uid="{00000000-0005-0000-0000-000056030000}"/>
    <cellStyle name="Percent 2 3" xfId="135" xr:uid="{00000000-0005-0000-0000-000057030000}"/>
    <cellStyle name="Percent 2 3 2" xfId="912" xr:uid="{00000000-0005-0000-0000-000058030000}"/>
    <cellStyle name="Percent 2 4" xfId="136" xr:uid="{00000000-0005-0000-0000-000059030000}"/>
    <cellStyle name="Percent 2 5" xfId="137" xr:uid="{00000000-0005-0000-0000-00005A030000}"/>
    <cellStyle name="Percent 2 6" xfId="138" xr:uid="{00000000-0005-0000-0000-00005B030000}"/>
    <cellStyle name="Percent 2 7" xfId="139" xr:uid="{00000000-0005-0000-0000-00005C030000}"/>
    <cellStyle name="Percent 2 8" xfId="140" xr:uid="{00000000-0005-0000-0000-00005D030000}"/>
    <cellStyle name="Percent 2 9" xfId="141" xr:uid="{00000000-0005-0000-0000-00005E030000}"/>
    <cellStyle name="Percent 22" xfId="142" xr:uid="{00000000-0005-0000-0000-00005F030000}"/>
    <cellStyle name="Percent 3" xfId="21" xr:uid="{00000000-0005-0000-0000-000060030000}"/>
    <cellStyle name="Percent 3 2" xfId="210" xr:uid="{00000000-0005-0000-0000-000061030000}"/>
    <cellStyle name="Percent 3 2 2" xfId="913" xr:uid="{00000000-0005-0000-0000-000062030000}"/>
    <cellStyle name="Percent 3 3" xfId="914" xr:uid="{00000000-0005-0000-0000-000063030000}"/>
    <cellStyle name="Percent 3 4" xfId="915" xr:uid="{00000000-0005-0000-0000-000064030000}"/>
    <cellStyle name="Percent 3 5" xfId="916" xr:uid="{00000000-0005-0000-0000-000065030000}"/>
    <cellStyle name="Percent 3 6" xfId="917" xr:uid="{00000000-0005-0000-0000-000066030000}"/>
    <cellStyle name="Percent 3 7" xfId="918" xr:uid="{00000000-0005-0000-0000-000067030000}"/>
    <cellStyle name="Percent 3 8" xfId="919" xr:uid="{00000000-0005-0000-0000-000068030000}"/>
    <cellStyle name="Percent 3 9" xfId="920" xr:uid="{00000000-0005-0000-0000-000069030000}"/>
    <cellStyle name="Percent 4" xfId="22" xr:uid="{00000000-0005-0000-0000-00006A030000}"/>
    <cellStyle name="Percent 4 2" xfId="921" xr:uid="{00000000-0005-0000-0000-00006B030000}"/>
    <cellStyle name="Percent 4 2 2" xfId="922" xr:uid="{00000000-0005-0000-0000-00006C030000}"/>
    <cellStyle name="Percent 4 3" xfId="923" xr:uid="{00000000-0005-0000-0000-00006D030000}"/>
    <cellStyle name="Percent 5" xfId="23" xr:uid="{00000000-0005-0000-0000-00006E030000}"/>
    <cellStyle name="Percent 6" xfId="24" xr:uid="{00000000-0005-0000-0000-00006F030000}"/>
    <cellStyle name="Percent 6 2" xfId="924" xr:uid="{00000000-0005-0000-0000-000070030000}"/>
    <cellStyle name="Percent 6 2 2" xfId="925" xr:uid="{00000000-0005-0000-0000-000071030000}"/>
    <cellStyle name="Percent 7" xfId="185" xr:uid="{00000000-0005-0000-0000-000072030000}"/>
    <cellStyle name="Percent 7 2" xfId="926" xr:uid="{00000000-0005-0000-0000-000073030000}"/>
    <cellStyle name="Percent 8" xfId="188" xr:uid="{00000000-0005-0000-0000-000074030000}"/>
    <cellStyle name="Percent 9" xfId="216" xr:uid="{00000000-0005-0000-0000-000075030000}"/>
    <cellStyle name="Percent(0)" xfId="927" xr:uid="{00000000-0005-0000-0000-000076030000}"/>
    <cellStyle name="Reset  - Style7" xfId="928" xr:uid="{00000000-0005-0000-0000-000077030000}"/>
    <cellStyle name="SAPBEXaggData" xfId="143" xr:uid="{00000000-0005-0000-0000-000078030000}"/>
    <cellStyle name="SAPBEXaggDataEmph" xfId="144" xr:uid="{00000000-0005-0000-0000-000079030000}"/>
    <cellStyle name="SAPBEXaggItem" xfId="145" xr:uid="{00000000-0005-0000-0000-00007A030000}"/>
    <cellStyle name="SAPBEXaggItem 2" xfId="929" xr:uid="{00000000-0005-0000-0000-00007B030000}"/>
    <cellStyle name="SAPBEXaggItem 3" xfId="930" xr:uid="{00000000-0005-0000-0000-00007C030000}"/>
    <cellStyle name="SAPBEXaggItem 4" xfId="931" xr:uid="{00000000-0005-0000-0000-00007D030000}"/>
    <cellStyle name="SAPBEXaggItem 5" xfId="932" xr:uid="{00000000-0005-0000-0000-00007E030000}"/>
    <cellStyle name="SAPBEXaggItem 6" xfId="933" xr:uid="{00000000-0005-0000-0000-00007F030000}"/>
    <cellStyle name="SAPBEXaggItem_Copy of xSAPtemp5457" xfId="934" xr:uid="{00000000-0005-0000-0000-000080030000}"/>
    <cellStyle name="SAPBEXaggItemX" xfId="146" xr:uid="{00000000-0005-0000-0000-000081030000}"/>
    <cellStyle name="SAPBEXchaText" xfId="147" xr:uid="{00000000-0005-0000-0000-000082030000}"/>
    <cellStyle name="SAPBEXchaText 2" xfId="935" xr:uid="{00000000-0005-0000-0000-000083030000}"/>
    <cellStyle name="SAPBEXchaText 3" xfId="936" xr:uid="{00000000-0005-0000-0000-000084030000}"/>
    <cellStyle name="SAPBEXchaText 4" xfId="937" xr:uid="{00000000-0005-0000-0000-000085030000}"/>
    <cellStyle name="SAPBEXchaText 5" xfId="938" xr:uid="{00000000-0005-0000-0000-000086030000}"/>
    <cellStyle name="SAPBEXchaText 6" xfId="939" xr:uid="{00000000-0005-0000-0000-000087030000}"/>
    <cellStyle name="SAPBEXchaText_Copy of xSAPtemp5457" xfId="940" xr:uid="{00000000-0005-0000-0000-000088030000}"/>
    <cellStyle name="SAPBEXexcBad7" xfId="148" xr:uid="{00000000-0005-0000-0000-000089030000}"/>
    <cellStyle name="SAPBEXexcBad8" xfId="149" xr:uid="{00000000-0005-0000-0000-00008A030000}"/>
    <cellStyle name="SAPBEXexcBad9" xfId="150" xr:uid="{00000000-0005-0000-0000-00008B030000}"/>
    <cellStyle name="SAPBEXexcCritical4" xfId="151" xr:uid="{00000000-0005-0000-0000-00008C030000}"/>
    <cellStyle name="SAPBEXexcCritical5" xfId="152" xr:uid="{00000000-0005-0000-0000-00008D030000}"/>
    <cellStyle name="SAPBEXexcCritical6" xfId="153" xr:uid="{00000000-0005-0000-0000-00008E030000}"/>
    <cellStyle name="SAPBEXexcGood1" xfId="154" xr:uid="{00000000-0005-0000-0000-00008F030000}"/>
    <cellStyle name="SAPBEXexcGood2" xfId="155" xr:uid="{00000000-0005-0000-0000-000090030000}"/>
    <cellStyle name="SAPBEXexcGood3" xfId="156" xr:uid="{00000000-0005-0000-0000-000091030000}"/>
    <cellStyle name="SAPBEXfilterDrill" xfId="157" xr:uid="{00000000-0005-0000-0000-000092030000}"/>
    <cellStyle name="SAPBEXfilterDrill 2" xfId="941" xr:uid="{00000000-0005-0000-0000-000093030000}"/>
    <cellStyle name="SAPBEXfilterItem" xfId="158" xr:uid="{00000000-0005-0000-0000-000094030000}"/>
    <cellStyle name="SAPBEXfilterItem 2" xfId="942" xr:uid="{00000000-0005-0000-0000-000095030000}"/>
    <cellStyle name="SAPBEXfilterItem 3" xfId="943" xr:uid="{00000000-0005-0000-0000-000096030000}"/>
    <cellStyle name="SAPBEXfilterItem 4" xfId="944" xr:uid="{00000000-0005-0000-0000-000097030000}"/>
    <cellStyle name="SAPBEXfilterItem 5" xfId="945" xr:uid="{00000000-0005-0000-0000-000098030000}"/>
    <cellStyle name="SAPBEXfilterItem 6" xfId="946" xr:uid="{00000000-0005-0000-0000-000099030000}"/>
    <cellStyle name="SAPBEXfilterItem_Copy of xSAPtemp5457" xfId="947" xr:uid="{00000000-0005-0000-0000-00009A030000}"/>
    <cellStyle name="SAPBEXfilterText" xfId="159" xr:uid="{00000000-0005-0000-0000-00009B030000}"/>
    <cellStyle name="SAPBEXfilterText 2" xfId="948" xr:uid="{00000000-0005-0000-0000-00009C030000}"/>
    <cellStyle name="SAPBEXfilterText 3" xfId="949" xr:uid="{00000000-0005-0000-0000-00009D030000}"/>
    <cellStyle name="SAPBEXfilterText 4" xfId="950" xr:uid="{00000000-0005-0000-0000-00009E030000}"/>
    <cellStyle name="SAPBEXfilterText 5" xfId="951" xr:uid="{00000000-0005-0000-0000-00009F030000}"/>
    <cellStyle name="SAPBEXformats" xfId="160" xr:uid="{00000000-0005-0000-0000-0000A0030000}"/>
    <cellStyle name="SAPBEXheaderItem" xfId="161" xr:uid="{00000000-0005-0000-0000-0000A1030000}"/>
    <cellStyle name="SAPBEXheaderItem 2" xfId="952" xr:uid="{00000000-0005-0000-0000-0000A2030000}"/>
    <cellStyle name="SAPBEXheaderItem 3" xfId="953" xr:uid="{00000000-0005-0000-0000-0000A3030000}"/>
    <cellStyle name="SAPBEXheaderItem 4" xfId="954" xr:uid="{00000000-0005-0000-0000-0000A4030000}"/>
    <cellStyle name="SAPBEXheaderItem 5" xfId="955" xr:uid="{00000000-0005-0000-0000-0000A5030000}"/>
    <cellStyle name="SAPBEXheaderItem 6" xfId="956" xr:uid="{00000000-0005-0000-0000-0000A6030000}"/>
    <cellStyle name="SAPBEXheaderItem 7" xfId="957" xr:uid="{00000000-0005-0000-0000-0000A7030000}"/>
    <cellStyle name="SAPBEXheaderItem_Copy of xSAPtemp5457" xfId="958" xr:uid="{00000000-0005-0000-0000-0000A8030000}"/>
    <cellStyle name="SAPBEXheaderText" xfId="162" xr:uid="{00000000-0005-0000-0000-0000A9030000}"/>
    <cellStyle name="SAPBEXheaderText 2" xfId="959" xr:uid="{00000000-0005-0000-0000-0000AA030000}"/>
    <cellStyle name="SAPBEXheaderText 3" xfId="960" xr:uid="{00000000-0005-0000-0000-0000AB030000}"/>
    <cellStyle name="SAPBEXheaderText 4" xfId="961" xr:uid="{00000000-0005-0000-0000-0000AC030000}"/>
    <cellStyle name="SAPBEXheaderText 5" xfId="962" xr:uid="{00000000-0005-0000-0000-0000AD030000}"/>
    <cellStyle name="SAPBEXheaderText 6" xfId="963" xr:uid="{00000000-0005-0000-0000-0000AE030000}"/>
    <cellStyle name="SAPBEXheaderText 7" xfId="964" xr:uid="{00000000-0005-0000-0000-0000AF030000}"/>
    <cellStyle name="SAPBEXheaderText_Copy of xSAPtemp5457" xfId="965" xr:uid="{00000000-0005-0000-0000-0000B0030000}"/>
    <cellStyle name="SAPBEXHLevel0" xfId="163" xr:uid="{00000000-0005-0000-0000-0000B1030000}"/>
    <cellStyle name="SAPBEXHLevel0 2" xfId="966" xr:uid="{00000000-0005-0000-0000-0000B2030000}"/>
    <cellStyle name="SAPBEXHLevel0 3" xfId="967" xr:uid="{00000000-0005-0000-0000-0000B3030000}"/>
    <cellStyle name="SAPBEXHLevel0 4" xfId="968" xr:uid="{00000000-0005-0000-0000-0000B4030000}"/>
    <cellStyle name="SAPBEXHLevel0 5" xfId="969" xr:uid="{00000000-0005-0000-0000-0000B5030000}"/>
    <cellStyle name="SAPBEXHLevel0 6" xfId="970" xr:uid="{00000000-0005-0000-0000-0000B6030000}"/>
    <cellStyle name="SAPBEXHLevel0X" xfId="164" xr:uid="{00000000-0005-0000-0000-0000B7030000}"/>
    <cellStyle name="SAPBEXHLevel0X 2" xfId="971" xr:uid="{00000000-0005-0000-0000-0000B8030000}"/>
    <cellStyle name="SAPBEXHLevel0X 3" xfId="972" xr:uid="{00000000-0005-0000-0000-0000B9030000}"/>
    <cellStyle name="SAPBEXHLevel0X 4" xfId="973" xr:uid="{00000000-0005-0000-0000-0000BA030000}"/>
    <cellStyle name="SAPBEXHLevel0X 5" xfId="974" xr:uid="{00000000-0005-0000-0000-0000BB030000}"/>
    <cellStyle name="SAPBEXHLevel0X 6" xfId="975" xr:uid="{00000000-0005-0000-0000-0000BC030000}"/>
    <cellStyle name="SAPBEXHLevel1" xfId="165" xr:uid="{00000000-0005-0000-0000-0000BD030000}"/>
    <cellStyle name="SAPBEXHLevel1 2" xfId="976" xr:uid="{00000000-0005-0000-0000-0000BE030000}"/>
    <cellStyle name="SAPBEXHLevel1 3" xfId="977" xr:uid="{00000000-0005-0000-0000-0000BF030000}"/>
    <cellStyle name="SAPBEXHLevel1 4" xfId="978" xr:uid="{00000000-0005-0000-0000-0000C0030000}"/>
    <cellStyle name="SAPBEXHLevel1 5" xfId="979" xr:uid="{00000000-0005-0000-0000-0000C1030000}"/>
    <cellStyle name="SAPBEXHLevel1 6" xfId="980" xr:uid="{00000000-0005-0000-0000-0000C2030000}"/>
    <cellStyle name="SAPBEXHLevel1X" xfId="166" xr:uid="{00000000-0005-0000-0000-0000C3030000}"/>
    <cellStyle name="SAPBEXHLevel1X 2" xfId="981" xr:uid="{00000000-0005-0000-0000-0000C4030000}"/>
    <cellStyle name="SAPBEXHLevel1X 3" xfId="982" xr:uid="{00000000-0005-0000-0000-0000C5030000}"/>
    <cellStyle name="SAPBEXHLevel1X 4" xfId="983" xr:uid="{00000000-0005-0000-0000-0000C6030000}"/>
    <cellStyle name="SAPBEXHLevel1X 5" xfId="984" xr:uid="{00000000-0005-0000-0000-0000C7030000}"/>
    <cellStyle name="SAPBEXHLevel1X 6" xfId="985" xr:uid="{00000000-0005-0000-0000-0000C8030000}"/>
    <cellStyle name="SAPBEXHLevel2" xfId="167" xr:uid="{00000000-0005-0000-0000-0000C9030000}"/>
    <cellStyle name="SAPBEXHLevel2 2" xfId="986" xr:uid="{00000000-0005-0000-0000-0000CA030000}"/>
    <cellStyle name="SAPBEXHLevel2 3" xfId="987" xr:uid="{00000000-0005-0000-0000-0000CB030000}"/>
    <cellStyle name="SAPBEXHLevel2 4" xfId="988" xr:uid="{00000000-0005-0000-0000-0000CC030000}"/>
    <cellStyle name="SAPBEXHLevel2 5" xfId="989" xr:uid="{00000000-0005-0000-0000-0000CD030000}"/>
    <cellStyle name="SAPBEXHLevel2 6" xfId="990" xr:uid="{00000000-0005-0000-0000-0000CE030000}"/>
    <cellStyle name="SAPBEXHLevel2X" xfId="168" xr:uid="{00000000-0005-0000-0000-0000CF030000}"/>
    <cellStyle name="SAPBEXHLevel2X 2" xfId="991" xr:uid="{00000000-0005-0000-0000-0000D0030000}"/>
    <cellStyle name="SAPBEXHLevel2X 3" xfId="992" xr:uid="{00000000-0005-0000-0000-0000D1030000}"/>
    <cellStyle name="SAPBEXHLevel2X 4" xfId="993" xr:uid="{00000000-0005-0000-0000-0000D2030000}"/>
    <cellStyle name="SAPBEXHLevel2X 5" xfId="994" xr:uid="{00000000-0005-0000-0000-0000D3030000}"/>
    <cellStyle name="SAPBEXHLevel2X 6" xfId="995" xr:uid="{00000000-0005-0000-0000-0000D4030000}"/>
    <cellStyle name="SAPBEXHLevel3" xfId="169" xr:uid="{00000000-0005-0000-0000-0000D5030000}"/>
    <cellStyle name="SAPBEXHLevel3 2" xfId="996" xr:uid="{00000000-0005-0000-0000-0000D6030000}"/>
    <cellStyle name="SAPBEXHLevel3 3" xfId="997" xr:uid="{00000000-0005-0000-0000-0000D7030000}"/>
    <cellStyle name="SAPBEXHLevel3 4" xfId="998" xr:uid="{00000000-0005-0000-0000-0000D8030000}"/>
    <cellStyle name="SAPBEXHLevel3 5" xfId="999" xr:uid="{00000000-0005-0000-0000-0000D9030000}"/>
    <cellStyle name="SAPBEXHLevel3 6" xfId="1000" xr:uid="{00000000-0005-0000-0000-0000DA030000}"/>
    <cellStyle name="SAPBEXHLevel3X" xfId="170" xr:uid="{00000000-0005-0000-0000-0000DB030000}"/>
    <cellStyle name="SAPBEXHLevel3X 2" xfId="1001" xr:uid="{00000000-0005-0000-0000-0000DC030000}"/>
    <cellStyle name="SAPBEXHLevel3X 3" xfId="1002" xr:uid="{00000000-0005-0000-0000-0000DD030000}"/>
    <cellStyle name="SAPBEXHLevel3X 4" xfId="1003" xr:uid="{00000000-0005-0000-0000-0000DE030000}"/>
    <cellStyle name="SAPBEXHLevel3X 5" xfId="1004" xr:uid="{00000000-0005-0000-0000-0000DF030000}"/>
    <cellStyle name="SAPBEXHLevel3X 6" xfId="1005" xr:uid="{00000000-0005-0000-0000-0000E0030000}"/>
    <cellStyle name="SAPBEXresData" xfId="171" xr:uid="{00000000-0005-0000-0000-0000E1030000}"/>
    <cellStyle name="SAPBEXresDataEmph" xfId="172" xr:uid="{00000000-0005-0000-0000-0000E2030000}"/>
    <cellStyle name="SAPBEXresItem" xfId="173" xr:uid="{00000000-0005-0000-0000-0000E3030000}"/>
    <cellStyle name="SAPBEXresItemX" xfId="174" xr:uid="{00000000-0005-0000-0000-0000E4030000}"/>
    <cellStyle name="SAPBEXstdData" xfId="175" xr:uid="{00000000-0005-0000-0000-0000E5030000}"/>
    <cellStyle name="SAPBEXstdData 2" xfId="1006" xr:uid="{00000000-0005-0000-0000-0000E6030000}"/>
    <cellStyle name="SAPBEXstdData 3" xfId="1007" xr:uid="{00000000-0005-0000-0000-0000E7030000}"/>
    <cellStyle name="SAPBEXstdData 4" xfId="1008" xr:uid="{00000000-0005-0000-0000-0000E8030000}"/>
    <cellStyle name="SAPBEXstdData 5" xfId="1009" xr:uid="{00000000-0005-0000-0000-0000E9030000}"/>
    <cellStyle name="SAPBEXstdData 6" xfId="1010" xr:uid="{00000000-0005-0000-0000-0000EA030000}"/>
    <cellStyle name="SAPBEXstdData_Copy of xSAPtemp5457" xfId="1011" xr:uid="{00000000-0005-0000-0000-0000EB030000}"/>
    <cellStyle name="SAPBEXstdDataEmph" xfId="176" xr:uid="{00000000-0005-0000-0000-0000EC030000}"/>
    <cellStyle name="SAPBEXstdItem" xfId="177" xr:uid="{00000000-0005-0000-0000-0000ED030000}"/>
    <cellStyle name="SAPBEXstdItem 2" xfId="1012" xr:uid="{00000000-0005-0000-0000-0000EE030000}"/>
    <cellStyle name="SAPBEXstdItem 3" xfId="1013" xr:uid="{00000000-0005-0000-0000-0000EF030000}"/>
    <cellStyle name="SAPBEXstdItem 4" xfId="1014" xr:uid="{00000000-0005-0000-0000-0000F0030000}"/>
    <cellStyle name="SAPBEXstdItem 5" xfId="1015" xr:uid="{00000000-0005-0000-0000-0000F1030000}"/>
    <cellStyle name="SAPBEXstdItem 6" xfId="1016" xr:uid="{00000000-0005-0000-0000-0000F2030000}"/>
    <cellStyle name="SAPBEXstdItem_Copy of xSAPtemp5457" xfId="1017" xr:uid="{00000000-0005-0000-0000-0000F3030000}"/>
    <cellStyle name="SAPBEXstdItemX" xfId="178" xr:uid="{00000000-0005-0000-0000-0000F4030000}"/>
    <cellStyle name="SAPBEXstdItemX 2" xfId="1018" xr:uid="{00000000-0005-0000-0000-0000F5030000}"/>
    <cellStyle name="SAPBEXstdItemX 3" xfId="1019" xr:uid="{00000000-0005-0000-0000-0000F6030000}"/>
    <cellStyle name="SAPBEXstdItemX 4" xfId="1020" xr:uid="{00000000-0005-0000-0000-0000F7030000}"/>
    <cellStyle name="SAPBEXstdItemX 5" xfId="1021" xr:uid="{00000000-0005-0000-0000-0000F8030000}"/>
    <cellStyle name="SAPBEXstdItemX 6" xfId="1022" xr:uid="{00000000-0005-0000-0000-0000F9030000}"/>
    <cellStyle name="SAPBEXstdItemX_Copy of xSAPtemp5457" xfId="1023" xr:uid="{00000000-0005-0000-0000-0000FA030000}"/>
    <cellStyle name="SAPBEXtitle" xfId="179" xr:uid="{00000000-0005-0000-0000-0000FB030000}"/>
    <cellStyle name="SAPBEXtitle 2" xfId="211" xr:uid="{00000000-0005-0000-0000-0000FC030000}"/>
    <cellStyle name="SAPBEXtitle 3" xfId="1024" xr:uid="{00000000-0005-0000-0000-0000FD030000}"/>
    <cellStyle name="SAPBEXtitle 4" xfId="1025" xr:uid="{00000000-0005-0000-0000-0000FE030000}"/>
    <cellStyle name="SAPBEXtitle 5" xfId="1026" xr:uid="{00000000-0005-0000-0000-0000FF030000}"/>
    <cellStyle name="SAPBEXtitle 6" xfId="1027" xr:uid="{00000000-0005-0000-0000-000000040000}"/>
    <cellStyle name="SAPBEXtitle 7" xfId="1028" xr:uid="{00000000-0005-0000-0000-000001040000}"/>
    <cellStyle name="SAPBEXtitle_Copy of xSAPtemp5457" xfId="1029" xr:uid="{00000000-0005-0000-0000-000002040000}"/>
    <cellStyle name="SAPBEXundefined" xfId="180" xr:uid="{00000000-0005-0000-0000-000003040000}"/>
    <cellStyle name="Shade" xfId="1030" xr:uid="{00000000-0005-0000-0000-000004040000}"/>
    <cellStyle name="Sheet Title" xfId="1031" xr:uid="{00000000-0005-0000-0000-000005040000}"/>
    <cellStyle name="Special" xfId="1032" xr:uid="{00000000-0005-0000-0000-000006040000}"/>
    <cellStyle name="Special 2" xfId="1033" xr:uid="{00000000-0005-0000-0000-000007040000}"/>
    <cellStyle name="Special 3" xfId="1034" xr:uid="{00000000-0005-0000-0000-000008040000}"/>
    <cellStyle name="STYL1 - Style1" xfId="1035" xr:uid="{00000000-0005-0000-0000-000009040000}"/>
    <cellStyle name="Style 1" xfId="1036" xr:uid="{00000000-0005-0000-0000-00000A040000}"/>
    <cellStyle name="Style 21" xfId="1037" xr:uid="{00000000-0005-0000-0000-00000B040000}"/>
    <cellStyle name="Style 22" xfId="1038" xr:uid="{00000000-0005-0000-0000-00000C040000}"/>
    <cellStyle name="Style 24" xfId="1039" xr:uid="{00000000-0005-0000-0000-00000D040000}"/>
    <cellStyle name="Style 27" xfId="1040" xr:uid="{00000000-0005-0000-0000-00000E040000}"/>
    <cellStyle name="Style 35" xfId="1041" xr:uid="{00000000-0005-0000-0000-00000F040000}"/>
    <cellStyle name="Style 35 2" xfId="1042" xr:uid="{00000000-0005-0000-0000-000010040000}"/>
    <cellStyle name="Style 36" xfId="1043" xr:uid="{00000000-0005-0000-0000-000011040000}"/>
    <cellStyle name="Style 36 2" xfId="1044" xr:uid="{00000000-0005-0000-0000-000012040000}"/>
    <cellStyle name="Table  - Style6" xfId="1045" xr:uid="{00000000-0005-0000-0000-000013040000}"/>
    <cellStyle name="Text" xfId="1046" xr:uid="{00000000-0005-0000-0000-000014040000}"/>
    <cellStyle name="Title  - Style1" xfId="1047" xr:uid="{00000000-0005-0000-0000-000015040000}"/>
    <cellStyle name="Title 2" xfId="1048" xr:uid="{00000000-0005-0000-0000-000016040000}"/>
    <cellStyle name="Title 3" xfId="1049" xr:uid="{00000000-0005-0000-0000-000017040000}"/>
    <cellStyle name="Title 4" xfId="1050" xr:uid="{00000000-0005-0000-0000-000018040000}"/>
    <cellStyle name="Title 5" xfId="1051" xr:uid="{00000000-0005-0000-0000-000019040000}"/>
    <cellStyle name="Title 6" xfId="1052" xr:uid="{00000000-0005-0000-0000-00001A040000}"/>
    <cellStyle name="Titles" xfId="212" xr:uid="{00000000-0005-0000-0000-00001B040000}"/>
    <cellStyle name="Titles 2" xfId="1053" xr:uid="{00000000-0005-0000-0000-00001C040000}"/>
    <cellStyle name="Total 2" xfId="1054" xr:uid="{00000000-0005-0000-0000-00001D040000}"/>
    <cellStyle name="Total 2 2" xfId="1055" xr:uid="{00000000-0005-0000-0000-00001E040000}"/>
    <cellStyle name="Total 3" xfId="1056" xr:uid="{00000000-0005-0000-0000-00001F040000}"/>
    <cellStyle name="Total 4" xfId="1057" xr:uid="{00000000-0005-0000-0000-000020040000}"/>
    <cellStyle name="Total 5" xfId="1058" xr:uid="{00000000-0005-0000-0000-000021040000}"/>
    <cellStyle name="Total2 - Style2" xfId="1059" xr:uid="{00000000-0005-0000-0000-000022040000}"/>
    <cellStyle name="TotCol - Style5" xfId="1060" xr:uid="{00000000-0005-0000-0000-000023040000}"/>
    <cellStyle name="TotRow - Style4" xfId="1061" xr:uid="{00000000-0005-0000-0000-000024040000}"/>
    <cellStyle name="TRANSMISSION RELIABILITY PORTION OF PROJECT" xfId="25" xr:uid="{00000000-0005-0000-0000-000025040000}"/>
    <cellStyle name="Tusental (0)_pldt" xfId="1062" xr:uid="{00000000-0005-0000-0000-000026040000}"/>
    <cellStyle name="Tusental_pldt" xfId="1063" xr:uid="{00000000-0005-0000-0000-000027040000}"/>
    <cellStyle name="Underl - Style4" xfId="1064" xr:uid="{00000000-0005-0000-0000-000028040000}"/>
    <cellStyle name="UNLocked" xfId="1065" xr:uid="{00000000-0005-0000-0000-000029040000}"/>
    <cellStyle name="Unprot" xfId="181" xr:uid="{00000000-0005-0000-0000-00002A040000}"/>
    <cellStyle name="Unprot 2" xfId="1066" xr:uid="{00000000-0005-0000-0000-00002B040000}"/>
    <cellStyle name="Unprot 3" xfId="1067" xr:uid="{00000000-0005-0000-0000-00002C040000}"/>
    <cellStyle name="Unprot 4" xfId="1068" xr:uid="{00000000-0005-0000-0000-00002D040000}"/>
    <cellStyle name="Unprot$" xfId="182" xr:uid="{00000000-0005-0000-0000-00002E040000}"/>
    <cellStyle name="Unprot$ 2" xfId="1069" xr:uid="{00000000-0005-0000-0000-00002F040000}"/>
    <cellStyle name="Unprot$ 3" xfId="1070" xr:uid="{00000000-0005-0000-0000-000030040000}"/>
    <cellStyle name="Unprot$ 4" xfId="1071" xr:uid="{00000000-0005-0000-0000-000031040000}"/>
    <cellStyle name="Unprot_Book4 (11) (2)" xfId="1072" xr:uid="{00000000-0005-0000-0000-000032040000}"/>
    <cellStyle name="Unprotect" xfId="183" xr:uid="{00000000-0005-0000-0000-000033040000}"/>
    <cellStyle name="Valuta (0)_pldt" xfId="1073" xr:uid="{00000000-0005-0000-0000-000034040000}"/>
    <cellStyle name="Valuta_pldt" xfId="1074" xr:uid="{00000000-0005-0000-0000-000035040000}"/>
    <cellStyle name="Warning Text 2" xfId="1075" xr:uid="{00000000-0005-0000-0000-000036040000}"/>
    <cellStyle name="Warning Text 3" xfId="1076" xr:uid="{00000000-0005-0000-0000-000037040000}"/>
    <cellStyle name="Warning Text 4" xfId="1077" xr:uid="{00000000-0005-0000-0000-000038040000}"/>
    <cellStyle name="Warning Text 5" xfId="1078" xr:uid="{00000000-0005-0000-0000-000039040000}"/>
    <cellStyle name="Warning Text 6" xfId="1079" xr:uid="{00000000-0005-0000-0000-00003A04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51"/>
  <sheetViews>
    <sheetView tabSelected="1" view="pageBreakPreview" topLeftCell="A9" zoomScaleNormal="75" zoomScaleSheetLayoutView="100" workbookViewId="0">
      <pane xSplit="6" ySplit="4" topLeftCell="G13" activePane="bottomRight" state="frozen"/>
      <selection pane="topRight" activeCell="G9" sqref="G9"/>
      <selection pane="bottomLeft" activeCell="A13" sqref="A13"/>
      <selection pane="bottomRight" activeCell="AA31" sqref="AA31"/>
    </sheetView>
  </sheetViews>
  <sheetFormatPr defaultColWidth="9" defaultRowHeight="15.75"/>
  <cols>
    <col min="1" max="1" width="4.625" style="59" customWidth="1"/>
    <col min="2" max="2" width="0.75" style="59" customWidth="1"/>
    <col min="3" max="3" width="39.375" style="59" customWidth="1"/>
    <col min="4" max="4" width="0.75" style="59" customWidth="1"/>
    <col min="5" max="5" width="7.125" style="59" bestFit="1" customWidth="1"/>
    <col min="6" max="6" width="0.75" style="59" customWidth="1"/>
    <col min="7" max="7" width="10.5" style="59" bestFit="1" customWidth="1"/>
    <col min="8" max="8" width="0.75" style="59" customWidth="1"/>
    <col min="9" max="9" width="11.5" style="59" bestFit="1" customWidth="1"/>
    <col min="10" max="10" width="0.75" style="59" customWidth="1"/>
    <col min="11" max="11" width="10.75" style="59" bestFit="1" customWidth="1"/>
    <col min="12" max="12" width="0.75" style="59" customWidth="1"/>
    <col min="13" max="13" width="9.25" style="59" bestFit="1" customWidth="1"/>
    <col min="14" max="14" width="0.75" style="59" customWidth="1"/>
    <col min="15" max="15" width="10.75" style="59" bestFit="1" customWidth="1"/>
    <col min="16" max="16" width="0.75" style="59" customWidth="1"/>
    <col min="17" max="17" width="10.75" style="59" bestFit="1" customWidth="1"/>
    <col min="18" max="18" width="0.75" style="59" customWidth="1"/>
    <col min="19" max="19" width="9.75" style="59" bestFit="1" customWidth="1"/>
    <col min="20" max="20" width="0.75" style="59" customWidth="1"/>
    <col min="21" max="21" width="10.75" style="59" bestFit="1" customWidth="1"/>
    <col min="22" max="22" width="0.75" style="59" customWidth="1"/>
    <col min="23" max="23" width="6.375" style="59" bestFit="1" customWidth="1"/>
    <col min="24" max="24" width="0.75" style="59" customWidth="1"/>
    <col min="25" max="25" width="5.75" style="125" bestFit="1" customWidth="1"/>
    <col min="26" max="26" width="0.75" style="59" customWidth="1"/>
    <col min="27" max="27" width="9.25" style="59" customWidth="1"/>
    <col min="28" max="28" width="0.75" style="59" customWidth="1"/>
    <col min="29" max="29" width="6.75" style="125" bestFit="1" customWidth="1"/>
    <col min="30" max="30" width="9" style="59"/>
    <col min="31" max="31" width="13.125" style="59" bestFit="1" customWidth="1"/>
    <col min="32" max="16384" width="9" style="59"/>
  </cols>
  <sheetData>
    <row r="1" spans="1:3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58"/>
      <c r="L1" s="35"/>
      <c r="M1" s="58"/>
      <c r="N1" s="35"/>
      <c r="O1" s="58"/>
      <c r="P1" s="35"/>
      <c r="Q1" s="58"/>
      <c r="R1" s="35"/>
      <c r="S1" s="58"/>
      <c r="T1" s="35"/>
      <c r="U1" s="58"/>
      <c r="V1" s="35"/>
      <c r="W1" s="58"/>
      <c r="X1" s="35"/>
      <c r="Y1" s="122"/>
      <c r="Z1" s="35"/>
      <c r="AA1" s="58"/>
      <c r="AB1" s="35"/>
      <c r="AC1" s="139"/>
    </row>
    <row r="2" spans="1:31" customFormat="1">
      <c r="A2" s="35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4"/>
      <c r="Z2" s="123"/>
      <c r="AA2" s="123"/>
      <c r="AB2" s="123"/>
      <c r="AC2" s="140"/>
    </row>
    <row r="3" spans="1:31" customFormat="1">
      <c r="A3" s="35" t="s">
        <v>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4"/>
      <c r="Z3" s="123"/>
      <c r="AA3" s="123"/>
      <c r="AB3" s="123"/>
      <c r="AC3" s="140"/>
    </row>
    <row r="4" spans="1:31" customFormat="1">
      <c r="A4" s="35" t="s">
        <v>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4"/>
      <c r="Z4" s="123"/>
      <c r="AA4" s="123"/>
      <c r="AB4" s="123"/>
      <c r="AC4" s="140"/>
    </row>
    <row r="5" spans="1:31" customFormat="1" ht="16.5">
      <c r="A5" s="197" t="s">
        <v>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4"/>
      <c r="Z5" s="123"/>
      <c r="AA5" s="123"/>
      <c r="AB5" s="123"/>
      <c r="AC5" s="124"/>
    </row>
    <row r="6" spans="1:31">
      <c r="A6" s="35" t="s">
        <v>5</v>
      </c>
      <c r="B6" s="123"/>
      <c r="C6" s="123"/>
      <c r="D6" s="123"/>
      <c r="E6" s="123"/>
      <c r="F6" s="123"/>
      <c r="G6" s="123"/>
      <c r="H6" s="123"/>
      <c r="I6" s="123"/>
      <c r="J6" s="58"/>
      <c r="K6" s="58"/>
      <c r="L6" s="58"/>
      <c r="M6" s="58"/>
      <c r="N6" s="58"/>
      <c r="O6" s="58"/>
      <c r="P6" s="58"/>
      <c r="Q6" s="58"/>
      <c r="R6" s="123"/>
      <c r="S6" s="58"/>
      <c r="T6" s="58"/>
      <c r="U6" s="58"/>
      <c r="V6" s="58"/>
      <c r="W6" s="58"/>
      <c r="X6" s="58"/>
      <c r="Y6" s="122"/>
      <c r="Z6" s="58"/>
      <c r="AA6" s="58"/>
      <c r="AB6" s="58"/>
      <c r="AC6" s="122"/>
    </row>
    <row r="7" spans="1:31" ht="10.5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58"/>
      <c r="L7" s="35"/>
      <c r="M7" s="58"/>
      <c r="N7" s="35"/>
      <c r="O7" s="58"/>
      <c r="P7" s="35"/>
      <c r="Q7" s="58"/>
      <c r="R7" s="35"/>
      <c r="S7" s="58"/>
      <c r="T7" s="35"/>
      <c r="U7" s="58"/>
      <c r="V7" s="35"/>
      <c r="W7" s="58"/>
      <c r="X7" s="35"/>
      <c r="Y7" s="122"/>
      <c r="Z7" s="35"/>
      <c r="AA7" s="58"/>
      <c r="AB7" s="35"/>
      <c r="AC7" s="122"/>
    </row>
    <row r="8" spans="1:31">
      <c r="D8" s="69"/>
      <c r="F8" s="69"/>
      <c r="G8" s="34"/>
      <c r="H8" s="69"/>
      <c r="J8" s="69"/>
      <c r="L8" s="69"/>
      <c r="N8" s="69"/>
      <c r="P8" s="69"/>
      <c r="R8" s="69"/>
      <c r="T8" s="69"/>
      <c r="V8" s="69"/>
      <c r="Z8" s="69"/>
    </row>
    <row r="9" spans="1:31">
      <c r="D9" s="34"/>
      <c r="E9" s="34"/>
      <c r="F9" s="34"/>
      <c r="G9" s="34" t="s">
        <v>6</v>
      </c>
      <c r="H9" s="34"/>
      <c r="I9" s="34"/>
      <c r="J9" s="34"/>
      <c r="K9" s="34"/>
      <c r="L9" s="34"/>
      <c r="M9" s="35"/>
      <c r="N9" s="34"/>
      <c r="O9" s="35"/>
      <c r="P9" s="34"/>
      <c r="Q9" s="34"/>
      <c r="R9" s="34"/>
      <c r="S9" s="35"/>
      <c r="T9" s="34"/>
      <c r="U9" s="35"/>
      <c r="V9" s="34"/>
      <c r="W9" s="71" t="s">
        <v>7</v>
      </c>
      <c r="X9" s="71"/>
      <c r="Y9" s="126"/>
      <c r="Z9" s="71"/>
      <c r="AA9" s="71"/>
      <c r="AB9" s="71"/>
      <c r="AC9" s="126"/>
    </row>
    <row r="10" spans="1:31" s="37" customFormat="1">
      <c r="A10" s="37" t="s">
        <v>8</v>
      </c>
      <c r="D10" s="34"/>
      <c r="E10" s="34" t="s">
        <v>9</v>
      </c>
      <c r="F10" s="34"/>
      <c r="G10" s="34" t="s">
        <v>10</v>
      </c>
      <c r="H10" s="34"/>
      <c r="I10" s="34" t="s">
        <v>11</v>
      </c>
      <c r="J10" s="34"/>
      <c r="K10" s="71" t="s">
        <v>12</v>
      </c>
      <c r="L10" s="71"/>
      <c r="M10" s="71"/>
      <c r="N10" s="71"/>
      <c r="O10" s="71"/>
      <c r="P10" s="34"/>
      <c r="Q10" s="71" t="s">
        <v>13</v>
      </c>
      <c r="R10" s="35"/>
      <c r="S10" s="71"/>
      <c r="T10" s="71"/>
      <c r="U10" s="71"/>
      <c r="V10" s="34"/>
      <c r="W10" s="71" t="s">
        <v>14</v>
      </c>
      <c r="X10" s="71"/>
      <c r="Y10" s="126"/>
      <c r="Z10" s="34"/>
      <c r="AA10" s="71" t="s">
        <v>15</v>
      </c>
      <c r="AB10" s="71"/>
      <c r="AC10" s="126"/>
    </row>
    <row r="11" spans="1:31" s="37" customFormat="1">
      <c r="A11" s="37" t="s">
        <v>16</v>
      </c>
      <c r="C11" s="34" t="s">
        <v>17</v>
      </c>
      <c r="E11" s="60" t="s">
        <v>16</v>
      </c>
      <c r="G11" s="60" t="s">
        <v>18</v>
      </c>
      <c r="I11" s="60" t="s">
        <v>18</v>
      </c>
      <c r="K11" s="36" t="s">
        <v>14</v>
      </c>
      <c r="M11" s="36" t="s">
        <v>19</v>
      </c>
      <c r="O11" s="36" t="s">
        <v>15</v>
      </c>
      <c r="Q11" s="36" t="s">
        <v>14</v>
      </c>
      <c r="S11" s="36" t="s">
        <v>19</v>
      </c>
      <c r="U11" s="36" t="s">
        <v>15</v>
      </c>
      <c r="W11" s="36" t="s">
        <v>20</v>
      </c>
      <c r="Y11" s="127" t="s">
        <v>21</v>
      </c>
      <c r="AA11" s="36" t="s">
        <v>20</v>
      </c>
      <c r="AC11" s="127" t="s">
        <v>21</v>
      </c>
    </row>
    <row r="12" spans="1:31" s="37" customFormat="1">
      <c r="C12" s="19">
        <v>-1</v>
      </c>
      <c r="D12" s="19"/>
      <c r="E12" s="19">
        <f>MIN($A12:D12)-1</f>
        <v>-2</v>
      </c>
      <c r="F12" s="19"/>
      <c r="G12" s="19">
        <f>MIN($A12:F12)-1</f>
        <v>-3</v>
      </c>
      <c r="H12" s="19"/>
      <c r="I12" s="19">
        <f>MIN($A12:H12)-1</f>
        <v>-4</v>
      </c>
      <c r="J12" s="19"/>
      <c r="K12" s="19">
        <f>MIN($A12:J12)-1</f>
        <v>-5</v>
      </c>
      <c r="L12" s="19"/>
      <c r="M12" s="19">
        <f>MIN($A12:L12)-1</f>
        <v>-6</v>
      </c>
      <c r="N12" s="19"/>
      <c r="O12" s="19">
        <f>MIN($A12:N12)-1</f>
        <v>-7</v>
      </c>
      <c r="P12" s="19"/>
      <c r="Q12" s="19">
        <f>MIN($A12:P12)-1</f>
        <v>-8</v>
      </c>
      <c r="R12" s="19"/>
      <c r="S12" s="19">
        <f>MIN($A12:R12)-1</f>
        <v>-9</v>
      </c>
      <c r="T12" s="19"/>
      <c r="U12" s="19">
        <f>MIN($A12:T12)-1</f>
        <v>-10</v>
      </c>
      <c r="V12" s="19"/>
      <c r="W12" s="19">
        <f>MIN($A12:V12)-1</f>
        <v>-11</v>
      </c>
      <c r="X12" s="19"/>
      <c r="Y12" s="19">
        <f>MIN($A12:X12)-1</f>
        <v>-12</v>
      </c>
      <c r="Z12" s="19"/>
      <c r="AA12" s="19">
        <f>MIN($A12:Z12)-1</f>
        <v>-13</v>
      </c>
      <c r="AB12" s="19"/>
      <c r="AC12" s="19">
        <f>MIN($A12:AB12)-1</f>
        <v>-14</v>
      </c>
    </row>
    <row r="13" spans="1:31" s="37" customFormat="1">
      <c r="Y13" s="128"/>
      <c r="AC13" s="128"/>
    </row>
    <row r="14" spans="1:31">
      <c r="C14" s="37" t="s">
        <v>22</v>
      </c>
    </row>
    <row r="15" spans="1:31">
      <c r="A15" s="59">
        <v>1</v>
      </c>
      <c r="C15" s="59" t="s">
        <v>22</v>
      </c>
      <c r="E15" s="61" t="s">
        <v>23</v>
      </c>
      <c r="G15" s="20">
        <v>857245</v>
      </c>
      <c r="I15" s="20">
        <v>6776607.1933199447</v>
      </c>
      <c r="J15" s="22"/>
      <c r="K15" s="21">
        <f>SUM('Exhibit-RMP(RMM-2)'!G28,'Exhibit-RMP(RMM-2)'!G90,'Exhibit-RMP(RMM-2)'!G111,'Exhibit-RMP(RMM-2)'!G132)/1000</f>
        <v>749388.55500000005</v>
      </c>
      <c r="L15" s="22"/>
      <c r="M15" s="21">
        <f>SUM('Exhibit-RMP(RMM-2)'!K28,'Exhibit-RMP(RMM-2)'!K90,'Exhibit-RMP(RMM-2)'!K111,'Exhibit-RMP(RMM-2)'!K132)/1000</f>
        <v>129970.14978255336</v>
      </c>
      <c r="N15" s="22"/>
      <c r="O15" s="21">
        <f>K15+M15</f>
        <v>879358.70478255337</v>
      </c>
      <c r="P15" s="22"/>
      <c r="Q15" s="21">
        <f>K15</f>
        <v>749388.55500000005</v>
      </c>
      <c r="S15" s="21">
        <f>SUM('Exhibit-RMP(RMM-2)'!O28,'Exhibit-RMP(RMM-2)'!O90,'Exhibit-RMP(RMM-2)'!O111,'Exhibit-RMP(RMM-2)'!O132)/1000</f>
        <v>144714.92463352258</v>
      </c>
      <c r="T15" s="22"/>
      <c r="U15" s="21">
        <f>Q15+S15</f>
        <v>894103.47963352269</v>
      </c>
      <c r="V15" s="22"/>
      <c r="W15" s="21">
        <f>Q15-K15</f>
        <v>0</v>
      </c>
      <c r="X15" s="22"/>
      <c r="Y15" s="129">
        <f>W15/K15</f>
        <v>0</v>
      </c>
      <c r="Z15" s="22"/>
      <c r="AA15" s="21">
        <f>U15-O15</f>
        <v>14744.774850969319</v>
      </c>
      <c r="AB15" s="22"/>
      <c r="AC15" s="129">
        <f>AA15/O15</f>
        <v>1.6767645297393614E-2</v>
      </c>
    </row>
    <row r="16" spans="1:31">
      <c r="A16" s="59">
        <f>MAX(A$14:A15)+1</f>
        <v>2</v>
      </c>
      <c r="C16" s="59" t="s">
        <v>24</v>
      </c>
      <c r="E16" s="61" t="s">
        <v>25</v>
      </c>
      <c r="G16" s="20">
        <v>623</v>
      </c>
      <c r="I16" s="20">
        <v>6392.1840452160832</v>
      </c>
      <c r="J16" s="22"/>
      <c r="K16" s="21">
        <f>SUM('Exhibit-RMP(RMM-2)'!G49,'Exhibit-RMP(RMM-2)'!G69)/1000</f>
        <v>618.27700000000004</v>
      </c>
      <c r="L16" s="22"/>
      <c r="M16" s="21">
        <f>SUM('Exhibit-RMP(RMM-2)'!K49,'Exhibit-RMP(RMM-2)'!K69)/1000</f>
        <v>109.41778847069999</v>
      </c>
      <c r="N16" s="22"/>
      <c r="O16" s="21">
        <f t="shared" ref="O16:O17" si="0">K16+M16</f>
        <v>727.69478847070002</v>
      </c>
      <c r="P16" s="22"/>
      <c r="Q16" s="21">
        <f t="shared" ref="Q16:Q17" si="1">K16</f>
        <v>618.27700000000004</v>
      </c>
      <c r="S16" s="21">
        <f>SUM('Exhibit-RMP(RMM-2)'!O49,'Exhibit-RMP(RMM-2)'!O69)/1000</f>
        <v>121.83095148074999</v>
      </c>
      <c r="T16" s="22"/>
      <c r="U16" s="21">
        <f t="shared" ref="U16:U17" si="2">Q16+S16</f>
        <v>740.10795148074999</v>
      </c>
      <c r="V16" s="22"/>
      <c r="W16" s="21">
        <f t="shared" ref="W16:W17" si="3">Q16-K16</f>
        <v>0</v>
      </c>
      <c r="X16" s="22"/>
      <c r="Y16" s="129">
        <f t="shared" ref="Y16:Y18" si="4">W16/K16</f>
        <v>0</v>
      </c>
      <c r="Z16" s="22"/>
      <c r="AA16" s="21">
        <f t="shared" ref="AA16:AA17" si="5">U16-O16</f>
        <v>12.413163010049971</v>
      </c>
      <c r="AB16" s="22"/>
      <c r="AC16" s="129">
        <f t="shared" ref="AC16:AC17" si="6">AA16/O16</f>
        <v>1.7058199683052663E-2</v>
      </c>
      <c r="AD16" s="58" t="s">
        <v>26</v>
      </c>
      <c r="AE16" s="58"/>
    </row>
    <row r="17" spans="1:31">
      <c r="A17" s="59">
        <f>MAX(A$14:A16)+1</f>
        <v>3</v>
      </c>
      <c r="C17" s="59" t="s">
        <v>27</v>
      </c>
      <c r="E17" s="61" t="s">
        <v>28</v>
      </c>
      <c r="G17" s="130"/>
      <c r="I17" s="130"/>
      <c r="J17" s="22"/>
      <c r="K17" s="23">
        <f>'Exhibit-RMP(RMM-2)'!G761/1000</f>
        <v>6.7950900000000622</v>
      </c>
      <c r="L17" s="22"/>
      <c r="M17" s="23"/>
      <c r="N17" s="22"/>
      <c r="O17" s="23">
        <f t="shared" si="0"/>
        <v>6.7950900000000622</v>
      </c>
      <c r="P17" s="22"/>
      <c r="Q17" s="23">
        <f t="shared" si="1"/>
        <v>6.7950900000000622</v>
      </c>
      <c r="S17" s="23"/>
      <c r="T17" s="22"/>
      <c r="U17" s="23">
        <f t="shared" si="2"/>
        <v>6.7950900000000622</v>
      </c>
      <c r="V17" s="22"/>
      <c r="W17" s="23">
        <f t="shared" si="3"/>
        <v>0</v>
      </c>
      <c r="X17" s="22"/>
      <c r="Y17" s="131">
        <f t="shared" si="4"/>
        <v>0</v>
      </c>
      <c r="Z17" s="22"/>
      <c r="AA17" s="23">
        <f t="shared" si="5"/>
        <v>0</v>
      </c>
      <c r="AB17" s="22"/>
      <c r="AC17" s="131">
        <f t="shared" si="6"/>
        <v>0</v>
      </c>
      <c r="AD17" s="150" t="s">
        <v>29</v>
      </c>
      <c r="AE17" s="150" t="s">
        <v>7</v>
      </c>
    </row>
    <row r="18" spans="1:31">
      <c r="A18" s="59">
        <f>MAX(A$14:A17)+1</f>
        <v>4</v>
      </c>
      <c r="C18" s="37" t="s">
        <v>30</v>
      </c>
      <c r="G18" s="20">
        <v>857868</v>
      </c>
      <c r="I18" s="20">
        <v>6782999.3773651607</v>
      </c>
      <c r="J18" s="22"/>
      <c r="K18" s="21">
        <f>SUM(K15:K17)</f>
        <v>750013.62709000008</v>
      </c>
      <c r="L18" s="22"/>
      <c r="M18" s="21">
        <f>SUM(M15:M17)</f>
        <v>130079.56757102406</v>
      </c>
      <c r="N18" s="22"/>
      <c r="O18" s="21">
        <f>SUM(O15:O17)</f>
        <v>880093.19466102414</v>
      </c>
      <c r="P18" s="22"/>
      <c r="Q18" s="21">
        <f>SUM(Q15:Q17)</f>
        <v>750013.62709000008</v>
      </c>
      <c r="S18" s="21">
        <f>SUM(S15:S17)</f>
        <v>144836.75558500332</v>
      </c>
      <c r="T18" s="22"/>
      <c r="U18" s="21">
        <f>SUM(U15:U17)</f>
        <v>894850.38267500349</v>
      </c>
      <c r="V18" s="22"/>
      <c r="W18" s="21">
        <f>SUM(W15:W17)</f>
        <v>0</v>
      </c>
      <c r="X18" s="22"/>
      <c r="Y18" s="129">
        <f t="shared" si="4"/>
        <v>0</v>
      </c>
      <c r="Z18" s="22"/>
      <c r="AA18" s="21">
        <f>SUM(AA15:AA17)</f>
        <v>14757.188013979368</v>
      </c>
      <c r="AB18" s="22"/>
      <c r="AC18" s="129">
        <f>AA18/O18</f>
        <v>1.6767756077994935E-2</v>
      </c>
      <c r="AD18" s="20">
        <f>I18/G18/12*1000</f>
        <v>658.90084268647786</v>
      </c>
      <c r="AE18" s="141">
        <f>AA18/(G18*12)*1000</f>
        <v>1.4335138597448722</v>
      </c>
    </row>
    <row r="19" spans="1:31" ht="24.95" customHeight="1">
      <c r="C19" s="37" t="s">
        <v>31</v>
      </c>
      <c r="G19" s="20"/>
      <c r="I19" s="20"/>
      <c r="J19" s="22"/>
      <c r="K19" s="21"/>
      <c r="L19" s="22"/>
      <c r="M19" s="21"/>
      <c r="N19" s="22"/>
      <c r="O19" s="21"/>
      <c r="P19" s="22"/>
      <c r="Q19" s="21"/>
      <c r="S19" s="21"/>
      <c r="T19" s="22"/>
      <c r="U19" s="21"/>
      <c r="V19" s="22"/>
      <c r="W19" s="21"/>
      <c r="X19" s="22"/>
      <c r="Y19" s="129"/>
      <c r="Z19" s="22"/>
      <c r="AA19" s="21"/>
      <c r="AB19" s="22"/>
      <c r="AC19" s="129"/>
    </row>
    <row r="20" spans="1:31">
      <c r="A20" s="59">
        <f>MAX(A$14:A19)+1</f>
        <v>5</v>
      </c>
      <c r="C20" s="59" t="s">
        <v>32</v>
      </c>
      <c r="E20" s="63">
        <v>6</v>
      </c>
      <c r="G20" s="20">
        <f>13514+16</f>
        <v>13530</v>
      </c>
      <c r="I20" s="20">
        <f>5786326.15829769+3380.691</f>
        <v>5789706.8492976893</v>
      </c>
      <c r="J20" s="22"/>
      <c r="K20" s="21">
        <f>SUM('Exhibit-RMP(RMM-2)'!G195,-'Exhibit-RMP(RMM-2)'!G207,'Exhibit-RMP(RMM-2)'!G221,-'Exhibit-RMP(RMM-2)'!G232,'Exhibit-RMP(RMM-2)'!G246,-'Exhibit-RMP(RMM-2)'!G257,'Exhibit-RMP(RMM-2)'!G146,'Exhibit-RMP(RMM-2)'!G158,'Exhibit-RMP(RMM-2)'!G170)/1000+SUM('Exhibit-RMP(RMM-2)'!G271,-'Exhibit-RMP(RMM-2)'!G281,'Exhibit-RMP(RMM-2)'!G181)/1000</f>
        <v>476830.033</v>
      </c>
      <c r="L20" s="22"/>
      <c r="M20" s="21">
        <f>SUM('Exhibit-RMP(RMM-2)'!K195,-'Exhibit-RMP(RMM-2)'!K207,'Exhibit-RMP(RMM-2)'!K221,-'Exhibit-RMP(RMM-2)'!K232,'Exhibit-RMP(RMM-2)'!K246,-'Exhibit-RMP(RMM-2)'!K257,'Exhibit-RMP(RMM-2)'!K146,'Exhibit-RMP(RMM-2)'!K158,'Exhibit-RMP(RMM-2)'!K170)/1000+SUM('Exhibit-RMP(RMM-2)'!K271,-'Exhibit-RMP(RMM-2)'!K281,'Exhibit-RMP(RMM-2)'!K181)/1000</f>
        <v>107524.85366726674</v>
      </c>
      <c r="N20" s="22"/>
      <c r="O20" s="21">
        <f t="shared" ref="O20:O21" si="7">K20+M20</f>
        <v>584354.88666726672</v>
      </c>
      <c r="P20" s="22"/>
      <c r="Q20" s="21">
        <f t="shared" ref="Q20:Q21" si="8">K20</f>
        <v>476830.033</v>
      </c>
      <c r="S20" s="21">
        <f>SUM('Exhibit-RMP(RMM-2)'!O195,-'Exhibit-RMP(RMM-2)'!O207,'Exhibit-RMP(RMM-2)'!O221,-'Exhibit-RMP(RMM-2)'!O232,'Exhibit-RMP(RMM-2)'!O246,-'Exhibit-RMP(RMM-2)'!O257,'Exhibit-RMP(RMM-2)'!O146,'Exhibit-RMP(RMM-2)'!O158,'Exhibit-RMP(RMM-2)'!O170)/1000+SUM('Exhibit-RMP(RMM-2)'!O271,-'Exhibit-RMP(RMM-2)'!O281,'Exhibit-RMP(RMM-2)'!O181)/1000</f>
        <v>119723.26378886872</v>
      </c>
      <c r="T20" s="22"/>
      <c r="U20" s="21">
        <f t="shared" ref="U20:U21" si="9">Q20+S20</f>
        <v>596553.29678886873</v>
      </c>
      <c r="V20" s="22"/>
      <c r="W20" s="21">
        <f t="shared" ref="W20:W21" si="10">Q20-K20</f>
        <v>0</v>
      </c>
      <c r="X20" s="22"/>
      <c r="Y20" s="129">
        <f t="shared" ref="Y20:Y38" si="11">W20/K20</f>
        <v>0</v>
      </c>
      <c r="Z20" s="22"/>
      <c r="AA20" s="21">
        <f t="shared" ref="AA20:AA21" si="12">U20-O20</f>
        <v>12198.410121602006</v>
      </c>
      <c r="AB20" s="22"/>
      <c r="AC20" s="129">
        <f t="shared" ref="AC20:AC38" si="13">AA20/O20</f>
        <v>2.0875003187143387E-2</v>
      </c>
    </row>
    <row r="21" spans="1:31">
      <c r="A21" s="59">
        <f>MAX(A$14:A20)+1</f>
        <v>6</v>
      </c>
      <c r="C21" s="59" t="s">
        <v>33</v>
      </c>
      <c r="E21" s="61" t="s">
        <v>34</v>
      </c>
      <c r="G21" s="132">
        <f>2806+ROUND('Exhibit-RMP(RMM-2)'!C516/12,0)</f>
        <v>2807</v>
      </c>
      <c r="I21" s="132">
        <f>404017.650225809+'Exhibit-RMP(RMM-2)'!C526/1000</f>
        <v>404256.108225809</v>
      </c>
      <c r="J21" s="22"/>
      <c r="K21" s="23">
        <f>SUM('Exhibit-RMP(RMM-2)'!G296,'Exhibit-RMP(RMM-2)'!G309,'Exhibit-RMP(RMM-2)'!G526)/1000</f>
        <v>47103.563999999998</v>
      </c>
      <c r="L21" s="22"/>
      <c r="M21" s="23">
        <f>SUM('Exhibit-RMP(RMM-2)'!K296,'Exhibit-RMP(RMM-2)'!K309,'Exhibit-RMP(RMM-2)'!K526)/1000</f>
        <v>10621.821582207001</v>
      </c>
      <c r="N21" s="22"/>
      <c r="O21" s="23">
        <f t="shared" si="7"/>
        <v>57725.385582207004</v>
      </c>
      <c r="P21" s="22"/>
      <c r="Q21" s="23">
        <f t="shared" si="8"/>
        <v>47103.563999999998</v>
      </c>
      <c r="S21" s="23">
        <f>SUM('Exhibit-RMP(RMM-2)'!O296,'Exhibit-RMP(RMM-2)'!O309,'Exhibit-RMP(RMM-2)'!O526)/1000</f>
        <v>11826.840187111437</v>
      </c>
      <c r="T21" s="22"/>
      <c r="U21" s="23">
        <f t="shared" si="9"/>
        <v>58930.404187111431</v>
      </c>
      <c r="V21" s="22"/>
      <c r="W21" s="23">
        <f t="shared" si="10"/>
        <v>0</v>
      </c>
      <c r="X21" s="22"/>
      <c r="Y21" s="131">
        <f t="shared" si="11"/>
        <v>0</v>
      </c>
      <c r="Z21" s="22"/>
      <c r="AA21" s="23">
        <f t="shared" si="12"/>
        <v>1205.0186049044278</v>
      </c>
      <c r="AB21" s="22"/>
      <c r="AC21" s="131">
        <f t="shared" si="13"/>
        <v>2.0875020456785947E-2</v>
      </c>
    </row>
    <row r="22" spans="1:31">
      <c r="A22" s="59">
        <f>MAX(A$14:A21)+1</f>
        <v>7</v>
      </c>
      <c r="C22" s="64" t="s">
        <v>35</v>
      </c>
      <c r="D22" s="64"/>
      <c r="E22" s="64"/>
      <c r="F22" s="64"/>
      <c r="G22" s="467">
        <f>SUM(G20:G21)</f>
        <v>16337</v>
      </c>
      <c r="H22" s="64"/>
      <c r="I22" s="467">
        <f>SUM(I20:I21)</f>
        <v>6193962.9575234987</v>
      </c>
      <c r="J22" s="462"/>
      <c r="K22" s="461">
        <f>SUM(K20:K21)</f>
        <v>523933.59700000001</v>
      </c>
      <c r="L22" s="462"/>
      <c r="M22" s="461">
        <f>SUM(M20:M21)</f>
        <v>118146.67524947374</v>
      </c>
      <c r="N22" s="462"/>
      <c r="O22" s="461">
        <f>SUM(O20:O21)</f>
        <v>642080.27224947372</v>
      </c>
      <c r="P22" s="462"/>
      <c r="Q22" s="461">
        <f>SUM(Q20:Q21)</f>
        <v>523933.59700000001</v>
      </c>
      <c r="R22" s="64"/>
      <c r="S22" s="461">
        <f>SUM(S20:S21)</f>
        <v>131550.10397598016</v>
      </c>
      <c r="T22" s="462"/>
      <c r="U22" s="461">
        <f>SUM(U20:U21)</f>
        <v>655483.70097598014</v>
      </c>
      <c r="V22" s="462"/>
      <c r="W22" s="461">
        <f>SUM(W20:W21)</f>
        <v>0</v>
      </c>
      <c r="X22" s="462"/>
      <c r="Y22" s="468">
        <f t="shared" si="11"/>
        <v>0</v>
      </c>
      <c r="Z22" s="462"/>
      <c r="AA22" s="461">
        <f>SUM(AA20:AA21)</f>
        <v>13403.428726506434</v>
      </c>
      <c r="AB22" s="462"/>
      <c r="AC22" s="468">
        <f t="shared" si="13"/>
        <v>2.0875004739747974E-2</v>
      </c>
    </row>
    <row r="23" spans="1:31" ht="21.95" customHeight="1">
      <c r="A23" s="59">
        <f>MAX(A$14:A22)+1</f>
        <v>8</v>
      </c>
      <c r="C23" s="59" t="s">
        <v>36</v>
      </c>
      <c r="E23" s="61">
        <v>8</v>
      </c>
      <c r="F23" s="20"/>
      <c r="G23" s="20">
        <v>249</v>
      </c>
      <c r="I23" s="20">
        <v>2020703.4442505348</v>
      </c>
      <c r="J23" s="22"/>
      <c r="K23" s="24">
        <f>SUM('Exhibit-RMP(RMM-2)'!G328,'Exhibit-RMP(RMM-2)'!G340)/1000</f>
        <v>148125.87700000001</v>
      </c>
      <c r="L23" s="22"/>
      <c r="M23" s="24">
        <f>SUM('Exhibit-RMP(RMM-2)'!K328,'Exhibit-RMP(RMM-2)'!K340)/1000</f>
        <v>38327.933970974969</v>
      </c>
      <c r="N23" s="22"/>
      <c r="O23" s="21">
        <f t="shared" ref="O23:O25" si="14">K23+M23</f>
        <v>186453.81097097497</v>
      </c>
      <c r="P23" s="22"/>
      <c r="Q23" s="21">
        <f t="shared" ref="Q23:Q25" si="15">K23</f>
        <v>148125.87700000001</v>
      </c>
      <c r="S23" s="24">
        <f>SUM('Exhibit-RMP(RMM-2)'!O328,'Exhibit-RMP(RMM-2)'!O340)/1000</f>
        <v>42544.459410005518</v>
      </c>
      <c r="T23" s="22"/>
      <c r="U23" s="21">
        <f t="shared" ref="U23:U25" si="16">Q23+S23</f>
        <v>190670.33641000552</v>
      </c>
      <c r="V23" s="22"/>
      <c r="W23" s="21">
        <f t="shared" ref="W23:W25" si="17">Q23-K23</f>
        <v>0</v>
      </c>
      <c r="X23" s="22"/>
      <c r="Y23" s="129">
        <f t="shared" si="11"/>
        <v>0</v>
      </c>
      <c r="Z23" s="22"/>
      <c r="AA23" s="21">
        <f t="shared" ref="AA23:AA25" si="18">U23-O23</f>
        <v>4216.525439030549</v>
      </c>
      <c r="AB23" s="22"/>
      <c r="AC23" s="129">
        <f t="shared" si="13"/>
        <v>2.2614316205566483E-2</v>
      </c>
    </row>
    <row r="24" spans="1:31" ht="21.95" customHeight="1">
      <c r="A24" s="59">
        <f>MAX(A$14:A23)+1</f>
        <v>9</v>
      </c>
      <c r="C24" s="59" t="s">
        <v>37</v>
      </c>
      <c r="E24" s="59">
        <v>9</v>
      </c>
      <c r="G24" s="20">
        <f>156+ROUND('Exhibit-RMP(RMM-2)'!C528/12,0)</f>
        <v>158</v>
      </c>
      <c r="I24" s="20">
        <f>4847331.95430513+'Exhibit-RMP(RMM-2)'!C536/1000</f>
        <v>4848930.6083051302</v>
      </c>
      <c r="J24" s="22"/>
      <c r="K24" s="24">
        <f>SUM('Exhibit-RMP(RMM-2)'!G351,'Exhibit-RMP(RMM-2)'!G536)/1000</f>
        <v>273346.62900000002</v>
      </c>
      <c r="L24" s="22"/>
      <c r="M24" s="24">
        <f>SUM('Exhibit-RMP(RMM-2)'!K351,'Exhibit-RMP(RMM-2)'!K536)/1000</f>
        <v>93868.929053647167</v>
      </c>
      <c r="N24" s="22"/>
      <c r="O24" s="21">
        <f t="shared" si="14"/>
        <v>367215.55805364717</v>
      </c>
      <c r="P24" s="22"/>
      <c r="Q24" s="21">
        <f t="shared" si="15"/>
        <v>273346.62900000002</v>
      </c>
      <c r="S24" s="24">
        <f>SUM('Exhibit-RMP(RMM-2)'!O351,'Exhibit-RMP(RMM-2)'!O536)/1000</f>
        <v>96334.32051343366</v>
      </c>
      <c r="T24" s="22"/>
      <c r="U24" s="21">
        <f t="shared" si="16"/>
        <v>369680.94951343368</v>
      </c>
      <c r="V24" s="22"/>
      <c r="W24" s="21">
        <f t="shared" si="17"/>
        <v>0</v>
      </c>
      <c r="X24" s="22"/>
      <c r="Y24" s="129">
        <f t="shared" si="11"/>
        <v>0</v>
      </c>
      <c r="Z24" s="22"/>
      <c r="AA24" s="21">
        <f t="shared" si="18"/>
        <v>2465.3914597865078</v>
      </c>
      <c r="AB24" s="22"/>
      <c r="AC24" s="129">
        <f t="shared" si="13"/>
        <v>6.7137445724081615E-3</v>
      </c>
    </row>
    <row r="25" spans="1:31">
      <c r="A25" s="59">
        <f>MAX(A$14:A24)+1</f>
        <v>10</v>
      </c>
      <c r="C25" s="59" t="s">
        <v>38</v>
      </c>
      <c r="E25" s="61" t="s">
        <v>39</v>
      </c>
      <c r="G25" s="132">
        <v>9</v>
      </c>
      <c r="I25" s="132">
        <v>41940.288</v>
      </c>
      <c r="J25" s="22"/>
      <c r="K25" s="23">
        <f>'Exhibit-RMP(RMM-2)'!G362/1000</f>
        <v>2993.1880000000001</v>
      </c>
      <c r="L25" s="22"/>
      <c r="M25" s="23">
        <f>'Exhibit-RMP(RMM-2)'!K362/1000</f>
        <v>980.27033154361993</v>
      </c>
      <c r="N25" s="22"/>
      <c r="O25" s="23">
        <f t="shared" si="14"/>
        <v>3973.4583315436203</v>
      </c>
      <c r="P25" s="22"/>
      <c r="Q25" s="23">
        <f t="shared" si="15"/>
        <v>2993.1880000000001</v>
      </c>
      <c r="S25" s="23">
        <f>'Exhibit-RMP(RMM-2)'!O362/1000</f>
        <v>1091.4794930634798</v>
      </c>
      <c r="T25" s="22"/>
      <c r="U25" s="23">
        <f t="shared" si="16"/>
        <v>4084.6674930634799</v>
      </c>
      <c r="V25" s="22"/>
      <c r="W25" s="23">
        <f t="shared" si="17"/>
        <v>0</v>
      </c>
      <c r="X25" s="22"/>
      <c r="Y25" s="131">
        <f t="shared" si="11"/>
        <v>0</v>
      </c>
      <c r="Z25" s="22"/>
      <c r="AA25" s="23">
        <f t="shared" si="18"/>
        <v>111.20916151985966</v>
      </c>
      <c r="AB25" s="22"/>
      <c r="AC25" s="131">
        <f t="shared" si="13"/>
        <v>2.7988002450413722E-2</v>
      </c>
    </row>
    <row r="26" spans="1:31">
      <c r="A26" s="59">
        <f>MAX(A$14:A25)+1</f>
        <v>11</v>
      </c>
      <c r="C26" s="64" t="s">
        <v>40</v>
      </c>
      <c r="D26" s="64"/>
      <c r="E26" s="64"/>
      <c r="F26" s="64"/>
      <c r="G26" s="467">
        <f>SUM(G24:G25)</f>
        <v>167</v>
      </c>
      <c r="H26" s="64"/>
      <c r="I26" s="467">
        <f>SUM(I24:I25)</f>
        <v>4890870.8963051299</v>
      </c>
      <c r="J26" s="462"/>
      <c r="K26" s="461">
        <f>SUM(K24:K25)</f>
        <v>276339.81700000004</v>
      </c>
      <c r="L26" s="462"/>
      <c r="M26" s="461">
        <f>SUM(M24:M25)</f>
        <v>94849.19938519079</v>
      </c>
      <c r="N26" s="462"/>
      <c r="O26" s="461">
        <f>SUM(O24:O25)</f>
        <v>371189.01638519077</v>
      </c>
      <c r="P26" s="462"/>
      <c r="Q26" s="461">
        <f>SUM(Q24:Q25)</f>
        <v>276339.81700000004</v>
      </c>
      <c r="R26" s="64"/>
      <c r="S26" s="461">
        <f>SUM(S24:S25)</f>
        <v>97425.800006497142</v>
      </c>
      <c r="T26" s="462"/>
      <c r="U26" s="461">
        <f>SUM(U24:U25)</f>
        <v>373765.61700649717</v>
      </c>
      <c r="V26" s="462"/>
      <c r="W26" s="461">
        <f>SUM(W24:W25)</f>
        <v>0</v>
      </c>
      <c r="X26" s="462"/>
      <c r="Y26" s="468">
        <f t="shared" si="11"/>
        <v>0</v>
      </c>
      <c r="Z26" s="462"/>
      <c r="AA26" s="461">
        <f>SUM(AA24:AA25)</f>
        <v>2576.6006213063674</v>
      </c>
      <c r="AB26" s="462"/>
      <c r="AC26" s="468">
        <f t="shared" si="13"/>
        <v>6.941478620241753E-3</v>
      </c>
    </row>
    <row r="27" spans="1:31" ht="21.95" customHeight="1">
      <c r="A27" s="59">
        <f>MAX(A$14:A26)+1</f>
        <v>12</v>
      </c>
      <c r="C27" s="59" t="s">
        <v>41</v>
      </c>
      <c r="E27" s="61">
        <v>10</v>
      </c>
      <c r="G27" s="20">
        <v>3339</v>
      </c>
      <c r="I27" s="20">
        <v>206134.08558220015</v>
      </c>
      <c r="J27" s="22"/>
      <c r="K27" s="24">
        <f>SUM('Exhibit-RMP(RMM-2)'!G377,'Exhibit-RMP(RMM-2)'!G394)/1000</f>
        <v>16042.852000000001</v>
      </c>
      <c r="L27" s="22"/>
      <c r="M27" s="24">
        <f>SUM('Exhibit-RMP(RMM-2)'!K377,'Exhibit-RMP(RMM-2)'!K394)/1000</f>
        <v>3899.3018855210398</v>
      </c>
      <c r="N27" s="22"/>
      <c r="O27" s="21">
        <f t="shared" ref="O27:O28" si="19">K27+M27</f>
        <v>19942.153885521042</v>
      </c>
      <c r="P27" s="22"/>
      <c r="Q27" s="21">
        <f t="shared" ref="Q27:Q28" si="20">K27</f>
        <v>16042.852000000001</v>
      </c>
      <c r="S27" s="24">
        <f>SUM('Exhibit-RMP(RMM-2)'!O377,'Exhibit-RMP(RMM-2)'!O394)/1000</f>
        <v>4341.6677403665499</v>
      </c>
      <c r="T27" s="22"/>
      <c r="U27" s="21">
        <f t="shared" ref="U27:U28" si="21">Q27+S27</f>
        <v>20384.519740366552</v>
      </c>
      <c r="V27" s="22"/>
      <c r="W27" s="21">
        <f t="shared" ref="W27:W28" si="22">Q27-K27</f>
        <v>0</v>
      </c>
      <c r="X27" s="22"/>
      <c r="Y27" s="129">
        <f t="shared" si="11"/>
        <v>0</v>
      </c>
      <c r="Z27" s="22"/>
      <c r="AA27" s="21">
        <f t="shared" ref="AA27:AA28" si="23">U27-O27</f>
        <v>442.3658548455096</v>
      </c>
      <c r="AB27" s="22"/>
      <c r="AC27" s="129">
        <f t="shared" si="13"/>
        <v>2.218245117277369E-2</v>
      </c>
    </row>
    <row r="28" spans="1:31">
      <c r="A28" s="59">
        <f>MAX(A$14:A27)+1</f>
        <v>13</v>
      </c>
      <c r="C28" s="59" t="s">
        <v>42</v>
      </c>
      <c r="E28" s="61" t="s">
        <v>43</v>
      </c>
      <c r="G28" s="132">
        <v>269</v>
      </c>
      <c r="I28" s="132">
        <v>24258.38713714117</v>
      </c>
      <c r="J28" s="22"/>
      <c r="K28" s="23">
        <f>'Exhibit-RMP(RMM-2)'!G409/1000</f>
        <v>1947.394</v>
      </c>
      <c r="L28" s="22"/>
      <c r="M28" s="23">
        <f>'Exhibit-RMP(RMM-2)'!K409/1000</f>
        <v>480.66739792727998</v>
      </c>
      <c r="N28" s="22"/>
      <c r="O28" s="23">
        <f t="shared" si="19"/>
        <v>2428.0613979272798</v>
      </c>
      <c r="P28" s="22"/>
      <c r="Q28" s="23">
        <f t="shared" si="20"/>
        <v>1947.394</v>
      </c>
      <c r="S28" s="23">
        <f>'Exhibit-RMP(RMM-2)'!O409/1000</f>
        <v>535.19788841585</v>
      </c>
      <c r="T28" s="22"/>
      <c r="U28" s="23">
        <f t="shared" si="21"/>
        <v>2482.59188841585</v>
      </c>
      <c r="V28" s="22"/>
      <c r="W28" s="23">
        <f t="shared" si="22"/>
        <v>0</v>
      </c>
      <c r="X28" s="22"/>
      <c r="Y28" s="131">
        <f t="shared" si="11"/>
        <v>0</v>
      </c>
      <c r="Z28" s="22"/>
      <c r="AA28" s="23">
        <f t="shared" si="23"/>
        <v>54.530490488570194</v>
      </c>
      <c r="AB28" s="22"/>
      <c r="AC28" s="131">
        <f t="shared" si="13"/>
        <v>2.2458447935097634E-2</v>
      </c>
    </row>
    <row r="29" spans="1:31">
      <c r="A29" s="59">
        <f>MAX(A$14:A28)+1</f>
        <v>14</v>
      </c>
      <c r="C29" s="64" t="s">
        <v>44</v>
      </c>
      <c r="D29" s="64"/>
      <c r="E29" s="64"/>
      <c r="F29" s="64"/>
      <c r="G29" s="467">
        <v>3608</v>
      </c>
      <c r="H29" s="64"/>
      <c r="I29" s="467">
        <v>230392.47271934131</v>
      </c>
      <c r="J29" s="462"/>
      <c r="K29" s="461">
        <f>SUM(K27:K28)</f>
        <v>17990.245999999999</v>
      </c>
      <c r="L29" s="462"/>
      <c r="M29" s="461">
        <f>SUM(M27:M28)</f>
        <v>4379.9692834483194</v>
      </c>
      <c r="N29" s="462"/>
      <c r="O29" s="461">
        <f>SUM(O27:O28)</f>
        <v>22370.21528344832</v>
      </c>
      <c r="P29" s="462"/>
      <c r="Q29" s="461">
        <f>SUM(Q27:Q28)</f>
        <v>17990.245999999999</v>
      </c>
      <c r="R29" s="64"/>
      <c r="S29" s="461">
        <f>SUM(S27:S28)</f>
        <v>4876.8656287823997</v>
      </c>
      <c r="T29" s="462"/>
      <c r="U29" s="461">
        <f>SUM(U27:U28)</f>
        <v>22867.111628782401</v>
      </c>
      <c r="V29" s="462"/>
      <c r="W29" s="461">
        <f>SUM(W27:W28)</f>
        <v>0</v>
      </c>
      <c r="X29" s="462"/>
      <c r="Y29" s="468">
        <f t="shared" si="11"/>
        <v>0</v>
      </c>
      <c r="Z29" s="462"/>
      <c r="AA29" s="461">
        <f>SUM(AA27:AA28)</f>
        <v>496.8963453340798</v>
      </c>
      <c r="AB29" s="462"/>
      <c r="AC29" s="468">
        <f t="shared" si="13"/>
        <v>2.2212407839531722E-2</v>
      </c>
    </row>
    <row r="30" spans="1:31">
      <c r="A30" s="59">
        <f>MAX(A$14:A29)+1</f>
        <v>15</v>
      </c>
      <c r="C30" s="59" t="s">
        <v>45</v>
      </c>
      <c r="E30" s="63">
        <v>23</v>
      </c>
      <c r="G30" s="20">
        <v>96230</v>
      </c>
      <c r="I30" s="20">
        <v>1404451.8584710199</v>
      </c>
      <c r="J30" s="22"/>
      <c r="K30" s="24">
        <f>SUM('Exhibit-RMP(RMM-2)'!G589,'Exhibit-RMP(RMM-2)'!G602,'Exhibit-RMP(RMM-2)'!G616)/1000</f>
        <v>138041.82800000001</v>
      </c>
      <c r="L30" s="22"/>
      <c r="M30" s="24">
        <f>SUM('Exhibit-RMP(RMM-2)'!K589,'Exhibit-RMP(RMM-2)'!K602,'Exhibit-RMP(RMM-2)'!K616)/1000</f>
        <v>26821.499265009934</v>
      </c>
      <c r="N30" s="22"/>
      <c r="O30" s="21">
        <f t="shared" ref="O30:O37" si="24">K30+M30</f>
        <v>164863.32726500995</v>
      </c>
      <c r="P30" s="22"/>
      <c r="Q30" s="21">
        <f t="shared" ref="Q30:Q37" si="25">K30</f>
        <v>138041.82800000001</v>
      </c>
      <c r="S30" s="24">
        <f>SUM('Exhibit-RMP(RMM-2)'!O589,'Exhibit-RMP(RMM-2)'!O602,'Exhibit-RMP(RMM-2)'!O616)/1000</f>
        <v>29864.329017190794</v>
      </c>
      <c r="T30" s="22"/>
      <c r="U30" s="21">
        <f t="shared" ref="U30:U37" si="26">Q30+S30</f>
        <v>167906.1570171908</v>
      </c>
      <c r="V30" s="22"/>
      <c r="W30" s="21">
        <f t="shared" ref="W30:W37" si="27">Q30-K30</f>
        <v>0</v>
      </c>
      <c r="X30" s="22"/>
      <c r="Y30" s="129">
        <f t="shared" si="11"/>
        <v>0</v>
      </c>
      <c r="Z30" s="22"/>
      <c r="AA30" s="21">
        <f t="shared" ref="AA30:AA37" si="28">U30-O30</f>
        <v>3042.8297521808418</v>
      </c>
      <c r="AB30" s="22"/>
      <c r="AC30" s="129">
        <f t="shared" si="13"/>
        <v>1.845668046775277E-2</v>
      </c>
    </row>
    <row r="31" spans="1:31">
      <c r="A31" s="59">
        <f>MAX(A$14:A30)+1</f>
        <v>16</v>
      </c>
      <c r="C31" s="59" t="s">
        <v>46</v>
      </c>
      <c r="E31" s="59">
        <v>31</v>
      </c>
      <c r="G31" s="20">
        <v>7</v>
      </c>
      <c r="I31" s="20">
        <v>189259.14266666665</v>
      </c>
      <c r="J31" s="22"/>
      <c r="K31" s="24">
        <f>'Exhibit-RMP(RMM-2)'!G678/1000</f>
        <v>12590.477000000001</v>
      </c>
      <c r="L31" s="22"/>
      <c r="M31" s="24">
        <f>'Exhibit-RMP(RMM-2)'!K678/1000</f>
        <v>3526.69872951855</v>
      </c>
      <c r="N31" s="22"/>
      <c r="O31" s="21">
        <f t="shared" si="24"/>
        <v>16117.175729518551</v>
      </c>
      <c r="P31" s="22"/>
      <c r="Q31" s="21">
        <f t="shared" si="25"/>
        <v>12590.477000000001</v>
      </c>
      <c r="S31" s="24">
        <f>'Exhibit-RMP(RMM-2)'!O678/1000</f>
        <v>3642.1663448332502</v>
      </c>
      <c r="T31" s="22"/>
      <c r="U31" s="21">
        <f t="shared" si="26"/>
        <v>16232.64334483325</v>
      </c>
      <c r="V31" s="22"/>
      <c r="W31" s="21">
        <f t="shared" si="27"/>
        <v>0</v>
      </c>
      <c r="X31" s="22"/>
      <c r="Y31" s="129">
        <f t="shared" si="11"/>
        <v>0</v>
      </c>
      <c r="Z31" s="22"/>
      <c r="AA31" s="21">
        <f t="shared" si="28"/>
        <v>115.46761531469929</v>
      </c>
      <c r="AB31" s="22"/>
      <c r="AC31" s="129">
        <f t="shared" si="13"/>
        <v>7.1642586302028558E-3</v>
      </c>
    </row>
    <row r="32" spans="1:31">
      <c r="A32" s="59">
        <f>MAX(A$14:A31)+1</f>
        <v>17</v>
      </c>
      <c r="C32" s="59" t="s">
        <v>47</v>
      </c>
      <c r="E32" s="59">
        <v>32</v>
      </c>
      <c r="G32" s="20">
        <v>3</v>
      </c>
      <c r="I32" s="20">
        <v>196649.98999999996</v>
      </c>
      <c r="J32" s="22"/>
      <c r="K32" s="24">
        <f>'Exhibit-RMP(RMM-2)'!G721/1000</f>
        <v>13353.13</v>
      </c>
      <c r="L32" s="22"/>
      <c r="M32" s="24">
        <f>'Exhibit-RMP(RMM-2)'!K721/1000</f>
        <v>503.78884297197999</v>
      </c>
      <c r="N32" s="22"/>
      <c r="O32" s="21">
        <f t="shared" ref="O32" si="29">K32+M32</f>
        <v>13856.91884297198</v>
      </c>
      <c r="P32" s="22"/>
      <c r="Q32" s="21">
        <f t="shared" ref="Q32" si="30">K32</f>
        <v>13353.13</v>
      </c>
      <c r="S32" s="24">
        <f>'Exhibit-RMP(RMM-2)'!O721/1000</f>
        <v>517.02044925022994</v>
      </c>
      <c r="T32" s="22"/>
      <c r="U32" s="21">
        <f t="shared" ref="U32" si="31">Q32+S32</f>
        <v>13870.15044925023</v>
      </c>
      <c r="V32" s="22"/>
      <c r="W32" s="21">
        <f t="shared" ref="W32" si="32">Q32-K32</f>
        <v>0</v>
      </c>
      <c r="X32" s="22"/>
      <c r="Y32" s="129">
        <f t="shared" ref="Y32" si="33">W32/K32</f>
        <v>0</v>
      </c>
      <c r="Z32" s="22"/>
      <c r="AA32" s="21">
        <f t="shared" ref="AA32" si="34">U32-O32</f>
        <v>13.231606278250183</v>
      </c>
      <c r="AB32" s="22"/>
      <c r="AC32" s="129">
        <f t="shared" ref="AC32" si="35">AA32/O32</f>
        <v>9.5487362148772735E-4</v>
      </c>
    </row>
    <row r="33" spans="1:31">
      <c r="A33" s="59">
        <f>MAX(A$14:A32)+1</f>
        <v>18</v>
      </c>
      <c r="C33" s="59" t="s">
        <v>48</v>
      </c>
      <c r="E33" s="59">
        <v>34</v>
      </c>
      <c r="G33" s="20">
        <v>1</v>
      </c>
      <c r="I33" s="20">
        <v>242230</v>
      </c>
      <c r="J33" s="22"/>
      <c r="K33" s="24">
        <f>'Exhibit-RMP(RMM-2)'!G725/1000</f>
        <v>13027.75819123467</v>
      </c>
      <c r="L33" s="22"/>
      <c r="M33" s="24">
        <f>'Exhibit-RMP(RMM-2)'!K725/1000</f>
        <v>0</v>
      </c>
      <c r="N33" s="22"/>
      <c r="O33" s="21">
        <f t="shared" ref="O33" si="36">K33+M33</f>
        <v>13027.75819123467</v>
      </c>
      <c r="P33" s="22"/>
      <c r="Q33" s="21">
        <f t="shared" ref="Q33" si="37">K33</f>
        <v>13027.75819123467</v>
      </c>
      <c r="S33" s="24">
        <f>'Exhibit-RMP(RMM-2)'!O725/1000</f>
        <v>0</v>
      </c>
      <c r="T33" s="22"/>
      <c r="U33" s="21">
        <f t="shared" ref="U33" si="38">Q33+S33</f>
        <v>13027.75819123467</v>
      </c>
      <c r="V33" s="22"/>
      <c r="W33" s="21">
        <f t="shared" ref="W33" si="39">Q33-K33</f>
        <v>0</v>
      </c>
      <c r="X33" s="22"/>
      <c r="Y33" s="129">
        <f t="shared" ref="Y33" si="40">W33/K33</f>
        <v>0</v>
      </c>
      <c r="Z33" s="22"/>
      <c r="AA33" s="21">
        <f t="shared" ref="AA33" si="41">U33-O33</f>
        <v>0</v>
      </c>
      <c r="AB33" s="22"/>
      <c r="AC33" s="129">
        <f t="shared" ref="AC33" si="42">AA33/O33</f>
        <v>0</v>
      </c>
    </row>
    <row r="34" spans="1:31">
      <c r="A34" s="59">
        <f>MAX(A$14:A31)+1</f>
        <v>17</v>
      </c>
      <c r="C34" s="59" t="s">
        <v>49</v>
      </c>
      <c r="E34" s="61" t="s">
        <v>28</v>
      </c>
      <c r="G34" s="20">
        <v>1</v>
      </c>
      <c r="I34" s="20">
        <v>617100</v>
      </c>
      <c r="J34" s="22"/>
      <c r="K34" s="24">
        <f>'Exhibit-RMP(RMM-2)'!G736/1000</f>
        <v>31874.342000000001</v>
      </c>
      <c r="L34" s="22"/>
      <c r="M34" s="24">
        <f>'Exhibit-RMP(RMM-2)'!K736/1000</f>
        <v>6766.0182880472103</v>
      </c>
      <c r="N34" s="22"/>
      <c r="O34" s="21">
        <f t="shared" si="24"/>
        <v>38640.36028804721</v>
      </c>
      <c r="P34" s="22"/>
      <c r="Q34" s="21">
        <f t="shared" si="25"/>
        <v>31874.342000000001</v>
      </c>
      <c r="S34" s="24">
        <f>'Exhibit-RMP(RMM-2)'!O736/1000</f>
        <v>7393.6957092246603</v>
      </c>
      <c r="T34" s="22"/>
      <c r="U34" s="21">
        <f t="shared" si="26"/>
        <v>39268.037709224664</v>
      </c>
      <c r="V34" s="22"/>
      <c r="W34" s="21">
        <f t="shared" si="27"/>
        <v>0</v>
      </c>
      <c r="X34" s="22"/>
      <c r="Y34" s="129">
        <f t="shared" si="11"/>
        <v>0</v>
      </c>
      <c r="Z34" s="22"/>
      <c r="AA34" s="21">
        <f t="shared" si="28"/>
        <v>627.67742117745365</v>
      </c>
      <c r="AB34" s="22"/>
      <c r="AC34" s="129">
        <f t="shared" si="13"/>
        <v>1.6244088214974948E-2</v>
      </c>
    </row>
    <row r="35" spans="1:31">
      <c r="A35" s="59">
        <f>MAX(A$14:A34)+1</f>
        <v>19</v>
      </c>
      <c r="C35" s="59" t="s">
        <v>50</v>
      </c>
      <c r="E35" s="61" t="s">
        <v>28</v>
      </c>
      <c r="G35" s="20">
        <v>1</v>
      </c>
      <c r="I35" s="20">
        <v>705455.54894656001</v>
      </c>
      <c r="J35" s="22"/>
      <c r="K35" s="24">
        <f>'Exhibit-RMP(RMM-2)'!G744/1000</f>
        <v>31979.111000000001</v>
      </c>
      <c r="L35" s="22"/>
      <c r="M35" s="24">
        <f>'Exhibit-RMP(RMM-2)'!K744/1000</f>
        <v>6788.2576981298198</v>
      </c>
      <c r="N35" s="22"/>
      <c r="O35" s="21">
        <f t="shared" si="24"/>
        <v>38767.368698129823</v>
      </c>
      <c r="P35" s="22"/>
      <c r="Q35" s="21">
        <f t="shared" si="25"/>
        <v>31979.111000000001</v>
      </c>
      <c r="S35" s="24">
        <f>'Exhibit-RMP(RMM-2)'!O744/1000</f>
        <v>7417.9983467195707</v>
      </c>
      <c r="T35" s="22"/>
      <c r="U35" s="21">
        <f t="shared" si="26"/>
        <v>39397.109346719575</v>
      </c>
      <c r="V35" s="22"/>
      <c r="W35" s="21">
        <f t="shared" si="27"/>
        <v>0</v>
      </c>
      <c r="X35" s="22"/>
      <c r="Y35" s="129">
        <f t="shared" si="11"/>
        <v>0</v>
      </c>
      <c r="Z35" s="22"/>
      <c r="AA35" s="21">
        <f t="shared" si="28"/>
        <v>629.7406485897518</v>
      </c>
      <c r="AB35" s="22"/>
      <c r="AC35" s="129">
        <f t="shared" si="13"/>
        <v>1.624409057765458E-2</v>
      </c>
    </row>
    <row r="36" spans="1:31">
      <c r="A36" s="59">
        <f>MAX(A$14:A35)+1</f>
        <v>20</v>
      </c>
      <c r="C36" s="59" t="s">
        <v>51</v>
      </c>
      <c r="E36" s="61" t="s">
        <v>28</v>
      </c>
      <c r="G36" s="20">
        <v>1</v>
      </c>
      <c r="I36" s="20">
        <v>1288626.1969999999</v>
      </c>
      <c r="J36" s="22"/>
      <c r="K36" s="24">
        <f>'Exhibit-RMP(RMM-2)'!G751/1000</f>
        <v>62957.593017309679</v>
      </c>
      <c r="L36" s="22"/>
      <c r="M36" s="24">
        <f>'Exhibit-RMP(RMM-2)'!K751/1000</f>
        <v>0</v>
      </c>
      <c r="N36" s="22"/>
      <c r="O36" s="21">
        <f t="shared" si="24"/>
        <v>62957.593017309679</v>
      </c>
      <c r="P36" s="22"/>
      <c r="Q36" s="21">
        <f t="shared" si="25"/>
        <v>62957.593017309679</v>
      </c>
      <c r="S36" s="24">
        <f>'Exhibit-RMP(RMM-2)'!O751/1000</f>
        <v>0</v>
      </c>
      <c r="T36" s="22"/>
      <c r="U36" s="21">
        <f t="shared" si="26"/>
        <v>62957.593017309679</v>
      </c>
      <c r="V36" s="22"/>
      <c r="W36" s="21">
        <f t="shared" si="27"/>
        <v>0</v>
      </c>
      <c r="X36" s="22"/>
      <c r="Y36" s="129">
        <f t="shared" si="11"/>
        <v>0</v>
      </c>
      <c r="Z36" s="22"/>
      <c r="AA36" s="21">
        <f t="shared" si="28"/>
        <v>0</v>
      </c>
      <c r="AB36" s="22"/>
      <c r="AC36" s="129">
        <f t="shared" si="13"/>
        <v>0</v>
      </c>
    </row>
    <row r="37" spans="1:31">
      <c r="A37" s="59">
        <f>MAX(A$14:A36)+1</f>
        <v>21</v>
      </c>
      <c r="C37" s="59" t="s">
        <v>27</v>
      </c>
      <c r="E37" s="61" t="s">
        <v>28</v>
      </c>
      <c r="G37" s="130"/>
      <c r="I37" s="130"/>
      <c r="J37" s="22"/>
      <c r="K37" s="23">
        <f>SUM('Exhibit-RMP(RMM-2)'!G762,'Exhibit-RMP(RMM-2)'!G763,'Exhibit-RMP(RMM-2)'!G764)/1000</f>
        <v>4797.3367799999996</v>
      </c>
      <c r="L37" s="22"/>
      <c r="M37" s="23"/>
      <c r="N37" s="22"/>
      <c r="O37" s="23">
        <f t="shared" si="24"/>
        <v>4797.3367799999996</v>
      </c>
      <c r="P37" s="22"/>
      <c r="Q37" s="23">
        <f t="shared" si="25"/>
        <v>4797.3367799999996</v>
      </c>
      <c r="S37" s="23"/>
      <c r="T37" s="22"/>
      <c r="U37" s="23">
        <f t="shared" si="26"/>
        <v>4797.3367799999996</v>
      </c>
      <c r="V37" s="22"/>
      <c r="W37" s="23">
        <f t="shared" si="27"/>
        <v>0</v>
      </c>
      <c r="X37" s="22"/>
      <c r="Y37" s="131">
        <f t="shared" si="11"/>
        <v>0</v>
      </c>
      <c r="Z37" s="22"/>
      <c r="AA37" s="23">
        <f t="shared" si="28"/>
        <v>0</v>
      </c>
      <c r="AB37" s="22"/>
      <c r="AC37" s="131">
        <f t="shared" si="13"/>
        <v>0</v>
      </c>
    </row>
    <row r="38" spans="1:31">
      <c r="A38" s="59">
        <f>MAX(A$14:A37)+1</f>
        <v>22</v>
      </c>
      <c r="C38" s="37" t="s">
        <v>52</v>
      </c>
      <c r="G38" s="20">
        <v>116605</v>
      </c>
      <c r="I38" s="20">
        <v>17979702.507882744</v>
      </c>
      <c r="J38" s="22"/>
      <c r="K38" s="21">
        <f>SUM(K20:K21,K23:K25,K27:K28,K30:K37)</f>
        <v>1275011.1129885442</v>
      </c>
      <c r="L38" s="22"/>
      <c r="M38" s="21">
        <f>SUM(M20:M21,M23:M25,M27:M28,M30:M37)</f>
        <v>300110.0407127653</v>
      </c>
      <c r="N38" s="22"/>
      <c r="O38" s="21">
        <f>SUM(O20:O21,O23:O25,O27:O28,O30:O37)</f>
        <v>1575121.15370131</v>
      </c>
      <c r="P38" s="22"/>
      <c r="Q38" s="21">
        <f>SUM(Q20:Q21,Q23:Q25,Q27:Q28,Q30:Q37)</f>
        <v>1275011.1129885442</v>
      </c>
      <c r="S38" s="21">
        <f>SUM(S20:S21,S23:S25,S27:S28,S30:S37)</f>
        <v>325232.43888848368</v>
      </c>
      <c r="T38" s="22"/>
      <c r="U38" s="21">
        <f>SUM(U20:U21,U23:U25,U27:U28,U30:U37)</f>
        <v>1600243.5518770281</v>
      </c>
      <c r="V38" s="22"/>
      <c r="W38" s="21">
        <f>SUM(W20:W21,W23:W25,W27:W28,W30:W37)</f>
        <v>0</v>
      </c>
      <c r="X38" s="22"/>
      <c r="Y38" s="129">
        <f t="shared" si="11"/>
        <v>0</v>
      </c>
      <c r="Z38" s="22"/>
      <c r="AA38" s="21">
        <f>SUM(AA20:AA21,AA23:AA25,AA27:AA28,AA30:AA37)</f>
        <v>25122.398175718423</v>
      </c>
      <c r="AB38" s="22"/>
      <c r="AC38" s="129">
        <f t="shared" si="13"/>
        <v>1.5949502117144684E-2</v>
      </c>
    </row>
    <row r="39" spans="1:31" ht="24.95" customHeight="1">
      <c r="C39" s="37" t="s">
        <v>53</v>
      </c>
      <c r="G39" s="20"/>
      <c r="I39" s="20"/>
      <c r="J39" s="22"/>
      <c r="K39" s="21"/>
      <c r="L39" s="22"/>
      <c r="M39" s="21"/>
      <c r="N39" s="22"/>
      <c r="O39" s="21"/>
      <c r="P39" s="22"/>
      <c r="Q39" s="21"/>
      <c r="S39" s="21"/>
      <c r="T39" s="22"/>
      <c r="U39" s="21"/>
      <c r="V39" s="22"/>
      <c r="W39" s="21"/>
      <c r="X39" s="22"/>
      <c r="Y39" s="129"/>
      <c r="Z39" s="22"/>
      <c r="AA39" s="21"/>
      <c r="AB39" s="22"/>
      <c r="AC39" s="129"/>
    </row>
    <row r="40" spans="1:31">
      <c r="A40" s="59">
        <f>MAX(A$14:A39)+1</f>
        <v>23</v>
      </c>
      <c r="C40" s="59" t="s">
        <v>54</v>
      </c>
      <c r="E40" s="59">
        <v>7</v>
      </c>
      <c r="G40" s="20">
        <v>6491</v>
      </c>
      <c r="I40" s="20">
        <v>10497.984469308627</v>
      </c>
      <c r="J40" s="22"/>
      <c r="K40" s="24">
        <f>'Exhibit-RMP(RMM-2)'!G316/1000</f>
        <v>1383.2668705464662</v>
      </c>
      <c r="L40" s="22"/>
      <c r="M40" s="24">
        <f>'Exhibit-RMP(RMM-2)'!K316/1000</f>
        <v>200.51425725181016</v>
      </c>
      <c r="N40" s="22"/>
      <c r="O40" s="21">
        <f t="shared" ref="O40:O44" si="43">K40+M40</f>
        <v>1583.7811277982764</v>
      </c>
      <c r="P40" s="22"/>
      <c r="Q40" s="21">
        <f t="shared" ref="Q40:Q44" si="44">K40</f>
        <v>1383.2668705464662</v>
      </c>
      <c r="S40" s="24">
        <f>'Exhibit-RMP(RMM-2)'!O316/1000</f>
        <v>223.26208093794685</v>
      </c>
      <c r="T40" s="22"/>
      <c r="U40" s="21">
        <f t="shared" ref="U40:U44" si="45">Q40+S40</f>
        <v>1606.528951484413</v>
      </c>
      <c r="V40" s="22"/>
      <c r="W40" s="21">
        <f t="shared" ref="W40:W44" si="46">Q40-K40</f>
        <v>0</v>
      </c>
      <c r="X40" s="22"/>
      <c r="Y40" s="129">
        <f t="shared" ref="Y40:Y49" si="47">W40/K40</f>
        <v>0</v>
      </c>
      <c r="Z40" s="22"/>
      <c r="AA40" s="21">
        <f t="shared" ref="AA40:AA44" si="48">U40-O40</f>
        <v>22.747823686136599</v>
      </c>
      <c r="AB40" s="22"/>
      <c r="AC40" s="129">
        <f t="shared" ref="AC40:AC49" si="49">AA40/O40</f>
        <v>1.4362984434446394E-2</v>
      </c>
    </row>
    <row r="41" spans="1:31">
      <c r="A41" s="59">
        <f>MAX(A$14:A40)+1</f>
        <v>24</v>
      </c>
      <c r="C41" s="59" t="s">
        <v>55</v>
      </c>
      <c r="E41" s="63">
        <v>11</v>
      </c>
      <c r="G41" s="20">
        <v>715</v>
      </c>
      <c r="I41" s="20">
        <v>13572.50823362934</v>
      </c>
      <c r="J41" s="22"/>
      <c r="K41" s="24">
        <f>'Exhibit-RMP(RMM-2)'!G431/1000</f>
        <v>3759.4048698993784</v>
      </c>
      <c r="L41" s="22"/>
      <c r="M41" s="24">
        <f>'Exhibit-RMP(RMM-2)'!K431/1000</f>
        <v>544.9521645081503</v>
      </c>
      <c r="N41" s="22"/>
      <c r="O41" s="21">
        <f t="shared" si="43"/>
        <v>4304.3570344075288</v>
      </c>
      <c r="P41" s="22"/>
      <c r="Q41" s="21">
        <f t="shared" si="44"/>
        <v>3759.4048698993784</v>
      </c>
      <c r="S41" s="24">
        <f>'Exhibit-RMP(RMM-2)'!O431/1000</f>
        <v>606.77557759364549</v>
      </c>
      <c r="T41" s="22"/>
      <c r="U41" s="21">
        <f t="shared" si="45"/>
        <v>4366.1804474930241</v>
      </c>
      <c r="V41" s="22"/>
      <c r="W41" s="21">
        <f t="shared" si="46"/>
        <v>0</v>
      </c>
      <c r="X41" s="22"/>
      <c r="Y41" s="129">
        <f t="shared" si="47"/>
        <v>0</v>
      </c>
      <c r="Z41" s="22"/>
      <c r="AA41" s="21">
        <f t="shared" si="48"/>
        <v>61.823413085495304</v>
      </c>
      <c r="AB41" s="22"/>
      <c r="AC41" s="129">
        <f t="shared" si="49"/>
        <v>1.4362984434446424E-2</v>
      </c>
    </row>
    <row r="42" spans="1:31">
      <c r="A42" s="59">
        <f>MAX(A$14:A41)+1</f>
        <v>25</v>
      </c>
      <c r="C42" s="59" t="s">
        <v>56</v>
      </c>
      <c r="E42" s="63">
        <v>12</v>
      </c>
      <c r="G42" s="20">
        <v>1229</v>
      </c>
      <c r="I42" s="133">
        <v>26868.87420437079</v>
      </c>
      <c r="J42" s="22"/>
      <c r="K42" s="24">
        <f>'Exhibit-RMP(RMM-2)'!G499/1000</f>
        <v>1384.8784946300007</v>
      </c>
      <c r="L42" s="22"/>
      <c r="M42" s="24">
        <f>'Exhibit-RMP(RMM-2)'!K499/1000</f>
        <v>200.7478734924357</v>
      </c>
      <c r="N42" s="22"/>
      <c r="O42" s="21">
        <f t="shared" si="43"/>
        <v>1585.6263681224364</v>
      </c>
      <c r="P42" s="22"/>
      <c r="Q42" s="21">
        <f t="shared" si="44"/>
        <v>1384.8784946300007</v>
      </c>
      <c r="S42" s="24">
        <f>'Exhibit-RMP(RMM-2)'!O499/1000</f>
        <v>223.5222003366261</v>
      </c>
      <c r="T42" s="22"/>
      <c r="U42" s="21">
        <f t="shared" si="45"/>
        <v>1608.4006949666268</v>
      </c>
      <c r="V42" s="22"/>
      <c r="W42" s="21">
        <f t="shared" si="46"/>
        <v>0</v>
      </c>
      <c r="X42" s="22"/>
      <c r="Y42" s="129">
        <f t="shared" si="47"/>
        <v>0</v>
      </c>
      <c r="Z42" s="22"/>
      <c r="AA42" s="21">
        <f t="shared" si="48"/>
        <v>22.774326844190455</v>
      </c>
      <c r="AB42" s="22"/>
      <c r="AC42" s="129">
        <f t="shared" si="49"/>
        <v>1.4362984434446478E-2</v>
      </c>
      <c r="AE42" s="125">
        <f>SUM(AA40:AA42)/SUM(O40:O42)</f>
        <v>1.4362984434446429E-2</v>
      </c>
    </row>
    <row r="43" spans="1:31">
      <c r="A43" s="59">
        <f>MAX(A$14:A42)+1</f>
        <v>26</v>
      </c>
      <c r="C43" s="59" t="s">
        <v>57</v>
      </c>
      <c r="E43" s="59">
        <v>15</v>
      </c>
      <c r="G43" s="134">
        <v>637</v>
      </c>
      <c r="I43" s="134">
        <v>15963.151062719233</v>
      </c>
      <c r="J43" s="22"/>
      <c r="K43" s="24">
        <f>'Exhibit-RMP(RMM-2)'!G507/1000</f>
        <v>781.11300000000006</v>
      </c>
      <c r="L43" s="22"/>
      <c r="M43" s="24">
        <f>'Exhibit-RMP(RMM-2)'!K507/1000</f>
        <v>296.75200296538998</v>
      </c>
      <c r="N43" s="22"/>
      <c r="O43" s="24">
        <f t="shared" si="43"/>
        <v>1077.86500296539</v>
      </c>
      <c r="P43" s="22"/>
      <c r="Q43" s="24">
        <f t="shared" si="44"/>
        <v>781.11300000000006</v>
      </c>
      <c r="S43" s="24">
        <f>'Exhibit-RMP(RMM-2)'!O507/1000</f>
        <v>330.41775638733003</v>
      </c>
      <c r="T43" s="22"/>
      <c r="U43" s="24">
        <f t="shared" si="45"/>
        <v>1111.53075638733</v>
      </c>
      <c r="V43" s="22"/>
      <c r="W43" s="24">
        <f t="shared" si="46"/>
        <v>0</v>
      </c>
      <c r="X43" s="22"/>
      <c r="Y43" s="135">
        <f t="shared" si="47"/>
        <v>0</v>
      </c>
      <c r="Z43" s="22"/>
      <c r="AA43" s="24">
        <f t="shared" si="48"/>
        <v>33.665753421940053</v>
      </c>
      <c r="AB43" s="22"/>
      <c r="AC43" s="135">
        <f t="shared" si="49"/>
        <v>3.1233738296836653E-2</v>
      </c>
    </row>
    <row r="44" spans="1:31">
      <c r="A44" s="59">
        <f>MAX(A$14:A43)+1</f>
        <v>27</v>
      </c>
      <c r="C44" s="59" t="s">
        <v>58</v>
      </c>
      <c r="E44" s="59">
        <v>15</v>
      </c>
      <c r="G44" s="132">
        <v>2734</v>
      </c>
      <c r="I44" s="132">
        <v>7776.3704443165416</v>
      </c>
      <c r="J44" s="22"/>
      <c r="K44" s="23">
        <f>'Exhibit-RMP(RMM-2)'!G512/1000</f>
        <v>802.61</v>
      </c>
      <c r="L44" s="22"/>
      <c r="M44" s="23">
        <f>'Exhibit-RMP(RMM-2)'!K512/1000</f>
        <v>145.61367481848001</v>
      </c>
      <c r="N44" s="22"/>
      <c r="O44" s="23">
        <f t="shared" si="43"/>
        <v>948.22367481848005</v>
      </c>
      <c r="P44" s="22"/>
      <c r="Q44" s="23">
        <f t="shared" si="44"/>
        <v>802.61</v>
      </c>
      <c r="S44" s="23">
        <f>'Exhibit-RMP(RMM-2)'!O512/1000</f>
        <v>162.13316793266998</v>
      </c>
      <c r="T44" s="22"/>
      <c r="U44" s="23">
        <f t="shared" si="45"/>
        <v>964.74316793266996</v>
      </c>
      <c r="V44" s="22"/>
      <c r="W44" s="23">
        <f t="shared" si="46"/>
        <v>0</v>
      </c>
      <c r="X44" s="22"/>
      <c r="Y44" s="131">
        <f t="shared" si="47"/>
        <v>0</v>
      </c>
      <c r="Z44" s="22"/>
      <c r="AA44" s="23">
        <f t="shared" si="48"/>
        <v>16.519493114189913</v>
      </c>
      <c r="AB44" s="22"/>
      <c r="AC44" s="131">
        <f t="shared" si="49"/>
        <v>1.742151514762829E-2</v>
      </c>
      <c r="AE44" s="125">
        <f>SUM(AA43:AA44)/SUM(O43:O44)</f>
        <v>2.4769521238834642E-2</v>
      </c>
    </row>
    <row r="45" spans="1:31">
      <c r="A45" s="59">
        <f>MAX(A$14:A44)+1</f>
        <v>28</v>
      </c>
      <c r="C45" s="64" t="s">
        <v>59</v>
      </c>
      <c r="D45" s="25"/>
      <c r="F45" s="25"/>
      <c r="G45" s="20">
        <v>11806</v>
      </c>
      <c r="H45" s="25"/>
      <c r="I45" s="20">
        <v>74678.888414344532</v>
      </c>
      <c r="J45" s="21"/>
      <c r="K45" s="21">
        <f>SUM(K40:K44)</f>
        <v>8111.2732350758452</v>
      </c>
      <c r="L45" s="21"/>
      <c r="M45" s="21">
        <f>SUM(M40:M44)</f>
        <v>1388.579973036266</v>
      </c>
      <c r="N45" s="21"/>
      <c r="O45" s="21">
        <f>SUM(O40:O44)</f>
        <v>9499.853208112112</v>
      </c>
      <c r="P45" s="21"/>
      <c r="Q45" s="21">
        <f>SUM(Q40:Q44)</f>
        <v>8111.2732350758452</v>
      </c>
      <c r="R45" s="25"/>
      <c r="S45" s="21">
        <f>SUM(S40:S44)</f>
        <v>1546.1107831882184</v>
      </c>
      <c r="T45" s="21"/>
      <c r="U45" s="21">
        <f>SUM(U40:U44)</f>
        <v>9657.3840182640633</v>
      </c>
      <c r="V45" s="21"/>
      <c r="W45" s="21">
        <f>SUM(W40:W44)</f>
        <v>0</v>
      </c>
      <c r="X45" s="21"/>
      <c r="Y45" s="129">
        <f t="shared" si="47"/>
        <v>0</v>
      </c>
      <c r="Z45" s="21"/>
      <c r="AA45" s="21">
        <f>SUM(AA40:AA44)</f>
        <v>157.53081015195232</v>
      </c>
      <c r="AB45" s="21"/>
      <c r="AC45" s="129">
        <f t="shared" si="49"/>
        <v>1.6582446770591536E-2</v>
      </c>
    </row>
    <row r="46" spans="1:31" ht="21.95" customHeight="1">
      <c r="A46" s="59">
        <f>MAX(A$14:A45)+1</f>
        <v>29</v>
      </c>
      <c r="C46" s="59" t="s">
        <v>60</v>
      </c>
      <c r="E46" s="61" t="s">
        <v>28</v>
      </c>
      <c r="G46" s="20">
        <v>4</v>
      </c>
      <c r="I46" s="20">
        <v>7.3869999999999996</v>
      </c>
      <c r="J46" s="22"/>
      <c r="K46" s="24">
        <f>'Exhibit-RMP(RMM-2)'!G758/1000</f>
        <v>0.55700000000000005</v>
      </c>
      <c r="L46" s="22"/>
      <c r="M46" s="24">
        <f>'Exhibit-RMP(RMM-2)'!K758/1000</f>
        <v>0</v>
      </c>
      <c r="N46" s="22"/>
      <c r="O46" s="21">
        <f t="shared" ref="O46:O47" si="50">K46+M46</f>
        <v>0.55700000000000005</v>
      </c>
      <c r="P46" s="22"/>
      <c r="Q46" s="21">
        <f t="shared" ref="Q46:Q47" si="51">K46</f>
        <v>0.55700000000000005</v>
      </c>
      <c r="S46" s="24">
        <f>'Exhibit-RMP(RMM-2)'!O758/1000</f>
        <v>0</v>
      </c>
      <c r="T46" s="22"/>
      <c r="U46" s="21">
        <f t="shared" ref="U46:U47" si="52">Q46+S46</f>
        <v>0.55700000000000005</v>
      </c>
      <c r="V46" s="22"/>
      <c r="W46" s="21">
        <f t="shared" ref="W46" si="53">Q46-K46</f>
        <v>0</v>
      </c>
      <c r="X46" s="22"/>
      <c r="Y46" s="129">
        <f t="shared" si="47"/>
        <v>0</v>
      </c>
      <c r="Z46" s="22"/>
      <c r="AA46" s="21">
        <f t="shared" ref="AA46:AA47" si="54">U46-O46</f>
        <v>0</v>
      </c>
      <c r="AB46" s="22"/>
      <c r="AC46" s="129">
        <f t="shared" si="49"/>
        <v>0</v>
      </c>
    </row>
    <row r="47" spans="1:31">
      <c r="A47" s="59">
        <f>MAX(A$14:A46)+1</f>
        <v>30</v>
      </c>
      <c r="C47" s="59" t="s">
        <v>27</v>
      </c>
      <c r="D47" s="26"/>
      <c r="E47" s="61" t="s">
        <v>28</v>
      </c>
      <c r="F47" s="26"/>
      <c r="G47" s="136"/>
      <c r="H47" s="26"/>
      <c r="I47" s="136"/>
      <c r="J47" s="22"/>
      <c r="K47" s="23">
        <f>'Exhibit-RMP(RMM-2)'!G765/1000</f>
        <v>4.6550400000000005</v>
      </c>
      <c r="L47" s="22"/>
      <c r="M47" s="23"/>
      <c r="N47" s="22"/>
      <c r="O47" s="23">
        <f t="shared" si="50"/>
        <v>4.6550400000000005</v>
      </c>
      <c r="P47" s="22"/>
      <c r="Q47" s="23">
        <f t="shared" si="51"/>
        <v>4.6550400000000005</v>
      </c>
      <c r="R47" s="26"/>
      <c r="S47" s="23"/>
      <c r="T47" s="22"/>
      <c r="U47" s="23">
        <f t="shared" si="52"/>
        <v>4.6550400000000005</v>
      </c>
      <c r="V47" s="22"/>
      <c r="W47" s="23"/>
      <c r="X47" s="22"/>
      <c r="Y47" s="131">
        <f t="shared" si="47"/>
        <v>0</v>
      </c>
      <c r="Z47" s="22"/>
      <c r="AA47" s="23">
        <f t="shared" si="54"/>
        <v>0</v>
      </c>
      <c r="AB47" s="22"/>
      <c r="AC47" s="131">
        <f t="shared" si="49"/>
        <v>0</v>
      </c>
      <c r="AD47" s="58"/>
      <c r="AE47" s="58"/>
    </row>
    <row r="48" spans="1:31" ht="21.95" customHeight="1">
      <c r="A48" s="59">
        <f>MAX(A$14:A47)+1</f>
        <v>31</v>
      </c>
      <c r="C48" s="37" t="s">
        <v>61</v>
      </c>
      <c r="G48" s="132">
        <v>11810</v>
      </c>
      <c r="I48" s="132">
        <v>74686.275414344535</v>
      </c>
      <c r="J48" s="22"/>
      <c r="K48" s="23">
        <f>SUM(K45:K47)</f>
        <v>8116.4852750758446</v>
      </c>
      <c r="L48" s="22"/>
      <c r="M48" s="23">
        <f>SUM(M45:M47)</f>
        <v>1388.579973036266</v>
      </c>
      <c r="N48" s="22"/>
      <c r="O48" s="23">
        <f>SUM(O45:O47)</f>
        <v>9505.0652481121124</v>
      </c>
      <c r="P48" s="22"/>
      <c r="Q48" s="23">
        <f>SUM(Q45:Q47)</f>
        <v>8116.4852750758446</v>
      </c>
      <c r="S48" s="23">
        <f>SUM(S45:S47)</f>
        <v>1546.1107831882184</v>
      </c>
      <c r="T48" s="22"/>
      <c r="U48" s="23">
        <f>SUM(U45:U47)</f>
        <v>9662.5960582640637</v>
      </c>
      <c r="V48" s="22"/>
      <c r="W48" s="23">
        <f>SUM(W45:W47)</f>
        <v>0</v>
      </c>
      <c r="X48" s="22"/>
      <c r="Y48" s="131">
        <f t="shared" si="47"/>
        <v>0</v>
      </c>
      <c r="Z48" s="22"/>
      <c r="AA48" s="23">
        <f>SUM(AA45:AA47)</f>
        <v>157.53081015195232</v>
      </c>
      <c r="AB48" s="22"/>
      <c r="AC48" s="131">
        <f t="shared" si="49"/>
        <v>1.6573353894992038E-2</v>
      </c>
      <c r="AD48" s="150"/>
      <c r="AE48" s="150"/>
    </row>
    <row r="49" spans="1:31" ht="24.95" customHeight="1" thickBot="1">
      <c r="A49" s="59">
        <f>MAX(A$14:A48)+1</f>
        <v>32</v>
      </c>
      <c r="C49" s="37" t="s">
        <v>62</v>
      </c>
      <c r="G49" s="137">
        <v>986283</v>
      </c>
      <c r="I49" s="137">
        <v>24837388.160662249</v>
      </c>
      <c r="J49" s="22"/>
      <c r="K49" s="27">
        <f>K48+K38+K18</f>
        <v>2033141.22535362</v>
      </c>
      <c r="L49" s="22"/>
      <c r="M49" s="27">
        <f>M48+M38+M18</f>
        <v>431578.18825682561</v>
      </c>
      <c r="N49" s="22"/>
      <c r="O49" s="27">
        <f>O48+O38+O18</f>
        <v>2464719.4136104463</v>
      </c>
      <c r="P49" s="22"/>
      <c r="Q49" s="27">
        <f>Q48+Q38+Q18</f>
        <v>2033141.22535362</v>
      </c>
      <c r="S49" s="27">
        <f>S48+S38+S18</f>
        <v>471615.30525667523</v>
      </c>
      <c r="T49" s="22"/>
      <c r="U49" s="27">
        <f>U48+U38+U18</f>
        <v>2504756.5306102959</v>
      </c>
      <c r="V49" s="22"/>
      <c r="W49" s="27">
        <f>W48+W38+W18</f>
        <v>0</v>
      </c>
      <c r="X49" s="22"/>
      <c r="Y49" s="138">
        <f t="shared" si="47"/>
        <v>0</v>
      </c>
      <c r="Z49" s="22"/>
      <c r="AA49" s="27">
        <f>AA48+AA38+AA18</f>
        <v>40037.116999849743</v>
      </c>
      <c r="AB49" s="22"/>
      <c r="AC49" s="138">
        <f t="shared" si="49"/>
        <v>1.6244087168202786E-2</v>
      </c>
      <c r="AD49" s="151"/>
      <c r="AE49" s="24"/>
    </row>
    <row r="50" spans="1:31" ht="16.5" thickTop="1"/>
    <row r="51" spans="1:31">
      <c r="G51" s="201"/>
    </row>
  </sheetData>
  <printOptions horizontalCentered="1"/>
  <pageMargins left="0.5" right="0.5" top="1" bottom="0.5" header="0.5" footer="0.2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003E-831F-4E32-AB7C-BEA42ADD86B7}">
  <dimension ref="A1:Q139"/>
  <sheetViews>
    <sheetView topLeftCell="A97" zoomScale="80" zoomScaleNormal="80" workbookViewId="0">
      <selection activeCell="I35" sqref="I35"/>
    </sheetView>
  </sheetViews>
  <sheetFormatPr defaultColWidth="8.75" defaultRowHeight="12.75"/>
  <cols>
    <col min="1" max="1" width="8" style="359" bestFit="1" customWidth="1"/>
    <col min="2" max="2" width="51" style="359" bestFit="1" customWidth="1"/>
    <col min="3" max="3" width="8.125" style="359" bestFit="1" customWidth="1"/>
    <col min="4" max="4" width="3.25" style="359" bestFit="1" customWidth="1"/>
    <col min="5" max="5" width="5.75" style="359" bestFit="1" customWidth="1"/>
    <col min="6" max="6" width="12.875" style="359" bestFit="1" customWidth="1"/>
    <col min="7" max="7" width="12.5" style="359" bestFit="1" customWidth="1"/>
    <col min="8" max="8" width="12.25" style="359" bestFit="1" customWidth="1"/>
    <col min="9" max="9" width="12.5" style="359" customWidth="1"/>
    <col min="10" max="10" width="12.125" style="359" customWidth="1"/>
    <col min="11" max="11" width="12.25" style="359" bestFit="1" customWidth="1"/>
    <col min="12" max="12" width="11.75" style="359" bestFit="1" customWidth="1"/>
    <col min="13" max="13" width="12.625" style="359" bestFit="1" customWidth="1"/>
    <col min="14" max="14" width="12.25" style="359" bestFit="1" customWidth="1"/>
    <col min="15" max="16" width="12.75" style="359" bestFit="1" customWidth="1"/>
    <col min="17" max="17" width="15.625" style="360" bestFit="1" customWidth="1"/>
    <col min="18" max="16384" width="8.75" style="359"/>
  </cols>
  <sheetData>
    <row r="1" spans="1:17">
      <c r="A1" s="358" t="s">
        <v>512</v>
      </c>
    </row>
    <row r="2" spans="1:17">
      <c r="A2" s="361" t="s">
        <v>1</v>
      </c>
      <c r="B2" s="361"/>
      <c r="C2" s="362"/>
      <c r="D2" s="362"/>
      <c r="E2" s="362"/>
      <c r="F2" s="362"/>
      <c r="G2" s="362"/>
      <c r="H2" s="362"/>
      <c r="I2" s="362"/>
      <c r="J2" s="362"/>
      <c r="K2" s="363"/>
      <c r="L2" s="363"/>
      <c r="M2" s="362"/>
      <c r="N2" s="362"/>
      <c r="O2" s="362"/>
      <c r="P2" s="362"/>
      <c r="Q2" s="364"/>
    </row>
    <row r="3" spans="1:17">
      <c r="A3" s="361" t="s">
        <v>513</v>
      </c>
      <c r="B3" s="362"/>
      <c r="C3" s="362"/>
      <c r="D3" s="362"/>
      <c r="E3" s="362"/>
      <c r="F3" s="362"/>
      <c r="G3" s="362"/>
      <c r="H3" s="362"/>
      <c r="I3" s="362"/>
      <c r="J3" s="362"/>
      <c r="K3" s="363"/>
      <c r="L3" s="363"/>
      <c r="M3" s="362"/>
      <c r="N3" s="362"/>
      <c r="O3" s="362"/>
      <c r="P3" s="362"/>
      <c r="Q3" s="364"/>
    </row>
    <row r="4" spans="1:17">
      <c r="A4" s="361" t="s">
        <v>514</v>
      </c>
      <c r="B4" s="362"/>
      <c r="C4" s="362"/>
      <c r="D4" s="362"/>
      <c r="E4" s="362"/>
      <c r="F4" s="362"/>
      <c r="G4" s="362"/>
      <c r="H4" s="362"/>
      <c r="I4" s="362"/>
      <c r="J4" s="362"/>
      <c r="K4" s="363"/>
      <c r="L4" s="363"/>
      <c r="M4" s="362"/>
      <c r="N4" s="362"/>
      <c r="O4" s="362"/>
      <c r="P4" s="362"/>
      <c r="Q4" s="364"/>
    </row>
    <row r="5" spans="1:17">
      <c r="A5" s="361" t="s">
        <v>515</v>
      </c>
      <c r="B5" s="362"/>
      <c r="C5" s="362"/>
      <c r="D5" s="362"/>
      <c r="E5" s="362"/>
      <c r="F5" s="362"/>
      <c r="G5" s="362"/>
      <c r="H5" s="362"/>
      <c r="I5" s="362"/>
      <c r="J5" s="362"/>
      <c r="K5" s="363"/>
      <c r="L5" s="363"/>
      <c r="M5" s="362"/>
      <c r="N5" s="362"/>
      <c r="O5" s="362"/>
      <c r="P5" s="362"/>
      <c r="Q5" s="364"/>
    </row>
    <row r="6" spans="1:17">
      <c r="A6" s="361" t="s">
        <v>516</v>
      </c>
      <c r="B6" s="362"/>
      <c r="C6" s="362"/>
      <c r="D6" s="362"/>
      <c r="E6" s="362"/>
      <c r="F6" s="362"/>
      <c r="G6" s="362"/>
      <c r="H6" s="362"/>
      <c r="I6" s="362"/>
      <c r="J6" s="362"/>
      <c r="K6" s="363"/>
      <c r="L6" s="363"/>
      <c r="M6" s="362"/>
      <c r="N6" s="362"/>
      <c r="O6" s="362"/>
      <c r="P6" s="362"/>
      <c r="Q6" s="364"/>
    </row>
    <row r="7" spans="1:17">
      <c r="A7" s="361" t="s">
        <v>517</v>
      </c>
      <c r="B7" s="362"/>
      <c r="C7" s="362"/>
      <c r="D7" s="362"/>
      <c r="E7" s="362"/>
      <c r="F7" s="362"/>
      <c r="G7" s="362"/>
      <c r="H7" s="362"/>
      <c r="I7" s="362"/>
      <c r="J7" s="362"/>
      <c r="K7" s="363"/>
      <c r="L7" s="363"/>
      <c r="M7" s="362"/>
      <c r="N7" s="362"/>
      <c r="O7" s="362"/>
      <c r="P7" s="362"/>
      <c r="Q7" s="364"/>
    </row>
    <row r="8" spans="1:17">
      <c r="A8" s="365"/>
      <c r="G8" s="358"/>
      <c r="H8" s="358"/>
    </row>
    <row r="9" spans="1:17">
      <c r="A9" s="366" t="s">
        <v>518</v>
      </c>
      <c r="B9" s="366" t="s">
        <v>519</v>
      </c>
      <c r="C9" s="366" t="s">
        <v>520</v>
      </c>
      <c r="D9" s="367"/>
      <c r="E9" s="366" t="s">
        <v>148</v>
      </c>
      <c r="F9" s="366" t="s">
        <v>521</v>
      </c>
      <c r="G9" s="366" t="s">
        <v>522</v>
      </c>
      <c r="H9" s="366" t="s">
        <v>523</v>
      </c>
      <c r="I9" s="366" t="s">
        <v>524</v>
      </c>
      <c r="J9" s="366" t="s">
        <v>525</v>
      </c>
      <c r="K9" s="366" t="s">
        <v>526</v>
      </c>
      <c r="L9" s="366" t="s">
        <v>527</v>
      </c>
      <c r="M9" s="366" t="s">
        <v>528</v>
      </c>
      <c r="N9" s="366" t="s">
        <v>529</v>
      </c>
      <c r="O9" s="366" t="s">
        <v>530</v>
      </c>
      <c r="P9" s="366" t="s">
        <v>531</v>
      </c>
      <c r="Q9" s="366" t="s">
        <v>532</v>
      </c>
    </row>
    <row r="10" spans="1:17" ht="13.5" thickBot="1"/>
    <row r="11" spans="1:17" ht="13.5" thickTop="1">
      <c r="A11" s="368"/>
      <c r="B11" s="369"/>
      <c r="C11" s="370"/>
      <c r="D11" s="370"/>
      <c r="E11" s="369"/>
      <c r="F11" s="369"/>
      <c r="G11" s="371"/>
      <c r="H11" s="371"/>
      <c r="I11" s="371"/>
      <c r="J11" s="371"/>
      <c r="K11" s="372"/>
      <c r="L11" s="371"/>
      <c r="M11" s="371"/>
      <c r="N11" s="371"/>
      <c r="O11" s="371"/>
      <c r="P11" s="371"/>
      <c r="Q11" s="373"/>
    </row>
    <row r="12" spans="1:17">
      <c r="A12" s="374" t="s">
        <v>86</v>
      </c>
      <c r="B12" s="375"/>
      <c r="C12" s="376" t="s">
        <v>533</v>
      </c>
      <c r="D12" s="367"/>
      <c r="E12" s="377" t="s">
        <v>534</v>
      </c>
      <c r="F12" s="378"/>
      <c r="G12" s="377"/>
      <c r="H12" s="377"/>
      <c r="I12" s="377"/>
      <c r="J12" s="377"/>
      <c r="K12" s="377"/>
      <c r="L12" s="377"/>
      <c r="M12" s="377"/>
      <c r="N12" s="377"/>
      <c r="O12" s="379"/>
      <c r="P12" s="379"/>
      <c r="Q12" s="380"/>
    </row>
    <row r="13" spans="1:17" ht="38.25">
      <c r="A13" s="381" t="s">
        <v>97</v>
      </c>
      <c r="B13" s="382" t="s">
        <v>535</v>
      </c>
      <c r="C13" s="383" t="s">
        <v>536</v>
      </c>
      <c r="D13" s="383"/>
      <c r="E13" s="384"/>
      <c r="F13" s="385" t="s">
        <v>537</v>
      </c>
      <c r="G13" s="385" t="s">
        <v>538</v>
      </c>
      <c r="H13" s="385" t="s">
        <v>539</v>
      </c>
      <c r="I13" s="385" t="s">
        <v>540</v>
      </c>
      <c r="J13" s="385" t="s">
        <v>541</v>
      </c>
      <c r="K13" s="385" t="s">
        <v>542</v>
      </c>
      <c r="L13" s="385" t="s">
        <v>543</v>
      </c>
      <c r="M13" s="385" t="s">
        <v>544</v>
      </c>
      <c r="N13" s="385" t="s">
        <v>545</v>
      </c>
      <c r="O13" s="385" t="s">
        <v>546</v>
      </c>
      <c r="P13" s="385" t="s">
        <v>547</v>
      </c>
      <c r="Q13" s="386" t="s">
        <v>97</v>
      </c>
    </row>
    <row r="14" spans="1:17">
      <c r="A14" s="387" t="s">
        <v>518</v>
      </c>
      <c r="B14" s="388" t="s">
        <v>548</v>
      </c>
      <c r="C14" s="389"/>
      <c r="D14" s="389"/>
      <c r="E14" s="388"/>
      <c r="F14" s="388"/>
      <c r="G14" s="388"/>
      <c r="H14" s="388"/>
      <c r="I14" s="388"/>
      <c r="J14" s="388"/>
      <c r="K14" s="388"/>
      <c r="L14" s="388"/>
      <c r="M14" s="388"/>
      <c r="N14" s="388"/>
      <c r="O14" s="389"/>
      <c r="P14" s="390"/>
      <c r="Q14" s="391"/>
    </row>
    <row r="15" spans="1:17">
      <c r="A15" s="392" t="s">
        <v>112</v>
      </c>
      <c r="B15" s="393" t="s">
        <v>549</v>
      </c>
      <c r="C15" s="394">
        <v>0.75</v>
      </c>
      <c r="D15" s="395" t="s">
        <v>550</v>
      </c>
      <c r="E15" s="396">
        <v>0.25</v>
      </c>
      <c r="F15" s="397">
        <v>0.35813996172964169</v>
      </c>
      <c r="G15" s="397">
        <v>0.2715254646558789</v>
      </c>
      <c r="H15" s="397">
        <v>7.9772204472460168E-2</v>
      </c>
      <c r="I15" s="397">
        <v>1.0735125251442033E-3</v>
      </c>
      <c r="J15" s="397">
        <v>0.17817489786137647</v>
      </c>
      <c r="K15" s="397">
        <v>8.3959257178266664E-3</v>
      </c>
      <c r="L15" s="397">
        <v>2.8224092378510452E-4</v>
      </c>
      <c r="M15" s="397">
        <v>3.6376898047443145E-4</v>
      </c>
      <c r="N15" s="397">
        <v>6.3135270608976932E-2</v>
      </c>
      <c r="O15" s="397">
        <v>2.2206264746511536E-2</v>
      </c>
      <c r="P15" s="397">
        <v>1.6930487777923851E-2</v>
      </c>
      <c r="Q15" s="398">
        <v>1</v>
      </c>
    </row>
    <row r="16" spans="1:17">
      <c r="A16" s="399" t="s">
        <v>551</v>
      </c>
      <c r="B16" s="400" t="s">
        <v>549</v>
      </c>
      <c r="C16" s="401">
        <v>0.5</v>
      </c>
      <c r="D16" s="402" t="s">
        <v>550</v>
      </c>
      <c r="E16" s="396">
        <v>0.5</v>
      </c>
      <c r="F16" s="403">
        <v>0.33821490987196479</v>
      </c>
      <c r="G16" s="403">
        <v>0.27177852096801752</v>
      </c>
      <c r="H16" s="403">
        <v>8.2598891692376608E-2</v>
      </c>
      <c r="I16" s="403">
        <v>1.4626758398592172E-3</v>
      </c>
      <c r="J16" s="403">
        <v>0.18854598308114204</v>
      </c>
      <c r="K16" s="403">
        <v>8.9753865084701151E-3</v>
      </c>
      <c r="L16" s="403">
        <v>3.0218073837868858E-4</v>
      </c>
      <c r="M16" s="403">
        <v>4.7657048989094053E-4</v>
      </c>
      <c r="N16" s="403">
        <v>6.268279158953316E-2</v>
      </c>
      <c r="O16" s="403">
        <v>2.3609285121362324E-2</v>
      </c>
      <c r="P16" s="403">
        <v>2.1352804099004634E-2</v>
      </c>
      <c r="Q16" s="398">
        <v>1</v>
      </c>
    </row>
    <row r="17" spans="1:17">
      <c r="A17" s="404" t="s">
        <v>552</v>
      </c>
      <c r="B17" s="400" t="s">
        <v>549</v>
      </c>
      <c r="C17" s="401">
        <v>1</v>
      </c>
      <c r="D17" s="402" t="s">
        <v>550</v>
      </c>
      <c r="E17" s="405">
        <v>0</v>
      </c>
      <c r="F17" s="403">
        <v>0.37806501358731864</v>
      </c>
      <c r="G17" s="403">
        <v>0.27127240834374033</v>
      </c>
      <c r="H17" s="403">
        <v>7.6945517252543741E-2</v>
      </c>
      <c r="I17" s="403">
        <v>6.8434921042918927E-4</v>
      </c>
      <c r="J17" s="403">
        <v>0.1678038126416109</v>
      </c>
      <c r="K17" s="403">
        <v>7.816464927183216E-3</v>
      </c>
      <c r="L17" s="403">
        <v>2.6230110919152051E-4</v>
      </c>
      <c r="M17" s="403">
        <v>2.5096747105792232E-4</v>
      </c>
      <c r="N17" s="403">
        <v>6.3587749628420689E-2</v>
      </c>
      <c r="O17" s="403">
        <v>2.0803244371660746E-2</v>
      </c>
      <c r="P17" s="403">
        <v>1.2508171456843074E-2</v>
      </c>
      <c r="Q17" s="398">
        <v>1</v>
      </c>
    </row>
    <row r="18" spans="1:17">
      <c r="A18" s="399" t="s">
        <v>553</v>
      </c>
      <c r="B18" s="400" t="s">
        <v>554</v>
      </c>
      <c r="C18" s="402"/>
      <c r="D18" s="406"/>
      <c r="E18" s="400"/>
      <c r="F18" s="403">
        <v>0.53595656857175433</v>
      </c>
      <c r="G18" s="403">
        <v>0.2976589285121351</v>
      </c>
      <c r="H18" s="403">
        <v>7.4345701129033825E-2</v>
      </c>
      <c r="I18" s="403">
        <v>1.2027352295170235E-4</v>
      </c>
      <c r="J18" s="403">
        <v>0</v>
      </c>
      <c r="K18" s="403">
        <v>1.5924387194837446E-2</v>
      </c>
      <c r="L18" s="403">
        <v>2.2720748697620095E-4</v>
      </c>
      <c r="M18" s="403">
        <v>4.7089285975523504E-5</v>
      </c>
      <c r="N18" s="403">
        <v>7.5719844296335673E-2</v>
      </c>
      <c r="O18" s="403">
        <v>0</v>
      </c>
      <c r="P18" s="403">
        <v>0</v>
      </c>
      <c r="Q18" s="398">
        <v>0.99999999999999989</v>
      </c>
    </row>
    <row r="19" spans="1:17">
      <c r="A19" s="399" t="s">
        <v>555</v>
      </c>
      <c r="B19" s="400" t="s">
        <v>556</v>
      </c>
      <c r="C19" s="402"/>
      <c r="D19" s="406"/>
      <c r="E19" s="400"/>
      <c r="F19" s="403">
        <v>0.63134227358127437</v>
      </c>
      <c r="G19" s="403">
        <v>0.23221575368833883</v>
      </c>
      <c r="H19" s="403">
        <v>2.8456768355703321E-2</v>
      </c>
      <c r="I19" s="403">
        <v>2.2954503076252943E-3</v>
      </c>
      <c r="J19" s="403">
        <v>0</v>
      </c>
      <c r="K19" s="403">
        <v>2.50287624027247E-2</v>
      </c>
      <c r="L19" s="403">
        <v>1.5689801731709157E-4</v>
      </c>
      <c r="M19" s="403">
        <v>7.1229157649937112E-4</v>
      </c>
      <c r="N19" s="403">
        <v>7.9791802070516962E-2</v>
      </c>
      <c r="O19" s="403">
        <v>0</v>
      </c>
      <c r="P19" s="403">
        <v>0</v>
      </c>
      <c r="Q19" s="398">
        <v>0.99999999999999989</v>
      </c>
    </row>
    <row r="20" spans="1:17">
      <c r="A20" s="399" t="s">
        <v>557</v>
      </c>
      <c r="B20" s="400" t="s">
        <v>558</v>
      </c>
      <c r="C20" s="402"/>
      <c r="D20" s="406"/>
      <c r="E20" s="400"/>
      <c r="F20" s="403">
        <v>0.88779640182846875</v>
      </c>
      <c r="G20" s="403">
        <v>0</v>
      </c>
      <c r="H20" s="403">
        <v>0</v>
      </c>
      <c r="I20" s="403">
        <v>0</v>
      </c>
      <c r="J20" s="403">
        <v>0</v>
      </c>
      <c r="K20" s="403">
        <v>0</v>
      </c>
      <c r="L20" s="403">
        <v>0</v>
      </c>
      <c r="M20" s="403">
        <v>0</v>
      </c>
      <c r="N20" s="403">
        <v>0.11220359817153133</v>
      </c>
      <c r="O20" s="403">
        <v>0</v>
      </c>
      <c r="P20" s="403">
        <v>0</v>
      </c>
      <c r="Q20" s="398">
        <v>1</v>
      </c>
    </row>
    <row r="21" spans="1:17">
      <c r="A21" s="399" t="s">
        <v>114</v>
      </c>
      <c r="B21" s="400" t="s">
        <v>559</v>
      </c>
      <c r="C21" s="402"/>
      <c r="D21" s="406"/>
      <c r="E21" s="400"/>
      <c r="F21" s="403">
        <v>0.29836480615661093</v>
      </c>
      <c r="G21" s="403">
        <v>0.27228463359229471</v>
      </c>
      <c r="H21" s="403">
        <v>8.8252266132209461E-2</v>
      </c>
      <c r="I21" s="403">
        <v>2.2410024692892452E-3</v>
      </c>
      <c r="J21" s="403">
        <v>0.20928815352067318</v>
      </c>
      <c r="K21" s="403">
        <v>1.0134308089757016E-2</v>
      </c>
      <c r="L21" s="403">
        <v>3.420603675658567E-4</v>
      </c>
      <c r="M21" s="403">
        <v>7.0217350872395874E-4</v>
      </c>
      <c r="N21" s="403">
        <v>6.1777833550645637E-2</v>
      </c>
      <c r="O21" s="403">
        <v>2.6415325871063905E-2</v>
      </c>
      <c r="P21" s="403">
        <v>3.0197436741166192E-2</v>
      </c>
      <c r="Q21" s="398">
        <v>1.0000000000000002</v>
      </c>
    </row>
    <row r="22" spans="1:17">
      <c r="A22" s="399" t="s">
        <v>560</v>
      </c>
      <c r="B22" s="400" t="s">
        <v>561</v>
      </c>
      <c r="C22" s="406"/>
      <c r="D22" s="406"/>
      <c r="E22" s="400"/>
      <c r="F22" s="403">
        <v>0.86981333977363162</v>
      </c>
      <c r="G22" s="403">
        <v>1.6562455885057226E-2</v>
      </c>
      <c r="H22" s="403">
        <v>2.5272066907563599E-4</v>
      </c>
      <c r="I22" s="403">
        <v>8.5565084306089955E-3</v>
      </c>
      <c r="J22" s="403">
        <v>1.6729753419249724E-4</v>
      </c>
      <c r="K22" s="403">
        <v>3.658239414342606E-3</v>
      </c>
      <c r="L22" s="403">
        <v>2.7720694453471965E-3</v>
      </c>
      <c r="M22" s="403">
        <v>6.4586987442800448E-4</v>
      </c>
      <c r="N22" s="403">
        <v>9.7569471124416871E-2</v>
      </c>
      <c r="O22" s="403">
        <v>1.0139244496514984E-6</v>
      </c>
      <c r="P22" s="403">
        <v>1.0139244496514984E-6</v>
      </c>
      <c r="Q22" s="398">
        <v>1</v>
      </c>
    </row>
    <row r="23" spans="1:17">
      <c r="A23" s="399" t="s">
        <v>562</v>
      </c>
      <c r="B23" s="400" t="s">
        <v>563</v>
      </c>
      <c r="C23" s="406"/>
      <c r="D23" s="406"/>
      <c r="E23" s="400"/>
      <c r="F23" s="403">
        <v>0.8699503694982349</v>
      </c>
      <c r="G23" s="403">
        <v>1.9319110987168368E-2</v>
      </c>
      <c r="H23" s="403">
        <v>2.789026576587693E-3</v>
      </c>
      <c r="I23" s="403">
        <v>0</v>
      </c>
      <c r="J23" s="403">
        <v>2.7010460864221263E-3</v>
      </c>
      <c r="K23" s="403">
        <v>3.8791393998104024E-3</v>
      </c>
      <c r="L23" s="403">
        <v>2.7725061550357096E-3</v>
      </c>
      <c r="M23" s="403">
        <v>6.4597162427130464E-4</v>
      </c>
      <c r="N23" s="403">
        <v>9.7720477834860597E-2</v>
      </c>
      <c r="O23" s="403">
        <v>1.1117591880447541E-4</v>
      </c>
      <c r="P23" s="403">
        <v>1.1117591880447541E-4</v>
      </c>
      <c r="Q23" s="398">
        <v>0.99999999999999989</v>
      </c>
    </row>
    <row r="24" spans="1:17">
      <c r="A24" s="399" t="s">
        <v>564</v>
      </c>
      <c r="B24" s="400" t="s">
        <v>565</v>
      </c>
      <c r="C24" s="406"/>
      <c r="D24" s="406"/>
      <c r="E24" s="400"/>
      <c r="F24" s="403">
        <v>0.87052581258056771</v>
      </c>
      <c r="G24" s="403">
        <v>1.8007472907809421E-2</v>
      </c>
      <c r="H24" s="403">
        <v>2.7476967384582176E-4</v>
      </c>
      <c r="I24" s="403">
        <v>7.7035796472103447E-3</v>
      </c>
      <c r="J24" s="403">
        <v>8.2906608011306131E-4</v>
      </c>
      <c r="K24" s="403">
        <v>2.8727789916456192E-3</v>
      </c>
      <c r="L24" s="403">
        <v>2.4969278903939629E-3</v>
      </c>
      <c r="M24" s="403">
        <v>5.8176410613787661E-4</v>
      </c>
      <c r="N24" s="403">
        <v>9.669777883645668E-2</v>
      </c>
      <c r="O24" s="403">
        <v>5.0246429097761293E-6</v>
      </c>
      <c r="P24" s="403">
        <v>5.0246429097761293E-6</v>
      </c>
      <c r="Q24" s="398">
        <v>1</v>
      </c>
    </row>
    <row r="25" spans="1:17">
      <c r="A25" s="399" t="s">
        <v>566</v>
      </c>
      <c r="B25" s="400" t="s">
        <v>567</v>
      </c>
      <c r="C25" s="406"/>
      <c r="D25" s="406"/>
      <c r="E25" s="400"/>
      <c r="F25" s="403">
        <v>1</v>
      </c>
      <c r="G25" s="403">
        <v>0</v>
      </c>
      <c r="H25" s="403">
        <v>0</v>
      </c>
      <c r="I25" s="403">
        <v>0</v>
      </c>
      <c r="J25" s="403">
        <v>0</v>
      </c>
      <c r="K25" s="403">
        <v>0</v>
      </c>
      <c r="L25" s="403">
        <v>0</v>
      </c>
      <c r="M25" s="403">
        <v>0</v>
      </c>
      <c r="N25" s="403">
        <v>0</v>
      </c>
      <c r="O25" s="403">
        <v>0</v>
      </c>
      <c r="P25" s="403">
        <v>0</v>
      </c>
      <c r="Q25" s="398">
        <v>1</v>
      </c>
    </row>
    <row r="26" spans="1:17">
      <c r="A26" s="399" t="s">
        <v>568</v>
      </c>
      <c r="B26" s="400" t="s">
        <v>569</v>
      </c>
      <c r="C26" s="406"/>
      <c r="D26" s="406"/>
      <c r="E26" s="400"/>
      <c r="F26" s="403">
        <v>0</v>
      </c>
      <c r="G26" s="403">
        <v>0.1387906735027663</v>
      </c>
      <c r="H26" s="403">
        <v>1.3505305144649493E-3</v>
      </c>
      <c r="I26" s="403">
        <v>0</v>
      </c>
      <c r="J26" s="403">
        <v>3.9707905724439537E-4</v>
      </c>
      <c r="K26" s="403">
        <v>0</v>
      </c>
      <c r="L26" s="403">
        <v>0</v>
      </c>
      <c r="M26" s="403">
        <v>0</v>
      </c>
      <c r="N26" s="403">
        <v>0.85946171692552431</v>
      </c>
      <c r="O26" s="403">
        <v>0</v>
      </c>
      <c r="P26" s="403">
        <v>0</v>
      </c>
      <c r="Q26" s="398">
        <v>1</v>
      </c>
    </row>
    <row r="27" spans="1:17">
      <c r="A27" s="399" t="s">
        <v>570</v>
      </c>
      <c r="B27" s="400" t="s">
        <v>571</v>
      </c>
      <c r="C27" s="406"/>
      <c r="D27" s="406"/>
      <c r="E27" s="400"/>
      <c r="F27" s="403">
        <v>0</v>
      </c>
      <c r="G27" s="403">
        <v>0.15729693902145095</v>
      </c>
      <c r="H27" s="403">
        <v>1.2412629549288986E-2</v>
      </c>
      <c r="I27" s="403">
        <v>0</v>
      </c>
      <c r="J27" s="403">
        <v>1.4702337912750061E-2</v>
      </c>
      <c r="K27" s="403">
        <v>0.43480356712460833</v>
      </c>
      <c r="L27" s="403">
        <v>0</v>
      </c>
      <c r="M27" s="403">
        <v>0</v>
      </c>
      <c r="N27" s="403">
        <v>0.38054350445890583</v>
      </c>
      <c r="O27" s="403">
        <v>1.2051096649795132E-4</v>
      </c>
      <c r="P27" s="403">
        <v>1.2051096649795132E-4</v>
      </c>
      <c r="Q27" s="398">
        <v>1</v>
      </c>
    </row>
    <row r="28" spans="1:17">
      <c r="A28" s="399" t="s">
        <v>572</v>
      </c>
      <c r="B28" s="400" t="s">
        <v>573</v>
      </c>
      <c r="C28" s="406"/>
      <c r="D28" s="406"/>
      <c r="E28" s="400"/>
      <c r="F28" s="403">
        <v>0</v>
      </c>
      <c r="G28" s="403">
        <v>0</v>
      </c>
      <c r="H28" s="403">
        <v>0</v>
      </c>
      <c r="I28" s="403">
        <v>0.71456392887383569</v>
      </c>
      <c r="J28" s="403">
        <v>0</v>
      </c>
      <c r="K28" s="403">
        <v>0</v>
      </c>
      <c r="L28" s="403">
        <v>0.23149872988992379</v>
      </c>
      <c r="M28" s="403">
        <v>5.3937341236240471E-2</v>
      </c>
      <c r="N28" s="403">
        <v>0</v>
      </c>
      <c r="O28" s="403">
        <v>0</v>
      </c>
      <c r="P28" s="403">
        <v>0</v>
      </c>
      <c r="Q28" s="398">
        <v>1</v>
      </c>
    </row>
    <row r="29" spans="1:17">
      <c r="A29" s="399" t="s">
        <v>574</v>
      </c>
      <c r="B29" s="400" t="s">
        <v>575</v>
      </c>
      <c r="C29" s="406"/>
      <c r="D29" s="406"/>
      <c r="E29" s="400"/>
      <c r="F29" s="403">
        <v>0.87154504124384879</v>
      </c>
      <c r="G29" s="403">
        <v>1.9354524088331122E-2</v>
      </c>
      <c r="H29" s="403">
        <v>2.7941390313154452E-3</v>
      </c>
      <c r="I29" s="403">
        <v>0</v>
      </c>
      <c r="J29" s="403">
        <v>2.7059972675798549E-3</v>
      </c>
      <c r="K29" s="403">
        <v>2.0531894981716658E-3</v>
      </c>
      <c r="L29" s="403">
        <v>2.777588326829632E-3</v>
      </c>
      <c r="M29" s="403">
        <v>6.4715572940397792E-4</v>
      </c>
      <c r="N29" s="403">
        <v>9.7899605392517741E-2</v>
      </c>
      <c r="O29" s="403">
        <v>1.1137971100081923E-4</v>
      </c>
      <c r="P29" s="403">
        <v>1.1137971100081923E-4</v>
      </c>
      <c r="Q29" s="398">
        <v>0.99999999999999989</v>
      </c>
    </row>
    <row r="30" spans="1:17">
      <c r="A30" s="399" t="s">
        <v>576</v>
      </c>
      <c r="B30" s="400" t="s">
        <v>577</v>
      </c>
      <c r="C30" s="406"/>
      <c r="D30" s="406"/>
      <c r="E30" s="400"/>
      <c r="F30" s="403">
        <v>0.87170700003687007</v>
      </c>
      <c r="G30" s="403">
        <v>1.8031906647522845E-2</v>
      </c>
      <c r="H30" s="403">
        <v>2.7514249965687596E-4</v>
      </c>
      <c r="I30" s="403">
        <v>7.7140323776364959E-3</v>
      </c>
      <c r="J30" s="403">
        <v>8.3019101224042968E-4</v>
      </c>
      <c r="K30" s="403">
        <v>1.5198103044780161E-3</v>
      </c>
      <c r="L30" s="403">
        <v>2.5003158886138916E-3</v>
      </c>
      <c r="M30" s="403">
        <v>5.8255348246051542E-4</v>
      </c>
      <c r="N30" s="403">
        <v>9.6828984829160483E-2</v>
      </c>
      <c r="O30" s="403">
        <v>5.0314606802450285E-6</v>
      </c>
      <c r="P30" s="403">
        <v>5.0314606802450285E-6</v>
      </c>
      <c r="Q30" s="398">
        <v>1</v>
      </c>
    </row>
    <row r="31" spans="1:17">
      <c r="A31" s="399" t="s">
        <v>578</v>
      </c>
      <c r="B31" s="400" t="s">
        <v>579</v>
      </c>
      <c r="C31" s="406"/>
      <c r="D31" s="406"/>
      <c r="E31" s="400"/>
      <c r="F31" s="403">
        <v>0.35266832839603662</v>
      </c>
      <c r="G31" s="403">
        <v>5.1514463061520195E-2</v>
      </c>
      <c r="H31" s="403">
        <v>2.9741089307351721E-3</v>
      </c>
      <c r="I31" s="403">
        <v>6.0909392158023769E-3</v>
      </c>
      <c r="J31" s="403">
        <v>0</v>
      </c>
      <c r="K31" s="403">
        <v>2.4034601581976343E-3</v>
      </c>
      <c r="L31" s="403">
        <v>3.5273768927457016E-3</v>
      </c>
      <c r="M31" s="403">
        <v>5.077456297282323E-3</v>
      </c>
      <c r="N31" s="403">
        <v>0.57574386704767999</v>
      </c>
      <c r="O31" s="403">
        <v>0</v>
      </c>
      <c r="P31" s="403">
        <v>0</v>
      </c>
      <c r="Q31" s="398">
        <v>1</v>
      </c>
    </row>
    <row r="32" spans="1:17">
      <c r="A32" s="399" t="s">
        <v>580</v>
      </c>
      <c r="B32" s="400" t="s">
        <v>581</v>
      </c>
      <c r="C32" s="406"/>
      <c r="D32" s="406"/>
      <c r="E32" s="400"/>
      <c r="F32" s="403">
        <v>0.11886596185653295</v>
      </c>
      <c r="G32" s="403">
        <v>4.4267603866212389E-2</v>
      </c>
      <c r="H32" s="403">
        <v>0.15278530800125417</v>
      </c>
      <c r="I32" s="403">
        <v>5.0462787569879029E-4</v>
      </c>
      <c r="J32" s="403">
        <v>0.31577712755759307</v>
      </c>
      <c r="K32" s="403">
        <v>1.2884742679798545E-2</v>
      </c>
      <c r="L32" s="403">
        <v>0</v>
      </c>
      <c r="M32" s="403">
        <v>3.1636944559962512E-4</v>
      </c>
      <c r="N32" s="403">
        <v>0.35459825871731049</v>
      </c>
      <c r="O32" s="403">
        <v>0</v>
      </c>
      <c r="P32" s="403">
        <v>0</v>
      </c>
      <c r="Q32" s="398">
        <v>1</v>
      </c>
    </row>
    <row r="33" spans="1:17">
      <c r="A33" s="399" t="s">
        <v>582</v>
      </c>
      <c r="B33" s="400" t="s">
        <v>583</v>
      </c>
      <c r="C33" s="406"/>
      <c r="D33" s="406"/>
      <c r="E33" s="400"/>
      <c r="F33" s="403">
        <v>0.72048281319090746</v>
      </c>
      <c r="G33" s="403">
        <v>0.10158255134880706</v>
      </c>
      <c r="H33" s="403">
        <v>1.2945246527512434E-2</v>
      </c>
      <c r="I33" s="403">
        <v>0</v>
      </c>
      <c r="J33" s="403">
        <v>2.8234238963182338E-2</v>
      </c>
      <c r="K33" s="403">
        <v>1.0834227998598992E-2</v>
      </c>
      <c r="L33" s="403">
        <v>2.2551642240006956E-3</v>
      </c>
      <c r="M33" s="403">
        <v>5.2543511729643123E-4</v>
      </c>
      <c r="N33" s="403">
        <v>0.12054617923665066</v>
      </c>
      <c r="O33" s="403">
        <v>1.2970716965219466E-3</v>
      </c>
      <c r="P33" s="403">
        <v>1.2970716965219466E-3</v>
      </c>
      <c r="Q33" s="398">
        <v>0.99999999999999989</v>
      </c>
    </row>
    <row r="34" spans="1:17">
      <c r="A34" s="399" t="s">
        <v>584</v>
      </c>
      <c r="B34" s="400" t="s">
        <v>585</v>
      </c>
      <c r="C34" s="406"/>
      <c r="D34" s="406"/>
      <c r="E34" s="400"/>
      <c r="F34" s="403">
        <v>0.81367660738756753</v>
      </c>
      <c r="G34" s="403">
        <v>6.3735743264090428E-2</v>
      </c>
      <c r="H34" s="403">
        <v>4.8674104629329281E-3</v>
      </c>
      <c r="I34" s="403">
        <v>0</v>
      </c>
      <c r="J34" s="403">
        <v>0</v>
      </c>
      <c r="K34" s="403">
        <v>0</v>
      </c>
      <c r="L34" s="403">
        <v>2.8671340330887721E-3</v>
      </c>
      <c r="M34" s="403">
        <v>6.6801915840436997E-4</v>
      </c>
      <c r="N34" s="403">
        <v>0.11418508569391581</v>
      </c>
      <c r="O34" s="403">
        <v>0</v>
      </c>
      <c r="P34" s="403">
        <v>0</v>
      </c>
      <c r="Q34" s="398">
        <v>1</v>
      </c>
    </row>
    <row r="35" spans="1:17">
      <c r="A35" s="399" t="s">
        <v>586</v>
      </c>
      <c r="B35" s="400" t="s">
        <v>587</v>
      </c>
      <c r="C35" s="406"/>
      <c r="D35" s="406"/>
      <c r="E35" s="400"/>
      <c r="F35" s="403">
        <v>0.6985631611281452</v>
      </c>
      <c r="G35" s="403">
        <v>0.14629509563781565</v>
      </c>
      <c r="H35" s="403">
        <v>4.1221033137497053E-2</v>
      </c>
      <c r="I35" s="403">
        <v>0</v>
      </c>
      <c r="J35" s="403">
        <v>7.5633118692552015E-2</v>
      </c>
      <c r="K35" s="403">
        <v>-5.3853309135974746E-4</v>
      </c>
      <c r="L35" s="403">
        <v>0</v>
      </c>
      <c r="M35" s="403">
        <v>0</v>
      </c>
      <c r="N35" s="403">
        <v>3.8826124495349855E-2</v>
      </c>
      <c r="O35" s="403">
        <v>0</v>
      </c>
      <c r="P35" s="403">
        <v>0</v>
      </c>
      <c r="Q35" s="398">
        <v>0.99999999999999989</v>
      </c>
    </row>
    <row r="36" spans="1:17">
      <c r="A36" s="399" t="s">
        <v>588</v>
      </c>
      <c r="B36" s="400" t="s">
        <v>589</v>
      </c>
      <c r="C36" s="406"/>
      <c r="D36" s="406"/>
      <c r="E36" s="400"/>
      <c r="F36" s="403">
        <v>0.43458606161011543</v>
      </c>
      <c r="G36" s="403">
        <v>0.25710539825488599</v>
      </c>
      <c r="H36" s="403">
        <v>7.0662358076728715E-2</v>
      </c>
      <c r="I36" s="403">
        <v>2.5138786399193881E-3</v>
      </c>
      <c r="J36" s="403">
        <v>0.12941408487345221</v>
      </c>
      <c r="K36" s="403">
        <v>9.9557833107019773E-3</v>
      </c>
      <c r="L36" s="403">
        <v>3.370915918515725E-4</v>
      </c>
      <c r="M36" s="403">
        <v>3.1585567638525513E-4</v>
      </c>
      <c r="N36" s="403">
        <v>6.6407917020764942E-2</v>
      </c>
      <c r="O36" s="403">
        <v>1.6200630275174977E-2</v>
      </c>
      <c r="P36" s="403">
        <v>1.2500940670019556E-2</v>
      </c>
      <c r="Q36" s="398">
        <v>1</v>
      </c>
    </row>
    <row r="37" spans="1:17">
      <c r="A37" s="408" t="s">
        <v>590</v>
      </c>
      <c r="B37" s="409" t="s">
        <v>591</v>
      </c>
      <c r="C37" s="406"/>
      <c r="D37" s="406"/>
      <c r="E37" s="400"/>
      <c r="F37" s="403">
        <v>0.35609365853461433</v>
      </c>
      <c r="G37" s="403">
        <v>0.27156949694541549</v>
      </c>
      <c r="H37" s="403">
        <v>8.0062845262943674E-2</v>
      </c>
      <c r="I37" s="403">
        <v>1.1124821061035822E-3</v>
      </c>
      <c r="J37" s="403">
        <v>0.17923013364967666</v>
      </c>
      <c r="K37" s="403">
        <v>8.4539326354709614E-3</v>
      </c>
      <c r="L37" s="403">
        <v>2.8425487379092618E-4</v>
      </c>
      <c r="M37" s="403">
        <v>3.753181746762635E-4</v>
      </c>
      <c r="N37" s="403">
        <v>6.3092004799567974E-2</v>
      </c>
      <c r="O37" s="403">
        <v>2.2347739707932499E-2</v>
      </c>
      <c r="P37" s="403">
        <v>1.7378133309808304E-2</v>
      </c>
      <c r="Q37" s="398">
        <v>1.0000000000000007</v>
      </c>
    </row>
    <row r="38" spans="1:17">
      <c r="A38" s="408" t="s">
        <v>592</v>
      </c>
      <c r="B38" s="409" t="s">
        <v>593</v>
      </c>
      <c r="C38" s="406"/>
      <c r="D38" s="406"/>
      <c r="E38" s="400"/>
      <c r="F38" s="403">
        <v>0.35810409500621998</v>
      </c>
      <c r="G38" s="403">
        <v>0.27399448604931453</v>
      </c>
      <c r="H38" s="403">
        <v>8.0638934806560855E-2</v>
      </c>
      <c r="I38" s="403">
        <v>1.0172983676735067E-3</v>
      </c>
      <c r="J38" s="403">
        <v>0.18019829858526903</v>
      </c>
      <c r="K38" s="403">
        <v>8.46249486829799E-3</v>
      </c>
      <c r="L38" s="403">
        <v>2.4620010716485606E-4</v>
      </c>
      <c r="M38" s="403">
        <v>3.1174876108780501E-4</v>
      </c>
      <c r="N38" s="403">
        <v>5.743985671661947E-2</v>
      </c>
      <c r="O38" s="403">
        <v>2.2457446390503146E-2</v>
      </c>
      <c r="P38" s="403">
        <v>1.7129140341288963E-2</v>
      </c>
      <c r="Q38" s="398">
        <v>1</v>
      </c>
    </row>
    <row r="39" spans="1:17">
      <c r="A39" s="408" t="s">
        <v>594</v>
      </c>
      <c r="B39" s="409" t="s">
        <v>595</v>
      </c>
      <c r="C39" s="406"/>
      <c r="D39" s="406"/>
      <c r="E39" s="400"/>
      <c r="F39" s="403">
        <v>0.63401551466397732</v>
      </c>
      <c r="G39" s="403">
        <v>0.21584524192857396</v>
      </c>
      <c r="H39" s="403">
        <v>4.6306311741220657E-2</v>
      </c>
      <c r="I39" s="403">
        <v>6.2412082543778918E-3</v>
      </c>
      <c r="J39" s="403">
        <v>-1.3257305915144067E-4</v>
      </c>
      <c r="K39" s="403">
        <v>1.3923109222078366E-2</v>
      </c>
      <c r="L39" s="403">
        <v>5.06209222891417E-4</v>
      </c>
      <c r="M39" s="403">
        <v>2.2714241055981461E-4</v>
      </c>
      <c r="N39" s="403">
        <v>8.3186800867916993E-2</v>
      </c>
      <c r="O39" s="403">
        <v>-7.1398446667714924E-5</v>
      </c>
      <c r="P39" s="403">
        <v>-4.7566805776785232E-5</v>
      </c>
      <c r="Q39" s="398">
        <v>1.0000000000000004</v>
      </c>
    </row>
    <row r="40" spans="1:17">
      <c r="A40" s="408" t="s">
        <v>596</v>
      </c>
      <c r="B40" s="409" t="s">
        <v>597</v>
      </c>
      <c r="C40" s="406"/>
      <c r="D40" s="406"/>
      <c r="E40" s="400"/>
      <c r="F40" s="403">
        <v>1.5295653199346226</v>
      </c>
      <c r="G40" s="403">
        <v>0.48395410769073594</v>
      </c>
      <c r="H40" s="403">
        <v>-0.1728945083011362</v>
      </c>
      <c r="I40" s="403">
        <v>1.4117669635319196E-2</v>
      </c>
      <c r="J40" s="403">
        <v>-0.40271370143473323</v>
      </c>
      <c r="K40" s="403">
        <v>-2.5626972356934509E-3</v>
      </c>
      <c r="L40" s="403">
        <v>3.0981839880045233E-3</v>
      </c>
      <c r="M40" s="403">
        <v>5.8556899445396824E-4</v>
      </c>
      <c r="N40" s="403">
        <v>-0.51294508677050288</v>
      </c>
      <c r="O40" s="403">
        <v>3.3922257640787469E-2</v>
      </c>
      <c r="P40" s="403">
        <v>2.5872885858139245E-2</v>
      </c>
      <c r="Q40" s="398">
        <v>0.99999999999999745</v>
      </c>
    </row>
    <row r="41" spans="1:17">
      <c r="A41" s="408" t="s">
        <v>598</v>
      </c>
      <c r="B41" s="409" t="s">
        <v>599</v>
      </c>
      <c r="C41" s="406"/>
      <c r="D41" s="406"/>
      <c r="E41" s="400"/>
      <c r="F41" s="403">
        <v>0.43072105544208</v>
      </c>
      <c r="G41" s="403">
        <v>0.25583415660346986</v>
      </c>
      <c r="H41" s="403">
        <v>7.0795369241573633E-2</v>
      </c>
      <c r="I41" s="403">
        <v>3.2087267920328311E-3</v>
      </c>
      <c r="J41" s="403">
        <v>0.13099412055213092</v>
      </c>
      <c r="K41" s="403">
        <v>9.7491278871946474E-3</v>
      </c>
      <c r="L41" s="403">
        <v>3.4988865939277695E-4</v>
      </c>
      <c r="M41" s="403">
        <v>3.3272131848551201E-4</v>
      </c>
      <c r="N41" s="403">
        <v>6.9271141759839089E-2</v>
      </c>
      <c r="O41" s="403">
        <v>1.6307171754822204E-2</v>
      </c>
      <c r="P41" s="403">
        <v>1.2436519988978621E-2</v>
      </c>
      <c r="Q41" s="398">
        <v>1</v>
      </c>
    </row>
    <row r="42" spans="1:17">
      <c r="A42" s="408" t="s">
        <v>600</v>
      </c>
      <c r="B42" s="410" t="s">
        <v>601</v>
      </c>
      <c r="C42" s="406"/>
      <c r="D42" s="406"/>
      <c r="E42" s="400"/>
      <c r="F42" s="403">
        <v>0.43073837658792902</v>
      </c>
      <c r="G42" s="403">
        <v>0.25582065811712829</v>
      </c>
      <c r="H42" s="403">
        <v>7.079275949889445E-2</v>
      </c>
      <c r="I42" s="403">
        <v>3.2077650945759794E-3</v>
      </c>
      <c r="J42" s="403">
        <v>0.13099752141637033</v>
      </c>
      <c r="K42" s="403">
        <v>9.7491792455236346E-3</v>
      </c>
      <c r="L42" s="403">
        <v>3.4986131099246456E-4</v>
      </c>
      <c r="M42" s="403">
        <v>3.32579448073711E-4</v>
      </c>
      <c r="N42" s="403">
        <v>6.9266451013354879E-2</v>
      </c>
      <c r="O42" s="403">
        <v>1.6308462870067403E-2</v>
      </c>
      <c r="P42" s="403">
        <v>1.2436385397089963E-2</v>
      </c>
      <c r="Q42" s="398">
        <v>1</v>
      </c>
    </row>
    <row r="43" spans="1:17">
      <c r="A43" s="408" t="s">
        <v>602</v>
      </c>
      <c r="B43" s="409" t="s">
        <v>603</v>
      </c>
      <c r="C43" s="406"/>
      <c r="D43" s="406"/>
      <c r="E43" s="400"/>
      <c r="F43" s="403">
        <v>0.35813996172964169</v>
      </c>
      <c r="G43" s="403">
        <v>0.2715254646558789</v>
      </c>
      <c r="H43" s="403">
        <v>7.9772204472460168E-2</v>
      </c>
      <c r="I43" s="403">
        <v>1.0735125251442031E-3</v>
      </c>
      <c r="J43" s="403">
        <v>0.17817489786137647</v>
      </c>
      <c r="K43" s="403">
        <v>8.3959257178266664E-3</v>
      </c>
      <c r="L43" s="403">
        <v>2.8224092378510452E-4</v>
      </c>
      <c r="M43" s="403">
        <v>3.6376898047443156E-4</v>
      </c>
      <c r="N43" s="403">
        <v>6.3135270608976932E-2</v>
      </c>
      <c r="O43" s="403">
        <v>2.220626474651154E-2</v>
      </c>
      <c r="P43" s="403">
        <v>1.6930487777923851E-2</v>
      </c>
      <c r="Q43" s="398">
        <v>1</v>
      </c>
    </row>
    <row r="44" spans="1:17">
      <c r="A44" s="408" t="s">
        <v>604</v>
      </c>
      <c r="B44" s="409" t="s">
        <v>605</v>
      </c>
      <c r="C44" s="406"/>
      <c r="D44" s="406"/>
      <c r="E44" s="400"/>
      <c r="F44" s="403">
        <v>0.35813996172964174</v>
      </c>
      <c r="G44" s="403">
        <v>0.27152546465587896</v>
      </c>
      <c r="H44" s="403">
        <v>7.9772204472460181E-2</v>
      </c>
      <c r="I44" s="403">
        <v>1.0735125251442035E-3</v>
      </c>
      <c r="J44" s="403">
        <v>0.17817489786137652</v>
      </c>
      <c r="K44" s="403">
        <v>8.3959257178266664E-3</v>
      </c>
      <c r="L44" s="403">
        <v>2.8224092378510452E-4</v>
      </c>
      <c r="M44" s="403">
        <v>3.6376898047443145E-4</v>
      </c>
      <c r="N44" s="403">
        <v>6.3135270608976932E-2</v>
      </c>
      <c r="O44" s="403">
        <v>2.2206264746511536E-2</v>
      </c>
      <c r="P44" s="403">
        <v>1.6930487777923851E-2</v>
      </c>
      <c r="Q44" s="398">
        <v>1.0000000000000002</v>
      </c>
    </row>
    <row r="45" spans="1:17">
      <c r="A45" s="408" t="s">
        <v>606</v>
      </c>
      <c r="B45" s="409" t="s">
        <v>607</v>
      </c>
      <c r="C45" s="406"/>
      <c r="D45" s="406"/>
      <c r="E45" s="400"/>
      <c r="F45" s="403">
        <v>0.63099967726214234</v>
      </c>
      <c r="G45" s="403">
        <v>0.21249925791264335</v>
      </c>
      <c r="H45" s="403">
        <v>4.6023137004395455E-2</v>
      </c>
      <c r="I45" s="403">
        <v>9.09505886477735E-3</v>
      </c>
      <c r="J45" s="403">
        <v>8.5965562803141471E-4</v>
      </c>
      <c r="K45" s="403">
        <v>1.3482102507382247E-2</v>
      </c>
      <c r="L45" s="403">
        <v>5.3639082022036502E-4</v>
      </c>
      <c r="M45" s="403">
        <v>2.4654373588658973E-4</v>
      </c>
      <c r="N45" s="403">
        <v>8.6179191668171201E-2</v>
      </c>
      <c r="O45" s="403">
        <v>3.9492298174898943E-5</v>
      </c>
      <c r="P45" s="403">
        <v>3.9492298174898943E-5</v>
      </c>
      <c r="Q45" s="398">
        <v>1</v>
      </c>
    </row>
    <row r="46" spans="1:17">
      <c r="A46" s="408" t="s">
        <v>608</v>
      </c>
      <c r="B46" s="409" t="s">
        <v>609</v>
      </c>
      <c r="C46" s="406"/>
      <c r="D46" s="406"/>
      <c r="E46" s="400"/>
      <c r="F46" s="403">
        <v>0.43073837658792902</v>
      </c>
      <c r="G46" s="403">
        <v>0.25582065811712829</v>
      </c>
      <c r="H46" s="403">
        <v>7.079275949889445E-2</v>
      </c>
      <c r="I46" s="403">
        <v>3.2077650945759794E-3</v>
      </c>
      <c r="J46" s="403">
        <v>0.13099752141637033</v>
      </c>
      <c r="K46" s="403">
        <v>9.7491792455236346E-3</v>
      </c>
      <c r="L46" s="403">
        <v>3.4986131099246456E-4</v>
      </c>
      <c r="M46" s="403">
        <v>3.32579448073711E-4</v>
      </c>
      <c r="N46" s="403">
        <v>6.9266451013354879E-2</v>
      </c>
      <c r="O46" s="403">
        <v>1.6308462870067403E-2</v>
      </c>
      <c r="P46" s="403">
        <v>1.2436385397089963E-2</v>
      </c>
      <c r="Q46" s="398">
        <v>1</v>
      </c>
    </row>
    <row r="47" spans="1:17">
      <c r="A47" s="408" t="s">
        <v>610</v>
      </c>
      <c r="B47" s="409" t="s">
        <v>611</v>
      </c>
      <c r="C47" s="406"/>
      <c r="D47" s="406"/>
      <c r="E47" s="400"/>
      <c r="F47" s="403">
        <v>0.43073837658792902</v>
      </c>
      <c r="G47" s="403">
        <v>0.25582065811712829</v>
      </c>
      <c r="H47" s="403">
        <v>7.079275949889445E-2</v>
      </c>
      <c r="I47" s="403">
        <v>3.2077650945759794E-3</v>
      </c>
      <c r="J47" s="403">
        <v>0.13099752141637033</v>
      </c>
      <c r="K47" s="403">
        <v>9.7491792455236346E-3</v>
      </c>
      <c r="L47" s="403">
        <v>3.4986131099246456E-4</v>
      </c>
      <c r="M47" s="403">
        <v>3.32579448073711E-4</v>
      </c>
      <c r="N47" s="403">
        <v>6.9266451013354879E-2</v>
      </c>
      <c r="O47" s="403">
        <v>1.6308462870067403E-2</v>
      </c>
      <c r="P47" s="403">
        <v>1.2436385397089963E-2</v>
      </c>
      <c r="Q47" s="398">
        <v>1</v>
      </c>
    </row>
    <row r="48" spans="1:17">
      <c r="A48" s="408" t="s">
        <v>612</v>
      </c>
      <c r="B48" s="410" t="s">
        <v>613</v>
      </c>
      <c r="C48" s="406"/>
      <c r="D48" s="406"/>
      <c r="E48" s="400"/>
      <c r="F48" s="403">
        <v>0.33333333333333331</v>
      </c>
      <c r="G48" s="403">
        <v>0</v>
      </c>
      <c r="H48" s="403">
        <v>0</v>
      </c>
      <c r="I48" s="403">
        <v>0</v>
      </c>
      <c r="J48" s="403">
        <v>0</v>
      </c>
      <c r="K48" s="403">
        <v>0.33333333333333331</v>
      </c>
      <c r="L48" s="403">
        <v>0</v>
      </c>
      <c r="M48" s="403">
        <v>0</v>
      </c>
      <c r="N48" s="403">
        <v>0.33333333333333331</v>
      </c>
      <c r="O48" s="403">
        <v>0</v>
      </c>
      <c r="P48" s="403">
        <v>0</v>
      </c>
      <c r="Q48" s="398">
        <v>1</v>
      </c>
    </row>
    <row r="49" spans="1:17">
      <c r="A49" s="399" t="s">
        <v>614</v>
      </c>
      <c r="B49" s="400" t="s">
        <v>615</v>
      </c>
      <c r="C49" s="406"/>
      <c r="D49" s="406"/>
      <c r="E49" s="400"/>
      <c r="F49" s="403">
        <v>0.43048853594104036</v>
      </c>
      <c r="G49" s="403">
        <v>0.25625791107097018</v>
      </c>
      <c r="H49" s="403">
        <v>7.0840217299357064E-2</v>
      </c>
      <c r="I49" s="403">
        <v>2.4146115569536521E-3</v>
      </c>
      <c r="J49" s="403">
        <v>0.13142080149920213</v>
      </c>
      <c r="K49" s="403">
        <v>9.8206829959889327E-3</v>
      </c>
      <c r="L49" s="403">
        <v>3.4949558992612381E-4</v>
      </c>
      <c r="M49" s="403">
        <v>3.3743807652214042E-4</v>
      </c>
      <c r="N49" s="403">
        <v>6.9186879620690256E-2</v>
      </c>
      <c r="O49" s="403">
        <v>1.6366120820222433E-2</v>
      </c>
      <c r="P49" s="403">
        <v>1.2517305529126829E-2</v>
      </c>
      <c r="Q49" s="398">
        <v>1.0000000000000002</v>
      </c>
    </row>
    <row r="50" spans="1:17">
      <c r="A50" s="408" t="s">
        <v>616</v>
      </c>
      <c r="B50" s="409" t="s">
        <v>617</v>
      </c>
      <c r="C50" s="406"/>
      <c r="D50" s="406"/>
      <c r="E50" s="400"/>
      <c r="F50" s="403">
        <v>0.3576496842834353</v>
      </c>
      <c r="G50" s="403">
        <v>0.27153169138007255</v>
      </c>
      <c r="H50" s="403">
        <v>7.9841758168044244E-2</v>
      </c>
      <c r="I50" s="403">
        <v>1.0830883093107192E-3</v>
      </c>
      <c r="J50" s="403">
        <v>0.17843008962761414</v>
      </c>
      <c r="K50" s="403">
        <v>8.4101839771598321E-3</v>
      </c>
      <c r="L50" s="403">
        <v>2.8273156448439129E-4</v>
      </c>
      <c r="M50" s="403">
        <v>3.6654458358753778E-4</v>
      </c>
      <c r="N50" s="403">
        <v>6.3124136873431366E-2</v>
      </c>
      <c r="O50" s="403">
        <v>2.2240787579941083E-2</v>
      </c>
      <c r="P50" s="403">
        <v>1.703930365291902E-2</v>
      </c>
      <c r="Q50" s="398">
        <v>1.0000000000000002</v>
      </c>
    </row>
    <row r="51" spans="1:17">
      <c r="A51" s="408" t="s">
        <v>618</v>
      </c>
      <c r="B51" s="409" t="s">
        <v>619</v>
      </c>
      <c r="C51" s="406"/>
      <c r="D51" s="406"/>
      <c r="E51" s="400"/>
      <c r="F51" s="403">
        <v>0.35813996172964174</v>
      </c>
      <c r="G51" s="403">
        <v>0.27152546465587896</v>
      </c>
      <c r="H51" s="403">
        <v>7.9772204472460195E-2</v>
      </c>
      <c r="I51" s="403">
        <v>1.0735125251442035E-3</v>
      </c>
      <c r="J51" s="403">
        <v>0.17817489786137647</v>
      </c>
      <c r="K51" s="403">
        <v>8.3959257178266682E-3</v>
      </c>
      <c r="L51" s="403">
        <v>2.8224092378510452E-4</v>
      </c>
      <c r="M51" s="403">
        <v>3.637689804744314E-4</v>
      </c>
      <c r="N51" s="403">
        <v>6.3135270608976946E-2</v>
      </c>
      <c r="O51" s="403">
        <v>2.220626474651154E-2</v>
      </c>
      <c r="P51" s="403">
        <v>1.6930487777923851E-2</v>
      </c>
      <c r="Q51" s="398">
        <v>1</v>
      </c>
    </row>
    <row r="52" spans="1:17">
      <c r="A52" s="408" t="s">
        <v>620</v>
      </c>
      <c r="B52" s="409" t="s">
        <v>621</v>
      </c>
      <c r="C52" s="406"/>
      <c r="D52" s="406"/>
      <c r="E52" s="400"/>
      <c r="F52" s="403">
        <v>0.63139649828091304</v>
      </c>
      <c r="G52" s="403">
        <v>0.21498236295962214</v>
      </c>
      <c r="H52" s="403">
        <v>4.6127416535309669E-2</v>
      </c>
      <c r="I52" s="403">
        <v>6.1252397829514296E-3</v>
      </c>
      <c r="J52" s="403">
        <v>6.859251416376043E-4</v>
      </c>
      <c r="K52" s="403">
        <v>1.3838091633587577E-2</v>
      </c>
      <c r="L52" s="403">
        <v>5.2322205811450783E-4</v>
      </c>
      <c r="M52" s="403">
        <v>2.5716800100795208E-4</v>
      </c>
      <c r="N52" s="403">
        <v>8.6001053253868101E-2</v>
      </c>
      <c r="O52" s="403">
        <v>3.1511176494295162E-5</v>
      </c>
      <c r="P52" s="403">
        <v>3.1511176494295162E-5</v>
      </c>
      <c r="Q52" s="398">
        <v>1.0000000000000007</v>
      </c>
    </row>
    <row r="53" spans="1:17">
      <c r="A53" s="408" t="s">
        <v>622</v>
      </c>
      <c r="B53" s="409" t="s">
        <v>623</v>
      </c>
      <c r="C53" s="406"/>
      <c r="D53" s="406"/>
      <c r="E53" s="400"/>
      <c r="F53" s="403">
        <v>0.87052581258056694</v>
      </c>
      <c r="G53" s="403">
        <v>1.8007472907809373E-2</v>
      </c>
      <c r="H53" s="403">
        <v>2.7476967384582095E-4</v>
      </c>
      <c r="I53" s="403">
        <v>7.7035796472103343E-3</v>
      </c>
      <c r="J53" s="403">
        <v>8.2906608011305979E-4</v>
      </c>
      <c r="K53" s="403">
        <v>2.8727789916456184E-3</v>
      </c>
      <c r="L53" s="403">
        <v>2.4969278903939573E-3</v>
      </c>
      <c r="M53" s="403">
        <v>5.817641061378752E-4</v>
      </c>
      <c r="N53" s="403">
        <v>9.6697778836456402E-2</v>
      </c>
      <c r="O53" s="403">
        <v>5.0246429097761209E-6</v>
      </c>
      <c r="P53" s="403">
        <v>5.0246429097761209E-6</v>
      </c>
      <c r="Q53" s="398">
        <v>0.99999999999999878</v>
      </c>
    </row>
    <row r="54" spans="1:17">
      <c r="A54" s="408" t="s">
        <v>624</v>
      </c>
      <c r="B54" s="409" t="s">
        <v>625</v>
      </c>
      <c r="C54" s="406"/>
      <c r="D54" s="406"/>
      <c r="E54" s="400"/>
      <c r="F54" s="403">
        <v>0.43048853594104036</v>
      </c>
      <c r="G54" s="403">
        <v>0.25625791107097018</v>
      </c>
      <c r="H54" s="403">
        <v>7.0840217299357064E-2</v>
      </c>
      <c r="I54" s="403">
        <v>2.4146115569536521E-3</v>
      </c>
      <c r="J54" s="403">
        <v>0.13142080149920213</v>
      </c>
      <c r="K54" s="403">
        <v>9.8206829959889327E-3</v>
      </c>
      <c r="L54" s="403">
        <v>3.4949558992612381E-4</v>
      </c>
      <c r="M54" s="403">
        <v>3.3743807652214042E-4</v>
      </c>
      <c r="N54" s="403">
        <v>6.9186879620690256E-2</v>
      </c>
      <c r="O54" s="403">
        <v>1.6366120820222433E-2</v>
      </c>
      <c r="P54" s="403">
        <v>1.2517305529126829E-2</v>
      </c>
      <c r="Q54" s="398">
        <v>1.0000000000000002</v>
      </c>
    </row>
    <row r="55" spans="1:17">
      <c r="A55" s="399" t="s">
        <v>626</v>
      </c>
      <c r="B55" s="400" t="s">
        <v>627</v>
      </c>
      <c r="C55" s="406"/>
      <c r="D55" s="406"/>
      <c r="E55" s="400"/>
      <c r="F55" s="403">
        <v>0.35813996172964174</v>
      </c>
      <c r="G55" s="403">
        <v>0.2715254646558789</v>
      </c>
      <c r="H55" s="403">
        <v>7.9772204472460181E-2</v>
      </c>
      <c r="I55" s="403">
        <v>1.0735125251442033E-3</v>
      </c>
      <c r="J55" s="403">
        <v>0.1781748978613765</v>
      </c>
      <c r="K55" s="403">
        <v>8.3959257178266664E-3</v>
      </c>
      <c r="L55" s="403">
        <v>2.8224092378510452E-4</v>
      </c>
      <c r="M55" s="403">
        <v>3.6376898047443156E-4</v>
      </c>
      <c r="N55" s="403">
        <v>6.3135270608976932E-2</v>
      </c>
      <c r="O55" s="403">
        <v>2.220626474651154E-2</v>
      </c>
      <c r="P55" s="403">
        <v>1.6930487777923855E-2</v>
      </c>
      <c r="Q55" s="398">
        <v>1</v>
      </c>
    </row>
    <row r="56" spans="1:17">
      <c r="A56" s="408" t="s">
        <v>628</v>
      </c>
      <c r="B56" s="409" t="s">
        <v>603</v>
      </c>
      <c r="C56" s="406"/>
      <c r="D56" s="406"/>
      <c r="E56" s="400"/>
      <c r="F56" s="403">
        <v>0.35813996172964169</v>
      </c>
      <c r="G56" s="403">
        <v>0.2715254646558789</v>
      </c>
      <c r="H56" s="403">
        <v>7.9772204472460168E-2</v>
      </c>
      <c r="I56" s="403">
        <v>1.0735125251442031E-3</v>
      </c>
      <c r="J56" s="403">
        <v>0.17817489786137647</v>
      </c>
      <c r="K56" s="403">
        <v>8.3959257178266664E-3</v>
      </c>
      <c r="L56" s="403">
        <v>2.8224092378510452E-4</v>
      </c>
      <c r="M56" s="403">
        <v>3.6376898047443156E-4</v>
      </c>
      <c r="N56" s="403">
        <v>6.3135270608976932E-2</v>
      </c>
      <c r="O56" s="403">
        <v>2.220626474651154E-2</v>
      </c>
      <c r="P56" s="403">
        <v>1.6930487777923851E-2</v>
      </c>
      <c r="Q56" s="398">
        <v>1</v>
      </c>
    </row>
    <row r="57" spans="1:17">
      <c r="A57" s="408" t="s">
        <v>629</v>
      </c>
      <c r="B57" s="409" t="s">
        <v>605</v>
      </c>
      <c r="C57" s="406"/>
      <c r="D57" s="406"/>
      <c r="E57" s="400"/>
      <c r="F57" s="403">
        <v>0.35813996172964174</v>
      </c>
      <c r="G57" s="403">
        <v>0.27152546465587896</v>
      </c>
      <c r="H57" s="403">
        <v>7.9772204472460181E-2</v>
      </c>
      <c r="I57" s="403">
        <v>1.0735125251442035E-3</v>
      </c>
      <c r="J57" s="403">
        <v>0.17817489786137652</v>
      </c>
      <c r="K57" s="403">
        <v>8.3959257178266664E-3</v>
      </c>
      <c r="L57" s="403">
        <v>2.8224092378510452E-4</v>
      </c>
      <c r="M57" s="403">
        <v>3.6376898047443145E-4</v>
      </c>
      <c r="N57" s="403">
        <v>6.3135270608976932E-2</v>
      </c>
      <c r="O57" s="403">
        <v>2.2206264746511536E-2</v>
      </c>
      <c r="P57" s="403">
        <v>1.6930487777923851E-2</v>
      </c>
      <c r="Q57" s="398">
        <v>1.0000000000000002</v>
      </c>
    </row>
    <row r="58" spans="1:17">
      <c r="A58" s="408" t="s">
        <v>630</v>
      </c>
      <c r="B58" s="409" t="s">
        <v>607</v>
      </c>
      <c r="C58" s="406"/>
      <c r="D58" s="406"/>
      <c r="E58" s="400"/>
      <c r="F58" s="403">
        <v>9.0909090909090912E-2</v>
      </c>
      <c r="G58" s="403">
        <v>9.0909090909090912E-2</v>
      </c>
      <c r="H58" s="403">
        <v>9.0909090909090912E-2</v>
      </c>
      <c r="I58" s="403">
        <v>9.0909090909090912E-2</v>
      </c>
      <c r="J58" s="403">
        <v>9.0909090909090912E-2</v>
      </c>
      <c r="K58" s="403">
        <v>9.0909090909090912E-2</v>
      </c>
      <c r="L58" s="403">
        <v>9.0909090909090912E-2</v>
      </c>
      <c r="M58" s="403">
        <v>9.0909090909090912E-2</v>
      </c>
      <c r="N58" s="403">
        <v>9.0909090909090912E-2</v>
      </c>
      <c r="O58" s="403">
        <v>9.0909090909090912E-2</v>
      </c>
      <c r="P58" s="403">
        <v>9.0909090909090912E-2</v>
      </c>
      <c r="Q58" s="398">
        <v>1.0000000000000002</v>
      </c>
    </row>
    <row r="59" spans="1:17">
      <c r="A59" s="408" t="s">
        <v>631</v>
      </c>
      <c r="B59" s="409" t="s">
        <v>609</v>
      </c>
      <c r="C59" s="406"/>
      <c r="D59" s="406"/>
      <c r="E59" s="400"/>
      <c r="F59" s="403">
        <v>9.0909090909090912E-2</v>
      </c>
      <c r="G59" s="403">
        <v>9.0909090909090912E-2</v>
      </c>
      <c r="H59" s="403">
        <v>9.0909090909090912E-2</v>
      </c>
      <c r="I59" s="403">
        <v>9.0909090909090912E-2</v>
      </c>
      <c r="J59" s="403">
        <v>9.0909090909090912E-2</v>
      </c>
      <c r="K59" s="403">
        <v>9.0909090909090912E-2</v>
      </c>
      <c r="L59" s="403">
        <v>9.0909090909090912E-2</v>
      </c>
      <c r="M59" s="403">
        <v>9.0909090909090912E-2</v>
      </c>
      <c r="N59" s="403">
        <v>9.0909090909090912E-2</v>
      </c>
      <c r="O59" s="403">
        <v>9.0909090909090912E-2</v>
      </c>
      <c r="P59" s="403">
        <v>9.0909090909090912E-2</v>
      </c>
      <c r="Q59" s="398">
        <v>1.0000000000000002</v>
      </c>
    </row>
    <row r="60" spans="1:17">
      <c r="A60" s="408" t="s">
        <v>632</v>
      </c>
      <c r="B60" s="409" t="s">
        <v>611</v>
      </c>
      <c r="C60" s="406"/>
      <c r="D60" s="406"/>
      <c r="E60" s="400"/>
      <c r="F60" s="403">
        <v>9.0909090909090912E-2</v>
      </c>
      <c r="G60" s="403">
        <v>9.0909090909090912E-2</v>
      </c>
      <c r="H60" s="403">
        <v>9.0909090909090912E-2</v>
      </c>
      <c r="I60" s="403">
        <v>9.0909090909090912E-2</v>
      </c>
      <c r="J60" s="403">
        <v>9.0909090909090912E-2</v>
      </c>
      <c r="K60" s="403">
        <v>9.0909090909090912E-2</v>
      </c>
      <c r="L60" s="403">
        <v>9.0909090909090912E-2</v>
      </c>
      <c r="M60" s="403">
        <v>9.0909090909090912E-2</v>
      </c>
      <c r="N60" s="403">
        <v>9.0909090909090912E-2</v>
      </c>
      <c r="O60" s="403">
        <v>9.0909090909090912E-2</v>
      </c>
      <c r="P60" s="403">
        <v>9.0909090909090912E-2</v>
      </c>
      <c r="Q60" s="398">
        <v>1.0000000000000002</v>
      </c>
    </row>
    <row r="61" spans="1:17">
      <c r="A61" s="399" t="s">
        <v>633</v>
      </c>
      <c r="B61" s="400" t="s">
        <v>634</v>
      </c>
      <c r="C61" s="406"/>
      <c r="D61" s="406"/>
      <c r="E61" s="400"/>
      <c r="F61" s="403">
        <v>0.35813996172964174</v>
      </c>
      <c r="G61" s="403">
        <v>0.27152546465587896</v>
      </c>
      <c r="H61" s="403">
        <v>7.9772204472460181E-2</v>
      </c>
      <c r="I61" s="403">
        <v>1.0735125251442035E-3</v>
      </c>
      <c r="J61" s="403">
        <v>0.17817489786137652</v>
      </c>
      <c r="K61" s="403">
        <v>8.3959257178266664E-3</v>
      </c>
      <c r="L61" s="403">
        <v>2.8224092378510452E-4</v>
      </c>
      <c r="M61" s="403">
        <v>3.6376898047443145E-4</v>
      </c>
      <c r="N61" s="403">
        <v>6.3135270608976932E-2</v>
      </c>
      <c r="O61" s="403">
        <v>2.2206264746511536E-2</v>
      </c>
      <c r="P61" s="403">
        <v>1.6930487777923851E-2</v>
      </c>
      <c r="Q61" s="398">
        <v>1.0000000000000002</v>
      </c>
    </row>
    <row r="62" spans="1:17">
      <c r="A62" s="404" t="s">
        <v>635</v>
      </c>
      <c r="B62" s="411" t="s">
        <v>636</v>
      </c>
      <c r="C62" s="406"/>
      <c r="D62" s="406"/>
      <c r="E62" s="400"/>
      <c r="F62" s="403">
        <v>0.49511059906780058</v>
      </c>
      <c r="G62" s="403">
        <v>0.24189537748270692</v>
      </c>
      <c r="H62" s="403">
        <v>6.2830783597458417E-2</v>
      </c>
      <c r="I62" s="403">
        <v>5.1001835653632505E-3</v>
      </c>
      <c r="J62" s="403">
        <v>8.9165856379844741E-2</v>
      </c>
      <c r="K62" s="403">
        <v>1.0949094385910978E-2</v>
      </c>
      <c r="L62" s="403">
        <v>4.0981957065948463E-4</v>
      </c>
      <c r="M62" s="403">
        <v>3.0492402994011287E-4</v>
      </c>
      <c r="N62" s="403">
        <v>7.4702901792965709E-2</v>
      </c>
      <c r="O62" s="403">
        <v>1.1078946285252767E-2</v>
      </c>
      <c r="P62" s="403">
        <v>8.4515138420970977E-3</v>
      </c>
      <c r="Q62" s="398">
        <v>0.99999999999999989</v>
      </c>
    </row>
    <row r="63" spans="1:17">
      <c r="A63" s="408" t="s">
        <v>637</v>
      </c>
      <c r="B63" s="409" t="s">
        <v>603</v>
      </c>
      <c r="C63" s="406"/>
      <c r="D63" s="406"/>
      <c r="E63" s="400"/>
      <c r="F63" s="403">
        <v>0.35813996172964169</v>
      </c>
      <c r="G63" s="403">
        <v>0.2715254646558789</v>
      </c>
      <c r="H63" s="403">
        <v>7.9772204472460168E-2</v>
      </c>
      <c r="I63" s="403">
        <v>1.0735125251442031E-3</v>
      </c>
      <c r="J63" s="403">
        <v>0.17817489786137647</v>
      </c>
      <c r="K63" s="403">
        <v>8.3959257178266664E-3</v>
      </c>
      <c r="L63" s="403">
        <v>2.8224092378510452E-4</v>
      </c>
      <c r="M63" s="403">
        <v>3.6376898047443156E-4</v>
      </c>
      <c r="N63" s="403">
        <v>6.3135270608976932E-2</v>
      </c>
      <c r="O63" s="403">
        <v>2.220626474651154E-2</v>
      </c>
      <c r="P63" s="403">
        <v>1.6930487777923851E-2</v>
      </c>
      <c r="Q63" s="398">
        <v>1</v>
      </c>
    </row>
    <row r="64" spans="1:17">
      <c r="A64" s="408" t="s">
        <v>638</v>
      </c>
      <c r="B64" s="409" t="s">
        <v>605</v>
      </c>
      <c r="C64" s="406"/>
      <c r="D64" s="406"/>
      <c r="E64" s="400"/>
      <c r="F64" s="403">
        <v>0.35813996172964174</v>
      </c>
      <c r="G64" s="403">
        <v>0.27152546465587896</v>
      </c>
      <c r="H64" s="403">
        <v>7.9772204472460181E-2</v>
      </c>
      <c r="I64" s="403">
        <v>1.0735125251442035E-3</v>
      </c>
      <c r="J64" s="403">
        <v>0.17817489786137652</v>
      </c>
      <c r="K64" s="403">
        <v>8.3959257178266664E-3</v>
      </c>
      <c r="L64" s="403">
        <v>2.8224092378510452E-4</v>
      </c>
      <c r="M64" s="403">
        <v>3.6376898047443145E-4</v>
      </c>
      <c r="N64" s="403">
        <v>6.3135270608976932E-2</v>
      </c>
      <c r="O64" s="403">
        <v>2.2206264746511536E-2</v>
      </c>
      <c r="P64" s="403">
        <v>1.6930487777923851E-2</v>
      </c>
      <c r="Q64" s="398">
        <v>1.0000000000000002</v>
      </c>
    </row>
    <row r="65" spans="1:17">
      <c r="A65" s="408" t="s">
        <v>639</v>
      </c>
      <c r="B65" s="409" t="s">
        <v>607</v>
      </c>
      <c r="C65" s="406"/>
      <c r="D65" s="406"/>
      <c r="E65" s="400"/>
      <c r="F65" s="403">
        <v>0.63099967726214234</v>
      </c>
      <c r="G65" s="403">
        <v>0.21249925791264335</v>
      </c>
      <c r="H65" s="403">
        <v>4.6023137004395455E-2</v>
      </c>
      <c r="I65" s="403">
        <v>9.09505886477735E-3</v>
      </c>
      <c r="J65" s="403">
        <v>8.5965562803141471E-4</v>
      </c>
      <c r="K65" s="403">
        <v>1.3482102507382247E-2</v>
      </c>
      <c r="L65" s="403">
        <v>5.3639082022036502E-4</v>
      </c>
      <c r="M65" s="403">
        <v>2.4654373588658973E-4</v>
      </c>
      <c r="N65" s="403">
        <v>8.6179191668171201E-2</v>
      </c>
      <c r="O65" s="403">
        <v>3.9492298174898943E-5</v>
      </c>
      <c r="P65" s="403">
        <v>3.9492298174898943E-5</v>
      </c>
      <c r="Q65" s="398">
        <v>1</v>
      </c>
    </row>
    <row r="66" spans="1:17">
      <c r="A66" s="408" t="s">
        <v>640</v>
      </c>
      <c r="B66" s="409" t="s">
        <v>609</v>
      </c>
      <c r="C66" s="406"/>
      <c r="D66" s="406"/>
      <c r="E66" s="400"/>
      <c r="F66" s="403">
        <v>0.63099967726214234</v>
      </c>
      <c r="G66" s="403">
        <v>0.21249925791264335</v>
      </c>
      <c r="H66" s="403">
        <v>4.6023137004395455E-2</v>
      </c>
      <c r="I66" s="403">
        <v>9.09505886477735E-3</v>
      </c>
      <c r="J66" s="403">
        <v>8.5965562803141471E-4</v>
      </c>
      <c r="K66" s="403">
        <v>1.3482102507382247E-2</v>
      </c>
      <c r="L66" s="403">
        <v>5.3639082022036502E-4</v>
      </c>
      <c r="M66" s="403">
        <v>2.4654373588658973E-4</v>
      </c>
      <c r="N66" s="403">
        <v>8.6179191668171201E-2</v>
      </c>
      <c r="O66" s="403">
        <v>3.9492298174898943E-5</v>
      </c>
      <c r="P66" s="403">
        <v>3.9492298174898943E-5</v>
      </c>
      <c r="Q66" s="398">
        <v>1</v>
      </c>
    </row>
    <row r="67" spans="1:17">
      <c r="A67" s="408" t="s">
        <v>641</v>
      </c>
      <c r="B67" s="409" t="s">
        <v>611</v>
      </c>
      <c r="C67" s="406"/>
      <c r="D67" s="406"/>
      <c r="E67" s="400"/>
      <c r="F67" s="403">
        <v>0.63099967726214234</v>
      </c>
      <c r="G67" s="403">
        <v>0.21249925791264335</v>
      </c>
      <c r="H67" s="403">
        <v>4.6023137004395455E-2</v>
      </c>
      <c r="I67" s="403">
        <v>9.09505886477735E-3</v>
      </c>
      <c r="J67" s="403">
        <v>8.5965562803141471E-4</v>
      </c>
      <c r="K67" s="403">
        <v>1.3482102507382247E-2</v>
      </c>
      <c r="L67" s="403">
        <v>5.3639082022036502E-4</v>
      </c>
      <c r="M67" s="403">
        <v>2.4654373588658973E-4</v>
      </c>
      <c r="N67" s="403">
        <v>8.6179191668171201E-2</v>
      </c>
      <c r="O67" s="403">
        <v>3.9492298174898943E-5</v>
      </c>
      <c r="P67" s="403">
        <v>3.9492298174898943E-5</v>
      </c>
      <c r="Q67" s="398">
        <v>1</v>
      </c>
    </row>
    <row r="68" spans="1:17">
      <c r="A68" s="399" t="s">
        <v>642</v>
      </c>
      <c r="B68" s="400" t="s">
        <v>643</v>
      </c>
      <c r="C68" s="406"/>
      <c r="D68" s="406"/>
      <c r="E68" s="400"/>
      <c r="F68" s="403">
        <v>0.4626278130374728</v>
      </c>
      <c r="G68" s="403">
        <v>0.24641475386263548</v>
      </c>
      <c r="H68" s="403">
        <v>6.6714640385219542E-2</v>
      </c>
      <c r="I68" s="403">
        <v>4.2183440314853696E-3</v>
      </c>
      <c r="J68" s="403">
        <v>0.11173376796320826</v>
      </c>
      <c r="K68" s="403">
        <v>1.033000811206731E-2</v>
      </c>
      <c r="L68" s="403">
        <v>4.0811116408116094E-4</v>
      </c>
      <c r="M68" s="403">
        <v>3.4329974094972896E-4</v>
      </c>
      <c r="N68" s="403">
        <v>7.2063401150177786E-2</v>
      </c>
      <c r="O68" s="403">
        <v>1.3919258027177694E-2</v>
      </c>
      <c r="P68" s="403">
        <v>1.1226602525524978E-2</v>
      </c>
      <c r="Q68" s="398">
        <v>1</v>
      </c>
    </row>
    <row r="69" spans="1:17">
      <c r="A69" s="408" t="s">
        <v>644</v>
      </c>
      <c r="B69" s="409" t="s">
        <v>645</v>
      </c>
      <c r="C69" s="406"/>
      <c r="D69" s="406"/>
      <c r="E69" s="400"/>
      <c r="F69" s="403">
        <v>0.34521681638756596</v>
      </c>
      <c r="G69" s="403">
        <v>0.27168959389001374</v>
      </c>
      <c r="H69" s="403">
        <v>8.1605559288321999E-2</v>
      </c>
      <c r="I69" s="403">
        <v>1.3259190992294006E-3</v>
      </c>
      <c r="J69" s="403">
        <v>0.18490145709983821</v>
      </c>
      <c r="K69" s="403">
        <v>8.7717569111911298E-3</v>
      </c>
      <c r="L69" s="403">
        <v>2.951736440574309E-4</v>
      </c>
      <c r="M69" s="403">
        <v>4.3693066213065405E-4</v>
      </c>
      <c r="N69" s="403">
        <v>6.2841798241914631E-2</v>
      </c>
      <c r="O69" s="403">
        <v>2.3116246630202578E-2</v>
      </c>
      <c r="P69" s="403">
        <v>1.9798748145534468E-2</v>
      </c>
      <c r="Q69" s="398">
        <v>1.0000000000000002</v>
      </c>
    </row>
    <row r="70" spans="1:17">
      <c r="A70" s="408" t="s">
        <v>646</v>
      </c>
      <c r="B70" s="409" t="s">
        <v>647</v>
      </c>
      <c r="C70" s="406"/>
      <c r="D70" s="406"/>
      <c r="E70" s="400"/>
      <c r="F70" s="403">
        <v>0.35813996172964174</v>
      </c>
      <c r="G70" s="403">
        <v>0.27152546465587896</v>
      </c>
      <c r="H70" s="403">
        <v>7.9772204472460168E-2</v>
      </c>
      <c r="I70" s="403">
        <v>1.0735125251442037E-3</v>
      </c>
      <c r="J70" s="403">
        <v>0.17817489786137652</v>
      </c>
      <c r="K70" s="403">
        <v>8.3959257178266664E-3</v>
      </c>
      <c r="L70" s="403">
        <v>2.8224092378510452E-4</v>
      </c>
      <c r="M70" s="403">
        <v>3.6376898047443145E-4</v>
      </c>
      <c r="N70" s="403">
        <v>6.3135270608976918E-2</v>
      </c>
      <c r="O70" s="403">
        <v>2.2206264746511536E-2</v>
      </c>
      <c r="P70" s="403">
        <v>1.6930487777923851E-2</v>
      </c>
      <c r="Q70" s="398">
        <v>1.0000000000000002</v>
      </c>
    </row>
    <row r="71" spans="1:17">
      <c r="A71" s="408" t="s">
        <v>648</v>
      </c>
      <c r="B71" s="409" t="s">
        <v>649</v>
      </c>
      <c r="C71" s="406"/>
      <c r="D71" s="406"/>
      <c r="E71" s="400"/>
      <c r="F71" s="403">
        <v>0.63099967726214223</v>
      </c>
      <c r="G71" s="403">
        <v>0.21249925791264335</v>
      </c>
      <c r="H71" s="403">
        <v>4.6023137004395448E-2</v>
      </c>
      <c r="I71" s="403">
        <v>9.09505886477735E-3</v>
      </c>
      <c r="J71" s="403">
        <v>8.5965562803141449E-4</v>
      </c>
      <c r="K71" s="403">
        <v>1.3482102507382243E-2</v>
      </c>
      <c r="L71" s="403">
        <v>5.3639082022036491E-4</v>
      </c>
      <c r="M71" s="403">
        <v>2.4654373588658968E-4</v>
      </c>
      <c r="N71" s="403">
        <v>8.6179191668171173E-2</v>
      </c>
      <c r="O71" s="403">
        <v>3.9492298174898943E-5</v>
      </c>
      <c r="P71" s="403">
        <v>3.9492298174898943E-5</v>
      </c>
      <c r="Q71" s="398">
        <v>1</v>
      </c>
    </row>
    <row r="72" spans="1:17">
      <c r="A72" s="408" t="s">
        <v>650</v>
      </c>
      <c r="B72" s="409" t="s">
        <v>651</v>
      </c>
      <c r="C72" s="406"/>
      <c r="D72" s="406"/>
      <c r="E72" s="400"/>
      <c r="F72" s="403">
        <v>0.87052581258056738</v>
      </c>
      <c r="G72" s="403">
        <v>1.8007472907809418E-2</v>
      </c>
      <c r="H72" s="403">
        <v>2.7476967384582166E-4</v>
      </c>
      <c r="I72" s="403">
        <v>7.7035796472103429E-3</v>
      </c>
      <c r="J72" s="403">
        <v>8.2906608011306109E-4</v>
      </c>
      <c r="K72" s="403">
        <v>2.8727789916456184E-3</v>
      </c>
      <c r="L72" s="403">
        <v>2.4969278903939616E-3</v>
      </c>
      <c r="M72" s="403">
        <v>5.817641061378764E-4</v>
      </c>
      <c r="N72" s="403">
        <v>9.6697778836456666E-2</v>
      </c>
      <c r="O72" s="403">
        <v>5.0246429097761277E-6</v>
      </c>
      <c r="P72" s="403">
        <v>5.0246429097761277E-6</v>
      </c>
      <c r="Q72" s="398">
        <v>0.99999999999999967</v>
      </c>
    </row>
    <row r="73" spans="1:17">
      <c r="A73" s="408" t="s">
        <v>652</v>
      </c>
      <c r="B73" s="409" t="s">
        <v>653</v>
      </c>
      <c r="C73" s="406"/>
      <c r="D73" s="406"/>
      <c r="E73" s="400"/>
      <c r="F73" s="403">
        <v>9.0909090909090912E-2</v>
      </c>
      <c r="G73" s="403">
        <v>9.0909090909090912E-2</v>
      </c>
      <c r="H73" s="403">
        <v>9.0909090909090912E-2</v>
      </c>
      <c r="I73" s="403">
        <v>9.0909090909090912E-2</v>
      </c>
      <c r="J73" s="403">
        <v>9.0909090909090912E-2</v>
      </c>
      <c r="K73" s="403">
        <v>9.0909090909090912E-2</v>
      </c>
      <c r="L73" s="403">
        <v>9.0909090909090912E-2</v>
      </c>
      <c r="M73" s="403">
        <v>9.0909090909090912E-2</v>
      </c>
      <c r="N73" s="403">
        <v>9.0909090909090912E-2</v>
      </c>
      <c r="O73" s="403">
        <v>9.0909090909090912E-2</v>
      </c>
      <c r="P73" s="403">
        <v>9.0909090909090912E-2</v>
      </c>
      <c r="Q73" s="398">
        <v>1.0000000000000002</v>
      </c>
    </row>
    <row r="74" spans="1:17">
      <c r="A74" s="399" t="s">
        <v>654</v>
      </c>
      <c r="B74" s="400" t="s">
        <v>655</v>
      </c>
      <c r="C74" s="406"/>
      <c r="D74" s="406"/>
      <c r="E74" s="400"/>
      <c r="F74" s="403">
        <v>0.49783469786092915</v>
      </c>
      <c r="G74" s="403">
        <v>0.21056569160240782</v>
      </c>
      <c r="H74" s="403">
        <v>5.9017331664601526E-2</v>
      </c>
      <c r="I74" s="403">
        <v>3.3590203780791729E-3</v>
      </c>
      <c r="J74" s="403">
        <v>0.12095021299742122</v>
      </c>
      <c r="K74" s="403">
        <v>7.7471894474960817E-3</v>
      </c>
      <c r="L74" s="403">
        <v>7.8673504740287979E-4</v>
      </c>
      <c r="M74" s="403">
        <v>3.9782560967160756E-4</v>
      </c>
      <c r="N74" s="403">
        <v>7.2835521893637428E-2</v>
      </c>
      <c r="O74" s="403">
        <v>1.5045433335914703E-2</v>
      </c>
      <c r="P74" s="403">
        <v>1.1460340162438479E-2</v>
      </c>
      <c r="Q74" s="398">
        <v>1.0000000000000002</v>
      </c>
    </row>
    <row r="75" spans="1:17">
      <c r="A75" s="399" t="s">
        <v>656</v>
      </c>
      <c r="B75" s="400" t="s">
        <v>657</v>
      </c>
      <c r="C75" s="406"/>
      <c r="D75" s="406"/>
      <c r="E75" s="400"/>
      <c r="F75" s="403">
        <v>0.53595656857175433</v>
      </c>
      <c r="G75" s="403">
        <v>0.2976589285121351</v>
      </c>
      <c r="H75" s="403">
        <v>7.4345701129033825E-2</v>
      </c>
      <c r="I75" s="403">
        <v>1.2027352295170235E-4</v>
      </c>
      <c r="J75" s="403">
        <v>0</v>
      </c>
      <c r="K75" s="403">
        <v>1.5924387194837446E-2</v>
      </c>
      <c r="L75" s="403">
        <v>2.2720748697620095E-4</v>
      </c>
      <c r="M75" s="403">
        <v>4.7089285975523504E-5</v>
      </c>
      <c r="N75" s="403">
        <v>7.5719844296335673E-2</v>
      </c>
      <c r="O75" s="403">
        <v>0</v>
      </c>
      <c r="P75" s="403">
        <v>0</v>
      </c>
      <c r="Q75" s="398">
        <v>0.99999999999999989</v>
      </c>
    </row>
    <row r="76" spans="1:17">
      <c r="A76" s="399" t="s">
        <v>658</v>
      </c>
      <c r="B76" s="400" t="s">
        <v>659</v>
      </c>
      <c r="C76" s="406"/>
      <c r="D76" s="406"/>
      <c r="E76" s="400"/>
      <c r="F76" s="403">
        <v>0.53595656857175455</v>
      </c>
      <c r="G76" s="403">
        <v>0.29765892851213521</v>
      </c>
      <c r="H76" s="403">
        <v>7.4345701129033853E-2</v>
      </c>
      <c r="I76" s="403">
        <v>1.202735229517024E-4</v>
      </c>
      <c r="J76" s="403">
        <v>0</v>
      </c>
      <c r="K76" s="403">
        <v>1.5924387194837453E-2</v>
      </c>
      <c r="L76" s="403">
        <v>2.2720748697620103E-4</v>
      </c>
      <c r="M76" s="403">
        <v>4.7089285975523524E-5</v>
      </c>
      <c r="N76" s="403">
        <v>7.57198442963357E-2</v>
      </c>
      <c r="O76" s="403">
        <v>0</v>
      </c>
      <c r="P76" s="403">
        <v>0</v>
      </c>
      <c r="Q76" s="398">
        <v>1.0000000000000002</v>
      </c>
    </row>
    <row r="77" spans="1:17">
      <c r="A77" s="399" t="s">
        <v>660</v>
      </c>
      <c r="B77" s="400" t="s">
        <v>661</v>
      </c>
      <c r="C77" s="406"/>
      <c r="D77" s="406"/>
      <c r="E77" s="400"/>
      <c r="F77" s="403">
        <v>0.53595656857175444</v>
      </c>
      <c r="G77" s="403">
        <v>0.29765892851213516</v>
      </c>
      <c r="H77" s="403">
        <v>7.4345701129033839E-2</v>
      </c>
      <c r="I77" s="403">
        <v>1.2027352295170237E-4</v>
      </c>
      <c r="J77" s="403">
        <v>0</v>
      </c>
      <c r="K77" s="403">
        <v>1.592438719483745E-2</v>
      </c>
      <c r="L77" s="403">
        <v>2.27207486976201E-4</v>
      </c>
      <c r="M77" s="403">
        <v>4.7089285975523511E-5</v>
      </c>
      <c r="N77" s="403">
        <v>7.5719844296335687E-2</v>
      </c>
      <c r="O77" s="403">
        <v>0</v>
      </c>
      <c r="P77" s="403">
        <v>0</v>
      </c>
      <c r="Q77" s="398">
        <v>1</v>
      </c>
    </row>
    <row r="78" spans="1:17">
      <c r="A78" s="399" t="s">
        <v>662</v>
      </c>
      <c r="B78" s="400" t="s">
        <v>663</v>
      </c>
      <c r="C78" s="406"/>
      <c r="D78" s="406"/>
      <c r="E78" s="400"/>
      <c r="F78" s="403">
        <v>0.55861505383348675</v>
      </c>
      <c r="G78" s="403">
        <v>0.27848969351595354</v>
      </c>
      <c r="H78" s="403">
        <v>6.9557837976324033E-2</v>
      </c>
      <c r="I78" s="403">
        <v>1.1252790807361271E-4</v>
      </c>
      <c r="J78" s="403">
        <v>0</v>
      </c>
      <c r="K78" s="403">
        <v>1.4898856659489914E-2</v>
      </c>
      <c r="L78" s="403">
        <v>2.1257532481493361E-4</v>
      </c>
      <c r="M78" s="403">
        <v>4.4056735958699791E-5</v>
      </c>
      <c r="N78" s="403">
        <v>7.8069398045898269E-2</v>
      </c>
      <c r="O78" s="403">
        <v>0</v>
      </c>
      <c r="P78" s="403">
        <v>0</v>
      </c>
      <c r="Q78" s="398">
        <v>0.99999999999999978</v>
      </c>
    </row>
    <row r="79" spans="1:17">
      <c r="A79" s="399" t="s">
        <v>664</v>
      </c>
      <c r="B79" s="400" t="s">
        <v>665</v>
      </c>
      <c r="C79" s="406"/>
      <c r="D79" s="406"/>
      <c r="E79" s="400"/>
      <c r="F79" s="403">
        <v>0.66627804281004133</v>
      </c>
      <c r="G79" s="403">
        <v>0.18740606139124028</v>
      </c>
      <c r="H79" s="403">
        <v>4.6808053430839699E-2</v>
      </c>
      <c r="I79" s="403">
        <v>7.5724210050391803E-5</v>
      </c>
      <c r="J79" s="403">
        <v>0</v>
      </c>
      <c r="K79" s="403">
        <v>1.0025994177869656E-2</v>
      </c>
      <c r="L79" s="403">
        <v>1.4304983380021615E-4</v>
      </c>
      <c r="M79" s="403">
        <v>2.96474144501896E-5</v>
      </c>
      <c r="N79" s="403">
        <v>8.9233426731708143E-2</v>
      </c>
      <c r="O79" s="403">
        <v>0</v>
      </c>
      <c r="P79" s="403">
        <v>0</v>
      </c>
      <c r="Q79" s="398">
        <v>1</v>
      </c>
    </row>
    <row r="80" spans="1:17">
      <c r="A80" s="399" t="s">
        <v>666</v>
      </c>
      <c r="B80" s="400" t="s">
        <v>667</v>
      </c>
      <c r="C80" s="406"/>
      <c r="D80" s="406"/>
      <c r="E80" s="400"/>
      <c r="F80" s="403">
        <v>0.68693104102221048</v>
      </c>
      <c r="G80" s="403">
        <v>0.16993348228757793</v>
      </c>
      <c r="H80" s="403">
        <v>4.2443960774565408E-2</v>
      </c>
      <c r="I80" s="403">
        <v>6.8664154253126865E-5</v>
      </c>
      <c r="J80" s="403">
        <v>0</v>
      </c>
      <c r="K80" s="403">
        <v>9.0912326495326979E-3</v>
      </c>
      <c r="L80" s="403">
        <v>1.2971275431471313E-4</v>
      </c>
      <c r="M80" s="403">
        <v>2.6883273363426367E-5</v>
      </c>
      <c r="N80" s="403">
        <v>9.1375023084182147E-2</v>
      </c>
      <c r="O80" s="403">
        <v>0</v>
      </c>
      <c r="P80" s="403">
        <v>0</v>
      </c>
      <c r="Q80" s="398">
        <v>0.99999999999999989</v>
      </c>
    </row>
    <row r="81" spans="1:17">
      <c r="A81" s="399" t="s">
        <v>668</v>
      </c>
      <c r="B81" s="400" t="s">
        <v>669</v>
      </c>
      <c r="C81" s="406"/>
      <c r="D81" s="406"/>
      <c r="E81" s="400"/>
      <c r="F81" s="403">
        <v>0.63746236046631644</v>
      </c>
      <c r="G81" s="403">
        <v>0.21178432763638413</v>
      </c>
      <c r="H81" s="403">
        <v>5.2896966353307567E-2</v>
      </c>
      <c r="I81" s="403">
        <v>8.5574611580136229E-5</v>
      </c>
      <c r="J81" s="403">
        <v>0</v>
      </c>
      <c r="K81" s="403">
        <v>1.1330201489126843E-2</v>
      </c>
      <c r="L81" s="403">
        <v>1.6165812698356699E-4</v>
      </c>
      <c r="M81" s="403">
        <v>3.3504026971584976E-5</v>
      </c>
      <c r="N81" s="403">
        <v>8.6245407289329612E-2</v>
      </c>
      <c r="O81" s="403">
        <v>0</v>
      </c>
      <c r="P81" s="403">
        <v>0</v>
      </c>
      <c r="Q81" s="398">
        <v>0.99999999999999978</v>
      </c>
    </row>
    <row r="82" spans="1:17">
      <c r="A82" s="399" t="s">
        <v>670</v>
      </c>
      <c r="B82" s="400" t="s">
        <v>671</v>
      </c>
      <c r="C82" s="406"/>
      <c r="D82" s="406"/>
      <c r="E82" s="400"/>
      <c r="F82" s="403">
        <v>0.63134227358127448</v>
      </c>
      <c r="G82" s="403">
        <v>0.23221575368833886</v>
      </c>
      <c r="H82" s="403">
        <v>2.8456768355703328E-2</v>
      </c>
      <c r="I82" s="403">
        <v>2.2954503076252947E-3</v>
      </c>
      <c r="J82" s="403">
        <v>0</v>
      </c>
      <c r="K82" s="403">
        <v>2.5028762402724707E-2</v>
      </c>
      <c r="L82" s="403">
        <v>1.568980173170916E-4</v>
      </c>
      <c r="M82" s="403">
        <v>7.1229157649937134E-4</v>
      </c>
      <c r="N82" s="403">
        <v>7.9791802070516976E-2</v>
      </c>
      <c r="O82" s="403">
        <v>0</v>
      </c>
      <c r="P82" s="403">
        <v>0</v>
      </c>
      <c r="Q82" s="398">
        <v>1</v>
      </c>
    </row>
    <row r="83" spans="1:17">
      <c r="A83" s="399" t="s">
        <v>672</v>
      </c>
      <c r="B83" s="400" t="s">
        <v>673</v>
      </c>
      <c r="C83" s="406"/>
      <c r="D83" s="406"/>
      <c r="E83" s="400"/>
      <c r="F83" s="403">
        <v>0.81367660738756764</v>
      </c>
      <c r="G83" s="403">
        <v>6.3735743264090428E-2</v>
      </c>
      <c r="H83" s="403">
        <v>4.8674104629329281E-3</v>
      </c>
      <c r="I83" s="403">
        <v>0</v>
      </c>
      <c r="J83" s="403">
        <v>0</v>
      </c>
      <c r="K83" s="403">
        <v>0</v>
      </c>
      <c r="L83" s="403">
        <v>2.8671340330887721E-3</v>
      </c>
      <c r="M83" s="403">
        <v>6.6801915840436997E-4</v>
      </c>
      <c r="N83" s="403">
        <v>0.11418508569391581</v>
      </c>
      <c r="O83" s="403">
        <v>0</v>
      </c>
      <c r="P83" s="403">
        <v>0</v>
      </c>
      <c r="Q83" s="398">
        <v>1</v>
      </c>
    </row>
    <row r="84" spans="1:17">
      <c r="A84" s="399" t="s">
        <v>674</v>
      </c>
      <c r="B84" s="400" t="s">
        <v>675</v>
      </c>
      <c r="C84" s="406"/>
      <c r="D84" s="406"/>
      <c r="E84" s="400"/>
      <c r="F84" s="403">
        <v>0.72048281319090757</v>
      </c>
      <c r="G84" s="403">
        <v>0.10158255134880707</v>
      </c>
      <c r="H84" s="403">
        <v>1.2945246527512435E-2</v>
      </c>
      <c r="I84" s="403">
        <v>0</v>
      </c>
      <c r="J84" s="403">
        <v>2.8234238963182341E-2</v>
      </c>
      <c r="K84" s="403">
        <v>1.0834227998598994E-2</v>
      </c>
      <c r="L84" s="403">
        <v>2.2551642240006956E-3</v>
      </c>
      <c r="M84" s="403">
        <v>5.2543511729643134E-4</v>
      </c>
      <c r="N84" s="403">
        <v>0.12054617923665069</v>
      </c>
      <c r="O84" s="403">
        <v>1.2970716965219466E-3</v>
      </c>
      <c r="P84" s="403">
        <v>1.2970716965219466E-3</v>
      </c>
      <c r="Q84" s="398">
        <v>1.0000000000000002</v>
      </c>
    </row>
    <row r="85" spans="1:17">
      <c r="A85" s="399" t="s">
        <v>676</v>
      </c>
      <c r="B85" s="400" t="s">
        <v>677</v>
      </c>
      <c r="C85" s="406"/>
      <c r="D85" s="406"/>
      <c r="E85" s="400"/>
      <c r="F85" s="403">
        <v>0</v>
      </c>
      <c r="G85" s="403">
        <v>0</v>
      </c>
      <c r="H85" s="403">
        <v>0</v>
      </c>
      <c r="I85" s="403">
        <v>1</v>
      </c>
      <c r="J85" s="403">
        <v>0</v>
      </c>
      <c r="K85" s="403">
        <v>0</v>
      </c>
      <c r="L85" s="403">
        <v>0</v>
      </c>
      <c r="M85" s="403">
        <v>0</v>
      </c>
      <c r="N85" s="403">
        <v>0</v>
      </c>
      <c r="O85" s="403">
        <v>0</v>
      </c>
      <c r="P85" s="403">
        <v>0</v>
      </c>
      <c r="Q85" s="398">
        <v>1</v>
      </c>
    </row>
    <row r="86" spans="1:17">
      <c r="A86" s="399" t="s">
        <v>678</v>
      </c>
      <c r="B86" s="400" t="s">
        <v>679</v>
      </c>
      <c r="C86" s="406"/>
      <c r="D86" s="406"/>
      <c r="E86" s="400"/>
      <c r="F86" s="403">
        <v>9.0909090909090912E-2</v>
      </c>
      <c r="G86" s="403">
        <v>9.0909090909090912E-2</v>
      </c>
      <c r="H86" s="403">
        <v>9.0909090909090912E-2</v>
      </c>
      <c r="I86" s="403">
        <v>9.0909090909090912E-2</v>
      </c>
      <c r="J86" s="403">
        <v>9.0909090909090912E-2</v>
      </c>
      <c r="K86" s="403">
        <v>9.0909090909090912E-2</v>
      </c>
      <c r="L86" s="403">
        <v>9.0909090909090912E-2</v>
      </c>
      <c r="M86" s="403">
        <v>9.0909090909090912E-2</v>
      </c>
      <c r="N86" s="403">
        <v>9.0909090909090912E-2</v>
      </c>
      <c r="O86" s="403">
        <v>9.0909090909090912E-2</v>
      </c>
      <c r="P86" s="403">
        <v>9.0909090909090912E-2</v>
      </c>
      <c r="Q86" s="398">
        <v>1.0000000000000002</v>
      </c>
    </row>
    <row r="87" spans="1:17">
      <c r="A87" s="399" t="s">
        <v>680</v>
      </c>
      <c r="B87" s="400" t="s">
        <v>681</v>
      </c>
      <c r="C87" s="406"/>
      <c r="D87" s="406"/>
      <c r="E87" s="400"/>
      <c r="F87" s="403">
        <v>0</v>
      </c>
      <c r="G87" s="403">
        <v>0</v>
      </c>
      <c r="H87" s="403">
        <v>0</v>
      </c>
      <c r="I87" s="403">
        <v>1</v>
      </c>
      <c r="J87" s="403">
        <v>0</v>
      </c>
      <c r="K87" s="403">
        <v>0</v>
      </c>
      <c r="L87" s="403">
        <v>0</v>
      </c>
      <c r="M87" s="403">
        <v>0</v>
      </c>
      <c r="N87" s="403">
        <v>0</v>
      </c>
      <c r="O87" s="403">
        <v>0</v>
      </c>
      <c r="P87" s="403">
        <v>0</v>
      </c>
      <c r="Q87" s="398">
        <v>1</v>
      </c>
    </row>
    <row r="88" spans="1:17">
      <c r="A88" s="399" t="s">
        <v>682</v>
      </c>
      <c r="B88" s="400" t="s">
        <v>683</v>
      </c>
      <c r="C88" s="406"/>
      <c r="D88" s="406"/>
      <c r="E88" s="400"/>
      <c r="F88" s="403">
        <v>0.60849463309007812</v>
      </c>
      <c r="G88" s="403">
        <v>0.22607399221962246</v>
      </c>
      <c r="H88" s="403">
        <v>5.4938827804092788E-2</v>
      </c>
      <c r="I88" s="403">
        <v>1.3262709504539468E-2</v>
      </c>
      <c r="J88" s="403">
        <v>3.8250427776992076E-4</v>
      </c>
      <c r="K88" s="403">
        <v>1.1890987195124684E-2</v>
      </c>
      <c r="L88" s="403">
        <v>4.990868330772395E-4</v>
      </c>
      <c r="M88" s="403">
        <v>1.1646087651132186E-4</v>
      </c>
      <c r="N88" s="403">
        <v>8.4305653956540147E-2</v>
      </c>
      <c r="O88" s="403">
        <v>1.7572121321948765E-5</v>
      </c>
      <c r="P88" s="403">
        <v>1.7572121321948765E-5</v>
      </c>
      <c r="Q88" s="398">
        <v>0.99999999999999978</v>
      </c>
    </row>
    <row r="89" spans="1:17">
      <c r="A89" s="399" t="s">
        <v>684</v>
      </c>
      <c r="B89" s="400" t="s">
        <v>685</v>
      </c>
      <c r="C89" s="406"/>
      <c r="D89" s="406"/>
      <c r="E89" s="400"/>
      <c r="F89" s="403">
        <v>0.59971381380313493</v>
      </c>
      <c r="G89" s="403">
        <v>0.24371985878033692</v>
      </c>
      <c r="H89" s="403">
        <v>6.0873442871896097E-2</v>
      </c>
      <c r="I89" s="403">
        <v>9.8478638538831742E-5</v>
      </c>
      <c r="J89" s="403">
        <v>0</v>
      </c>
      <c r="K89" s="403">
        <v>1.3038713193281424E-2</v>
      </c>
      <c r="L89" s="403">
        <v>1.8603499285732794E-4</v>
      </c>
      <c r="M89" s="403">
        <v>3.8556189748407316E-5</v>
      </c>
      <c r="N89" s="403">
        <v>8.2331101530205994E-2</v>
      </c>
      <c r="O89" s="403">
        <v>0</v>
      </c>
      <c r="P89" s="403">
        <v>0</v>
      </c>
      <c r="Q89" s="398">
        <v>1</v>
      </c>
    </row>
    <row r="90" spans="1:17">
      <c r="A90" s="399" t="s">
        <v>686</v>
      </c>
      <c r="B90" s="400" t="s">
        <v>687</v>
      </c>
      <c r="C90" s="406"/>
      <c r="D90" s="406"/>
      <c r="E90" s="400"/>
      <c r="F90" s="403">
        <v>0.65095460734562349</v>
      </c>
      <c r="G90" s="403">
        <v>0.2003697936078126</v>
      </c>
      <c r="H90" s="403">
        <v>5.0045980025911818E-2</v>
      </c>
      <c r="I90" s="403">
        <v>8.0962399114913917E-5</v>
      </c>
      <c r="J90" s="403">
        <v>0</v>
      </c>
      <c r="K90" s="403">
        <v>1.0719537933935652E-2</v>
      </c>
      <c r="L90" s="403">
        <v>1.529452434003341E-4</v>
      </c>
      <c r="M90" s="403">
        <v>3.1698261359797398E-5</v>
      </c>
      <c r="N90" s="403">
        <v>8.7644475182841408E-2</v>
      </c>
      <c r="O90" s="403">
        <v>0</v>
      </c>
      <c r="P90" s="403">
        <v>0</v>
      </c>
      <c r="Q90" s="398">
        <v>1</v>
      </c>
    </row>
    <row r="91" spans="1:17">
      <c r="A91" s="399" t="s">
        <v>688</v>
      </c>
      <c r="B91" s="400" t="s">
        <v>689</v>
      </c>
      <c r="C91" s="406"/>
      <c r="D91" s="406"/>
      <c r="E91" s="400"/>
      <c r="F91" s="403">
        <v>0.62861463018390107</v>
      </c>
      <c r="G91" s="403">
        <v>0.21940867931381444</v>
      </c>
      <c r="H91" s="403">
        <v>5.3308482479714855E-2</v>
      </c>
      <c r="I91" s="403">
        <v>8.5176732155208543E-5</v>
      </c>
      <c r="J91" s="403">
        <v>0</v>
      </c>
      <c r="K91" s="403">
        <v>1.1277521681768477E-2</v>
      </c>
      <c r="L91" s="403">
        <v>5.4818183980340869E-4</v>
      </c>
      <c r="M91" s="403">
        <v>1.2358028842862547E-4</v>
      </c>
      <c r="N91" s="403">
        <v>8.6633747480413817E-2</v>
      </c>
      <c r="O91" s="403">
        <v>0</v>
      </c>
      <c r="P91" s="403">
        <v>0</v>
      </c>
      <c r="Q91" s="398">
        <v>1</v>
      </c>
    </row>
    <row r="92" spans="1:17">
      <c r="A92" s="399" t="s">
        <v>690</v>
      </c>
      <c r="B92" s="400" t="s">
        <v>691</v>
      </c>
      <c r="C92" s="406"/>
      <c r="D92" s="406"/>
      <c r="E92" s="400"/>
      <c r="F92" s="403">
        <v>0.68890960781711474</v>
      </c>
      <c r="G92" s="403">
        <v>0.16849982246757972</v>
      </c>
      <c r="H92" s="403">
        <v>3.9508052587568142E-2</v>
      </c>
      <c r="I92" s="403">
        <v>6.2077872770673273E-5</v>
      </c>
      <c r="J92" s="403">
        <v>0</v>
      </c>
      <c r="K92" s="403">
        <v>8.2191995209870555E-3</v>
      </c>
      <c r="L92" s="403">
        <v>7.860313458682651E-4</v>
      </c>
      <c r="M92" s="403">
        <v>1.8012047803069034E-4</v>
      </c>
      <c r="N92" s="403">
        <v>9.3835087910080703E-2</v>
      </c>
      <c r="O92" s="403">
        <v>0</v>
      </c>
      <c r="P92" s="403">
        <v>0</v>
      </c>
      <c r="Q92" s="398">
        <v>1</v>
      </c>
    </row>
    <row r="93" spans="1:17">
      <c r="A93" s="399" t="s">
        <v>692</v>
      </c>
      <c r="B93" s="400" t="s">
        <v>693</v>
      </c>
      <c r="C93" s="406"/>
      <c r="D93" s="406"/>
      <c r="E93" s="400"/>
      <c r="F93" s="403">
        <v>0.85058159273106726</v>
      </c>
      <c r="G93" s="403">
        <v>3.3876008767950494E-2</v>
      </c>
      <c r="H93" s="403">
        <v>5.6724167708255306E-3</v>
      </c>
      <c r="I93" s="403">
        <v>5.5256900430850908E-3</v>
      </c>
      <c r="J93" s="403">
        <v>1.0249178768114143E-2</v>
      </c>
      <c r="K93" s="403">
        <v>1.355295413822147E-3</v>
      </c>
      <c r="L93" s="403">
        <v>2.2404983016868669E-3</v>
      </c>
      <c r="M93" s="403">
        <v>5.2201807541131463E-4</v>
      </c>
      <c r="N93" s="403">
        <v>8.9934045078705574E-2</v>
      </c>
      <c r="O93" s="403">
        <v>2.1628024665900026E-5</v>
      </c>
      <c r="P93" s="403">
        <v>2.1628024665900026E-5</v>
      </c>
      <c r="Q93" s="398">
        <v>1.0000000000000002</v>
      </c>
    </row>
    <row r="94" spans="1:17">
      <c r="A94" s="381" t="s">
        <v>694</v>
      </c>
      <c r="B94" s="412" t="s">
        <v>695</v>
      </c>
      <c r="C94" s="407"/>
      <c r="D94" s="407"/>
      <c r="E94" s="412"/>
      <c r="F94" s="413">
        <v>0.37791912914328651</v>
      </c>
      <c r="G94" s="413">
        <v>0.25766502950305226</v>
      </c>
      <c r="H94" s="413">
        <v>7.7768968364728019E-2</v>
      </c>
      <c r="I94" s="413">
        <v>2.8804089945734992E-3</v>
      </c>
      <c r="J94" s="413">
        <v>0.16713683485442563</v>
      </c>
      <c r="K94" s="413">
        <v>9.1354491183788019E-3</v>
      </c>
      <c r="L94" s="413">
        <v>4.1110469597744676E-4</v>
      </c>
      <c r="M94" s="413">
        <v>4.8344183777783488E-4</v>
      </c>
      <c r="N94" s="413">
        <v>6.5712390828298592E-2</v>
      </c>
      <c r="O94" s="413">
        <v>2.0916891039932221E-2</v>
      </c>
      <c r="P94" s="413">
        <v>1.9970351619568949E-2</v>
      </c>
      <c r="Q94" s="398">
        <v>0.99999999999999989</v>
      </c>
    </row>
    <row r="95" spans="1:17">
      <c r="A95" s="408" t="s">
        <v>696</v>
      </c>
      <c r="B95" s="409" t="s">
        <v>697</v>
      </c>
      <c r="C95" s="406"/>
      <c r="D95" s="406"/>
      <c r="E95" s="400"/>
      <c r="F95" s="413">
        <v>0.33054101499611954</v>
      </c>
      <c r="G95" s="413">
        <v>0.2717988086627951</v>
      </c>
      <c r="H95" s="413">
        <v>8.3693541407000319E-2</v>
      </c>
      <c r="I95" s="413">
        <v>1.6297621895502053E-3</v>
      </c>
      <c r="J95" s="413">
        <v>0.19249898596057033</v>
      </c>
      <c r="K95" s="413">
        <v>9.2151244080411632E-3</v>
      </c>
      <c r="L95" s="413">
        <v>3.1060464517852516E-4</v>
      </c>
      <c r="M95" s="413">
        <v>5.2189623747481021E-4</v>
      </c>
      <c r="N95" s="413">
        <v>6.2530264722844703E-2</v>
      </c>
      <c r="O95" s="413">
        <v>2.4146386317879093E-2</v>
      </c>
      <c r="P95" s="413">
        <v>2.311361045254617E-2</v>
      </c>
      <c r="Q95" s="398">
        <v>1</v>
      </c>
    </row>
    <row r="96" spans="1:17">
      <c r="A96" s="408" t="s">
        <v>698</v>
      </c>
      <c r="B96" s="409" t="s">
        <v>699</v>
      </c>
      <c r="C96" s="406"/>
      <c r="D96" s="406"/>
      <c r="E96" s="400"/>
      <c r="F96" s="413">
        <v>0.33763984105312184</v>
      </c>
      <c r="G96" s="413">
        <v>0.27081722443447354</v>
      </c>
      <c r="H96" s="413">
        <v>8.2754868239351201E-2</v>
      </c>
      <c r="I96" s="413">
        <v>1.6887719038356703E-3</v>
      </c>
      <c r="J96" s="413">
        <v>0.18833317671140495</v>
      </c>
      <c r="K96" s="413">
        <v>9.1988065651191133E-3</v>
      </c>
      <c r="L96" s="413">
        <v>3.1210779344778225E-4</v>
      </c>
      <c r="M96" s="413">
        <v>5.0336093182319012E-4</v>
      </c>
      <c r="N96" s="413">
        <v>6.2941260675255753E-2</v>
      </c>
      <c r="O96" s="413">
        <v>2.3609598823019058E-2</v>
      </c>
      <c r="P96" s="413">
        <v>2.2200982869147796E-2</v>
      </c>
      <c r="Q96" s="398">
        <v>0.99999999999999989</v>
      </c>
    </row>
    <row r="97" spans="1:17">
      <c r="A97" s="408" t="s">
        <v>700</v>
      </c>
      <c r="B97" s="409" t="s">
        <v>701</v>
      </c>
      <c r="C97" s="406"/>
      <c r="D97" s="406"/>
      <c r="E97" s="400"/>
      <c r="F97" s="413">
        <v>0.60079818626296322</v>
      </c>
      <c r="G97" s="413">
        <v>0.22783543134126932</v>
      </c>
      <c r="H97" s="413">
        <v>5.6028265876514695E-2</v>
      </c>
      <c r="I97" s="413">
        <v>1.3152329679340501E-2</v>
      </c>
      <c r="J97" s="413">
        <v>5.0934738798107618E-3</v>
      </c>
      <c r="K97" s="413">
        <v>1.1719585877099295E-2</v>
      </c>
      <c r="L97" s="413">
        <v>4.9275233749911454E-4</v>
      </c>
      <c r="M97" s="413">
        <v>1.1754413809554306E-4</v>
      </c>
      <c r="N97" s="413">
        <v>8.3660715651874912E-2</v>
      </c>
      <c r="O97" s="413">
        <v>6.0819737155878351E-4</v>
      </c>
      <c r="P97" s="413">
        <v>4.9351758397357941E-4</v>
      </c>
      <c r="Q97" s="398">
        <v>0.99999999999999978</v>
      </c>
    </row>
    <row r="98" spans="1:17">
      <c r="A98" s="408" t="s">
        <v>702</v>
      </c>
      <c r="B98" s="409" t="s">
        <v>703</v>
      </c>
      <c r="C98" s="406"/>
      <c r="D98" s="406"/>
      <c r="E98" s="400"/>
      <c r="F98" s="413">
        <v>0.92746531767960005</v>
      </c>
      <c r="G98" s="413">
        <v>-8.1294091445839947E-3</v>
      </c>
      <c r="H98" s="413">
        <v>-6.7247246918043782E-3</v>
      </c>
      <c r="I98" s="413">
        <v>6.5239827055125175E-3</v>
      </c>
      <c r="J98" s="413">
        <v>-1.2793897799863603E-2</v>
      </c>
      <c r="K98" s="413">
        <v>3.4740320600146646E-4</v>
      </c>
      <c r="L98" s="413">
        <v>2.6729621378193701E-3</v>
      </c>
      <c r="M98" s="413">
        <v>5.7911830817121207E-4</v>
      </c>
      <c r="N98" s="413">
        <v>9.5029300121790658E-2</v>
      </c>
      <c r="O98" s="413">
        <v>-2.8241391875933313E-3</v>
      </c>
      <c r="P98" s="413">
        <v>-2.1459133350498084E-3</v>
      </c>
      <c r="Q98" s="398">
        <v>1</v>
      </c>
    </row>
    <row r="99" spans="1:17">
      <c r="A99" s="408" t="s">
        <v>704</v>
      </c>
      <c r="B99" s="409" t="s">
        <v>705</v>
      </c>
      <c r="C99" s="406"/>
      <c r="D99" s="406"/>
      <c r="E99" s="400"/>
      <c r="F99" s="413">
        <v>0.43073837658792902</v>
      </c>
      <c r="G99" s="413">
        <v>0.25582065811712829</v>
      </c>
      <c r="H99" s="413">
        <v>7.079275949889445E-2</v>
      </c>
      <c r="I99" s="413">
        <v>3.2077650945759794E-3</v>
      </c>
      <c r="J99" s="413">
        <v>0.13099752141637033</v>
      </c>
      <c r="K99" s="413">
        <v>9.7491792455236346E-3</v>
      </c>
      <c r="L99" s="413">
        <v>3.4986131099246456E-4</v>
      </c>
      <c r="M99" s="413">
        <v>3.32579448073711E-4</v>
      </c>
      <c r="N99" s="413">
        <v>6.9266451013354879E-2</v>
      </c>
      <c r="O99" s="413">
        <v>1.6308462870067403E-2</v>
      </c>
      <c r="P99" s="413">
        <v>1.2436385397089963E-2</v>
      </c>
      <c r="Q99" s="398">
        <v>1</v>
      </c>
    </row>
    <row r="100" spans="1:17">
      <c r="A100" s="381" t="s">
        <v>706</v>
      </c>
      <c r="B100" s="412" t="s">
        <v>707</v>
      </c>
      <c r="C100" s="407"/>
      <c r="D100" s="407"/>
      <c r="E100" s="412"/>
      <c r="F100" s="413">
        <v>0.48061684010033023</v>
      </c>
      <c r="G100" s="413">
        <v>0.23218734098497862</v>
      </c>
      <c r="H100" s="413">
        <v>6.458804813794583E-2</v>
      </c>
      <c r="I100" s="413">
        <v>4.7324417535016998E-3</v>
      </c>
      <c r="J100" s="413">
        <v>0.11246820583590104</v>
      </c>
      <c r="K100" s="413">
        <v>8.4816028741692279E-3</v>
      </c>
      <c r="L100" s="413">
        <v>5.719607990662853E-4</v>
      </c>
      <c r="M100" s="413">
        <v>3.132275160098585E-4</v>
      </c>
      <c r="N100" s="413">
        <v>7.1810637949434986E-2</v>
      </c>
      <c r="O100" s="413">
        <v>1.3880613001454208E-2</v>
      </c>
      <c r="P100" s="413">
        <v>1.0349081047208069E-2</v>
      </c>
      <c r="Q100" s="398">
        <v>1</v>
      </c>
    </row>
    <row r="101" spans="1:17">
      <c r="A101" s="408" t="s">
        <v>708</v>
      </c>
      <c r="B101" s="409" t="s">
        <v>709</v>
      </c>
      <c r="C101" s="406"/>
      <c r="D101" s="406"/>
      <c r="E101" s="400"/>
      <c r="F101" s="413">
        <v>0.36072641912417569</v>
      </c>
      <c r="G101" s="413">
        <v>0.27149261558856203</v>
      </c>
      <c r="H101" s="413">
        <v>7.940527413199179E-2</v>
      </c>
      <c r="I101" s="413">
        <v>1.0229955006357757E-3</v>
      </c>
      <c r="J101" s="413">
        <v>0.17682863436115542</v>
      </c>
      <c r="K101" s="413">
        <v>8.3207063077339119E-3</v>
      </c>
      <c r="L101" s="413">
        <v>2.7965255004988918E-4</v>
      </c>
      <c r="M101" s="413">
        <v>3.4912629345765944E-4</v>
      </c>
      <c r="N101" s="413">
        <v>6.3194006601940536E-2</v>
      </c>
      <c r="O101" s="413">
        <v>2.2024139628387139E-2</v>
      </c>
      <c r="P101" s="413">
        <v>1.6356429911910258E-2</v>
      </c>
      <c r="Q101" s="398">
        <v>1.0000000000000002</v>
      </c>
    </row>
    <row r="102" spans="1:17">
      <c r="A102" s="408" t="s">
        <v>710</v>
      </c>
      <c r="B102" s="409" t="s">
        <v>711</v>
      </c>
      <c r="C102" s="406"/>
      <c r="D102" s="406"/>
      <c r="E102" s="400"/>
      <c r="F102" s="413">
        <v>0.35813996172964208</v>
      </c>
      <c r="G102" s="413">
        <v>0.27152546465587929</v>
      </c>
      <c r="H102" s="413">
        <v>7.9772204472460237E-2</v>
      </c>
      <c r="I102" s="413">
        <v>1.0735125251442037E-3</v>
      </c>
      <c r="J102" s="413">
        <v>0.17817489786137661</v>
      </c>
      <c r="K102" s="413">
        <v>8.3959257178266734E-3</v>
      </c>
      <c r="L102" s="413">
        <v>2.822409237851049E-4</v>
      </c>
      <c r="M102" s="413">
        <v>3.6376898047443172E-4</v>
      </c>
      <c r="N102" s="413">
        <v>6.3135270608976987E-2</v>
      </c>
      <c r="O102" s="413">
        <v>2.2206264746511575E-2</v>
      </c>
      <c r="P102" s="413">
        <v>1.6930487777923865E-2</v>
      </c>
      <c r="Q102" s="398">
        <v>1.0000000000000011</v>
      </c>
    </row>
    <row r="103" spans="1:17">
      <c r="A103" s="408" t="s">
        <v>712</v>
      </c>
      <c r="B103" s="409" t="s">
        <v>701</v>
      </c>
      <c r="C103" s="406"/>
      <c r="D103" s="406"/>
      <c r="E103" s="400"/>
      <c r="F103" s="413">
        <v>0.60849463309007801</v>
      </c>
      <c r="G103" s="413">
        <v>0.22607399221962246</v>
      </c>
      <c r="H103" s="413">
        <v>5.4938827804092788E-2</v>
      </c>
      <c r="I103" s="413">
        <v>1.3262709504539468E-2</v>
      </c>
      <c r="J103" s="413">
        <v>3.8250427776992065E-4</v>
      </c>
      <c r="K103" s="413">
        <v>1.1890987195124682E-2</v>
      </c>
      <c r="L103" s="413">
        <v>4.990868330772395E-4</v>
      </c>
      <c r="M103" s="413">
        <v>1.1646087651132186E-4</v>
      </c>
      <c r="N103" s="413">
        <v>8.4305653956540133E-2</v>
      </c>
      <c r="O103" s="413">
        <v>1.7572121321948765E-5</v>
      </c>
      <c r="P103" s="413">
        <v>1.7572121321948765E-5</v>
      </c>
      <c r="Q103" s="398">
        <v>0.99999999999999967</v>
      </c>
    </row>
    <row r="104" spans="1:17">
      <c r="A104" s="408" t="s">
        <v>713</v>
      </c>
      <c r="B104" s="409" t="s">
        <v>703</v>
      </c>
      <c r="C104" s="406"/>
      <c r="D104" s="406"/>
      <c r="E104" s="400"/>
      <c r="F104" s="413">
        <v>0.85376690442127146</v>
      </c>
      <c r="G104" s="413">
        <v>3.100840333019218E-2</v>
      </c>
      <c r="H104" s="413">
        <v>4.774764502830822E-3</v>
      </c>
      <c r="I104" s="413">
        <v>6.0276777834239754E-3</v>
      </c>
      <c r="J104" s="413">
        <v>8.5793390971479026E-3</v>
      </c>
      <c r="K104" s="413">
        <v>1.7367269307045289E-3</v>
      </c>
      <c r="L104" s="413">
        <v>2.3285412534961324E-3</v>
      </c>
      <c r="M104" s="413">
        <v>5.4253137471727746E-4</v>
      </c>
      <c r="N104" s="413">
        <v>9.1198683792456603E-2</v>
      </c>
      <c r="O104" s="413">
        <v>1.8213756879591658E-5</v>
      </c>
      <c r="P104" s="413">
        <v>1.8213756879591658E-5</v>
      </c>
      <c r="Q104" s="398">
        <v>1</v>
      </c>
    </row>
    <row r="105" spans="1:17">
      <c r="A105" s="408" t="s">
        <v>714</v>
      </c>
      <c r="B105" s="409" t="s">
        <v>705</v>
      </c>
      <c r="C105" s="406"/>
      <c r="D105" s="406"/>
      <c r="E105" s="400"/>
      <c r="F105" s="413">
        <v>9.0909090909090912E-2</v>
      </c>
      <c r="G105" s="413">
        <v>9.0909090909090912E-2</v>
      </c>
      <c r="H105" s="413">
        <v>9.0909090909090912E-2</v>
      </c>
      <c r="I105" s="413">
        <v>9.0909090909090912E-2</v>
      </c>
      <c r="J105" s="413">
        <v>9.0909090909090912E-2</v>
      </c>
      <c r="K105" s="413">
        <v>9.0909090909090912E-2</v>
      </c>
      <c r="L105" s="413">
        <v>9.0909090909090912E-2</v>
      </c>
      <c r="M105" s="413">
        <v>9.0909090909090912E-2</v>
      </c>
      <c r="N105" s="413">
        <v>9.0909090909090912E-2</v>
      </c>
      <c r="O105" s="413">
        <v>9.0909090909090912E-2</v>
      </c>
      <c r="P105" s="413">
        <v>9.0909090909090912E-2</v>
      </c>
      <c r="Q105" s="398">
        <v>1.0000000000000002</v>
      </c>
    </row>
    <row r="106" spans="1:17">
      <c r="A106" s="381" t="s">
        <v>715</v>
      </c>
      <c r="B106" s="412" t="s">
        <v>716</v>
      </c>
      <c r="C106" s="407"/>
      <c r="D106" s="407"/>
      <c r="E106" s="412"/>
      <c r="F106" s="403">
        <v>0.40098539794179883</v>
      </c>
      <c r="G106" s="403">
        <v>0.26025588717000092</v>
      </c>
      <c r="H106" s="403">
        <v>7.4747564569353109E-2</v>
      </c>
      <c r="I106" s="403">
        <v>3.4284899259339379E-3</v>
      </c>
      <c r="J106" s="403">
        <v>0.14783072004578568</v>
      </c>
      <c r="K106" s="403">
        <v>9.4412932847637611E-3</v>
      </c>
      <c r="L106" s="403">
        <v>3.9453084384303888E-4</v>
      </c>
      <c r="M106" s="403">
        <v>4.5043152143081069E-4</v>
      </c>
      <c r="N106" s="403">
        <v>6.7816045298881203E-2</v>
      </c>
      <c r="O106" s="403">
        <v>1.8233594979557562E-2</v>
      </c>
      <c r="P106" s="403">
        <v>1.641604441865116E-2</v>
      </c>
      <c r="Q106" s="398">
        <v>0.99999999999999989</v>
      </c>
    </row>
    <row r="107" spans="1:17">
      <c r="A107" s="408" t="s">
        <v>717</v>
      </c>
      <c r="B107" s="409" t="s">
        <v>716</v>
      </c>
      <c r="C107" s="406"/>
      <c r="D107" s="406"/>
      <c r="E107" s="400"/>
      <c r="F107" s="403">
        <v>0.33520774129052761</v>
      </c>
      <c r="G107" s="403">
        <v>0.27506428913224384</v>
      </c>
      <c r="H107" s="403">
        <v>8.318960771839376E-2</v>
      </c>
      <c r="I107" s="403">
        <v>1.4706687167195458E-3</v>
      </c>
      <c r="J107" s="403">
        <v>0.18734864324103978</v>
      </c>
      <c r="K107" s="403">
        <v>8.9248656670506219E-3</v>
      </c>
      <c r="L107" s="403">
        <v>3.0526988410958881E-4</v>
      </c>
      <c r="M107" s="403">
        <v>5.0682895215125874E-4</v>
      </c>
      <c r="N107" s="403">
        <v>6.3578642557805043E-2</v>
      </c>
      <c r="O107" s="403">
        <v>2.3189717069953489E-2</v>
      </c>
      <c r="P107" s="403">
        <v>2.1213725770005316E-2</v>
      </c>
      <c r="Q107" s="398">
        <v>1</v>
      </c>
    </row>
    <row r="108" spans="1:17">
      <c r="A108" s="408" t="s">
        <v>718</v>
      </c>
      <c r="B108" s="409" t="s">
        <v>716</v>
      </c>
      <c r="C108" s="406"/>
      <c r="D108" s="406"/>
      <c r="E108" s="400"/>
      <c r="F108" s="403">
        <v>0.34501594332241847</v>
      </c>
      <c r="G108" s="403">
        <v>0.27997560142462197</v>
      </c>
      <c r="H108" s="403">
        <v>8.2572145752059165E-2</v>
      </c>
      <c r="I108" s="403">
        <v>1.361940477165798E-3</v>
      </c>
      <c r="J108" s="403">
        <v>0.17972748271637373</v>
      </c>
      <c r="K108" s="403">
        <v>8.6290546911378819E-3</v>
      </c>
      <c r="L108" s="403">
        <v>2.7832442703616764E-4</v>
      </c>
      <c r="M108" s="403">
        <v>4.377664297307837E-4</v>
      </c>
      <c r="N108" s="403">
        <v>6.1586952901185557E-2</v>
      </c>
      <c r="O108" s="403">
        <v>2.1832971350925788E-2</v>
      </c>
      <c r="P108" s="403">
        <v>1.8581816507344612E-2</v>
      </c>
      <c r="Q108" s="398">
        <v>0.99999999999999978</v>
      </c>
    </row>
    <row r="109" spans="1:17">
      <c r="A109" s="408" t="s">
        <v>719</v>
      </c>
      <c r="B109" s="409" t="s">
        <v>716</v>
      </c>
      <c r="C109" s="406"/>
      <c r="D109" s="406"/>
      <c r="E109" s="400"/>
      <c r="F109" s="403">
        <v>0.61674799414315384</v>
      </c>
      <c r="G109" s="403">
        <v>0.21989624129938681</v>
      </c>
      <c r="H109" s="403">
        <v>4.8348847358515239E-2</v>
      </c>
      <c r="I109" s="403">
        <v>1.1792764248112599E-2</v>
      </c>
      <c r="J109" s="403">
        <v>1.6359647005405884E-3</v>
      </c>
      <c r="K109" s="403">
        <v>1.3097682458697262E-2</v>
      </c>
      <c r="L109" s="403">
        <v>5.4817285844048361E-4</v>
      </c>
      <c r="M109" s="403">
        <v>2.5985634373106308E-4</v>
      </c>
      <c r="N109" s="403">
        <v>8.7403644910120482E-2</v>
      </c>
      <c r="O109" s="403">
        <v>1.452972763192456E-4</v>
      </c>
      <c r="P109" s="403">
        <v>1.2353440298234485E-4</v>
      </c>
      <c r="Q109" s="398">
        <v>0.99999999999999978</v>
      </c>
    </row>
    <row r="110" spans="1:17">
      <c r="A110" s="408" t="s">
        <v>720</v>
      </c>
      <c r="B110" s="409" t="s">
        <v>716</v>
      </c>
      <c r="C110" s="406"/>
      <c r="D110" s="406"/>
      <c r="E110" s="400"/>
      <c r="F110" s="403">
        <v>0.93317331560748717</v>
      </c>
      <c r="G110" s="403">
        <v>1.1202607211403013E-2</v>
      </c>
      <c r="H110" s="403">
        <v>-9.6994716721944627E-3</v>
      </c>
      <c r="I110" s="403">
        <v>6.8210565148394174E-3</v>
      </c>
      <c r="J110" s="403">
        <v>-2.0143673336398205E-2</v>
      </c>
      <c r="K110" s="403">
        <v>5.4919478820787801E-4</v>
      </c>
      <c r="L110" s="403">
        <v>2.6276769271127752E-3</v>
      </c>
      <c r="M110" s="403">
        <v>5.748042682841418E-4</v>
      </c>
      <c r="N110" s="403">
        <v>7.7464557021949598E-2</v>
      </c>
      <c r="O110" s="403">
        <v>-1.4809833192183349E-3</v>
      </c>
      <c r="P110" s="403">
        <v>-1.0890840114731492E-3</v>
      </c>
      <c r="Q110" s="398">
        <v>0.99999999999999989</v>
      </c>
    </row>
    <row r="111" spans="1:17">
      <c r="A111" s="414" t="s">
        <v>721</v>
      </c>
      <c r="B111" s="415" t="s">
        <v>716</v>
      </c>
      <c r="C111" s="367"/>
      <c r="D111" s="367"/>
      <c r="E111" s="375"/>
      <c r="F111" s="403">
        <v>0.42995629043129352</v>
      </c>
      <c r="G111" s="403">
        <v>0.25642985713968153</v>
      </c>
      <c r="H111" s="403">
        <v>7.0910583996450213E-2</v>
      </c>
      <c r="I111" s="403">
        <v>3.2511526980861685E-3</v>
      </c>
      <c r="J111" s="403">
        <v>0.13084435094905983</v>
      </c>
      <c r="K111" s="403">
        <v>9.7468577646661562E-3</v>
      </c>
      <c r="L111" s="403">
        <v>3.5109516169335624E-4</v>
      </c>
      <c r="M111" s="403">
        <v>3.3898206851645145E-4</v>
      </c>
      <c r="N111" s="403">
        <v>6.94780869007358E-2</v>
      </c>
      <c r="O111" s="403">
        <v>1.625023862653055E-2</v>
      </c>
      <c r="P111" s="403">
        <v>1.2442504263286287E-2</v>
      </c>
      <c r="Q111" s="398">
        <v>0.99999999999999989</v>
      </c>
    </row>
    <row r="112" spans="1:17">
      <c r="A112" s="414" t="s">
        <v>722</v>
      </c>
      <c r="B112" s="416" t="s">
        <v>723</v>
      </c>
      <c r="C112" s="417"/>
      <c r="D112" s="417"/>
      <c r="E112" s="416"/>
      <c r="F112" s="418">
        <v>0.38452341873417689</v>
      </c>
      <c r="G112" s="418">
        <v>0.27504575146355281</v>
      </c>
      <c r="H112" s="418">
        <v>7.7419480420297268E-2</v>
      </c>
      <c r="I112" s="418">
        <v>4.4713015966620718E-3</v>
      </c>
      <c r="J112" s="418">
        <v>0.14197156672240743</v>
      </c>
      <c r="K112" s="418">
        <v>9.4369913482660883E-3</v>
      </c>
      <c r="L112" s="418">
        <v>4.2485676577430029E-4</v>
      </c>
      <c r="M112" s="418">
        <v>6.0803040651676303E-4</v>
      </c>
      <c r="N112" s="418">
        <v>7.3012172199791503E-2</v>
      </c>
      <c r="O112" s="418">
        <v>1.6516134630733779E-2</v>
      </c>
      <c r="P112" s="418">
        <v>1.657029571182117E-2</v>
      </c>
      <c r="Q112" s="398">
        <v>1.0000000000000002</v>
      </c>
    </row>
    <row r="113" spans="1:17">
      <c r="A113" s="408" t="s">
        <v>724</v>
      </c>
      <c r="B113" s="409" t="s">
        <v>725</v>
      </c>
      <c r="C113" s="419"/>
      <c r="D113" s="420"/>
      <c r="E113" s="421"/>
      <c r="F113" s="422">
        <v>0.2654944604485901</v>
      </c>
      <c r="G113" s="422">
        <v>0.64226681613913017</v>
      </c>
      <c r="H113" s="422">
        <v>0.1131771933663817</v>
      </c>
      <c r="I113" s="422">
        <v>3.3420935168962301E-2</v>
      </c>
      <c r="J113" s="422">
        <v>-0.25127969147431306</v>
      </c>
      <c r="K113" s="422">
        <v>1.8036593790436678E-2</v>
      </c>
      <c r="L113" s="422">
        <v>1.3719180066211396E-3</v>
      </c>
      <c r="M113" s="422">
        <v>4.4974199619120889E-3</v>
      </c>
      <c r="N113" s="422">
        <v>0.24239689505740578</v>
      </c>
      <c r="O113" s="422">
        <v>-6.0753738510700601E-2</v>
      </c>
      <c r="P113" s="422">
        <v>-8.6288019544262899E-3</v>
      </c>
      <c r="Q113" s="398">
        <v>1</v>
      </c>
    </row>
    <row r="114" spans="1:17">
      <c r="A114" s="408" t="s">
        <v>726</v>
      </c>
      <c r="B114" s="409" t="s">
        <v>725</v>
      </c>
      <c r="C114" s="419"/>
      <c r="D114" s="420"/>
      <c r="E114" s="421"/>
      <c r="F114" s="422">
        <v>0.44494749673508122</v>
      </c>
      <c r="G114" s="422">
        <v>0.19136230493638018</v>
      </c>
      <c r="H114" s="422">
        <v>6.3271705635543588E-2</v>
      </c>
      <c r="I114" s="422">
        <v>-8.5967831501225869E-4</v>
      </c>
      <c r="J114" s="422">
        <v>0.20569558043307568</v>
      </c>
      <c r="K114" s="422">
        <v>8.6890023099305026E-3</v>
      </c>
      <c r="L114" s="422">
        <v>1.5562351583473544E-4</v>
      </c>
      <c r="M114" s="422">
        <v>-5.614440976973781E-4</v>
      </c>
      <c r="N114" s="422">
        <v>3.913189319659998E-2</v>
      </c>
      <c r="O114" s="422">
        <v>3.2474744590735613E-2</v>
      </c>
      <c r="P114" s="422">
        <v>1.569277105952796E-2</v>
      </c>
      <c r="Q114" s="398">
        <v>0.99999999999999989</v>
      </c>
    </row>
    <row r="115" spans="1:17">
      <c r="A115" s="408" t="s">
        <v>727</v>
      </c>
      <c r="B115" s="409" t="s">
        <v>725</v>
      </c>
      <c r="C115" s="419"/>
      <c r="D115" s="420"/>
      <c r="E115" s="421"/>
      <c r="F115" s="422">
        <v>0.27101856586351625</v>
      </c>
      <c r="G115" s="422">
        <v>0.35807063524348243</v>
      </c>
      <c r="H115" s="422">
        <v>9.7888430603556925E-2</v>
      </c>
      <c r="I115" s="422">
        <v>2.7879314464053424E-3</v>
      </c>
      <c r="J115" s="422">
        <v>0.1522133735996922</v>
      </c>
      <c r="K115" s="422">
        <v>8.1641206010389586E-3</v>
      </c>
      <c r="L115" s="422">
        <v>3.4741495200271526E-4</v>
      </c>
      <c r="M115" s="422">
        <v>1.0771005166280688E-3</v>
      </c>
      <c r="N115" s="422">
        <v>7.8314391895591293E-2</v>
      </c>
      <c r="O115" s="422">
        <v>1.1936703614537157E-2</v>
      </c>
      <c r="P115" s="422">
        <v>1.8181331663548638E-2</v>
      </c>
      <c r="Q115" s="398">
        <v>0.99999999999999989</v>
      </c>
    </row>
    <row r="116" spans="1:17">
      <c r="A116" s="408" t="s">
        <v>728</v>
      </c>
      <c r="B116" s="409" t="s">
        <v>725</v>
      </c>
      <c r="C116" s="419"/>
      <c r="D116" s="420"/>
      <c r="E116" s="421"/>
      <c r="F116" s="422">
        <v>0.52148207989998585</v>
      </c>
      <c r="G116" s="422">
        <v>0.27915612547877405</v>
      </c>
      <c r="H116" s="422">
        <v>5.6358500263988476E-2</v>
      </c>
      <c r="I116" s="422">
        <v>1.4500474774664322E-2</v>
      </c>
      <c r="J116" s="422">
        <v>-1.1986174979247351E-4</v>
      </c>
      <c r="K116" s="422">
        <v>1.3972020925793228E-2</v>
      </c>
      <c r="L116" s="422">
        <v>7.087114932232333E-4</v>
      </c>
      <c r="M116" s="422">
        <v>7.1459302716296016E-4</v>
      </c>
      <c r="N116" s="422">
        <v>0.11331617094030944</v>
      </c>
      <c r="O116" s="422">
        <v>-4.0444725747571626E-5</v>
      </c>
      <c r="P116" s="422">
        <v>-4.8370328361584396E-5</v>
      </c>
      <c r="Q116" s="398">
        <v>0.99999999999999978</v>
      </c>
    </row>
    <row r="117" spans="1:17">
      <c r="A117" s="408" t="s">
        <v>729</v>
      </c>
      <c r="B117" s="409" t="s">
        <v>725</v>
      </c>
      <c r="C117" s="419"/>
      <c r="D117" s="420"/>
      <c r="E117" s="421"/>
      <c r="F117" s="422">
        <v>0.99584082568423193</v>
      </c>
      <c r="G117" s="422">
        <v>3.4244320734124943E-2</v>
      </c>
      <c r="H117" s="422">
        <v>-2.3597472946677477E-2</v>
      </c>
      <c r="I117" s="422">
        <v>6.1332612866287113E-3</v>
      </c>
      <c r="J117" s="422">
        <v>-6.6281364844519672E-2</v>
      </c>
      <c r="K117" s="422">
        <v>1.4265051684516309E-3</v>
      </c>
      <c r="L117" s="422">
        <v>2.5444290470021634E-3</v>
      </c>
      <c r="M117" s="422">
        <v>4.3803113095905336E-4</v>
      </c>
      <c r="N117" s="422">
        <v>4.3552025052037167E-2</v>
      </c>
      <c r="O117" s="422">
        <v>4.0097274309180081E-3</v>
      </c>
      <c r="P117" s="422">
        <v>1.6897122568437187E-3</v>
      </c>
      <c r="Q117" s="398">
        <v>1.0000000000000002</v>
      </c>
    </row>
    <row r="118" spans="1:17">
      <c r="A118" s="414" t="s">
        <v>730</v>
      </c>
      <c r="B118" s="409" t="s">
        <v>725</v>
      </c>
      <c r="C118" s="419"/>
      <c r="D118" s="420"/>
      <c r="E118" s="421"/>
      <c r="F118" s="422">
        <v>0.32640311613597067</v>
      </c>
      <c r="G118" s="422">
        <v>0.3370916480254379</v>
      </c>
      <c r="H118" s="422">
        <v>8.6511294699857744E-2</v>
      </c>
      <c r="I118" s="422">
        <v>8.995943431639921E-3</v>
      </c>
      <c r="J118" s="422">
        <v>0.11056364713464753</v>
      </c>
      <c r="K118" s="422">
        <v>9.4394786986375934E-3</v>
      </c>
      <c r="L118" s="422">
        <v>5.1446473140875513E-4</v>
      </c>
      <c r="M118" s="422">
        <v>1.1867293641125332E-3</v>
      </c>
      <c r="N118" s="422">
        <v>9.7500006281647594E-2</v>
      </c>
      <c r="O118" s="422">
        <v>8.5409862788684253E-3</v>
      </c>
      <c r="P118" s="422">
        <v>1.3252685217771414E-2</v>
      </c>
      <c r="Q118" s="398">
        <v>1</v>
      </c>
    </row>
    <row r="119" spans="1:17">
      <c r="A119" s="408" t="s">
        <v>731</v>
      </c>
      <c r="B119" s="409" t="s">
        <v>732</v>
      </c>
      <c r="C119" s="423"/>
      <c r="D119" s="389"/>
      <c r="E119" s="388"/>
      <c r="F119" s="422">
        <v>0.41983605528325596</v>
      </c>
      <c r="G119" s="422">
        <v>0.25449650950362007</v>
      </c>
      <c r="H119" s="422">
        <v>7.1156288904607595E-2</v>
      </c>
      <c r="I119" s="422">
        <v>4.8113948066727044E-3</v>
      </c>
      <c r="J119" s="422">
        <v>0.1403833473090636</v>
      </c>
      <c r="K119" s="422">
        <v>9.3475690100011388E-3</v>
      </c>
      <c r="L119" s="422">
        <v>3.555954069082405E-4</v>
      </c>
      <c r="M119" s="422">
        <v>3.4782943223432301E-4</v>
      </c>
      <c r="N119" s="422">
        <v>6.8468502101613954E-2</v>
      </c>
      <c r="O119" s="422">
        <v>1.7471557965877918E-2</v>
      </c>
      <c r="P119" s="422">
        <v>1.3325350276144662E-2</v>
      </c>
      <c r="Q119" s="398">
        <v>1</v>
      </c>
    </row>
    <row r="120" spans="1:17">
      <c r="A120" s="408" t="s">
        <v>733</v>
      </c>
      <c r="B120" s="409" t="s">
        <v>732</v>
      </c>
      <c r="C120" s="423"/>
      <c r="D120" s="389"/>
      <c r="E120" s="388"/>
      <c r="F120" s="422">
        <v>0.35812804814854488</v>
      </c>
      <c r="G120" s="422">
        <v>0.27152561596323405</v>
      </c>
      <c r="H120" s="422">
        <v>7.9773894604444284E-2</v>
      </c>
      <c r="I120" s="422">
        <v>1.0737452135579093E-3</v>
      </c>
      <c r="J120" s="422">
        <v>0.17818109893757492</v>
      </c>
      <c r="K120" s="422">
        <v>8.3962721888507352E-3</v>
      </c>
      <c r="L120" s="422">
        <v>2.8225284619313204E-4</v>
      </c>
      <c r="M120" s="422">
        <v>3.63836426719484E-4</v>
      </c>
      <c r="N120" s="422">
        <v>6.3135000062855828E-2</v>
      </c>
      <c r="O120" s="422">
        <v>2.2207103640037921E-2</v>
      </c>
      <c r="P120" s="422">
        <v>1.6933131967986865E-2</v>
      </c>
      <c r="Q120" s="398">
        <v>1</v>
      </c>
    </row>
    <row r="121" spans="1:17">
      <c r="A121" s="408" t="s">
        <v>734</v>
      </c>
      <c r="B121" s="409" t="s">
        <v>732</v>
      </c>
      <c r="C121" s="423"/>
      <c r="D121" s="389"/>
      <c r="E121" s="388"/>
      <c r="F121" s="422">
        <v>0.35813996172964169</v>
      </c>
      <c r="G121" s="422">
        <v>0.2715254646558789</v>
      </c>
      <c r="H121" s="422">
        <v>7.9772204472460168E-2</v>
      </c>
      <c r="I121" s="422">
        <v>1.0735125251442033E-3</v>
      </c>
      <c r="J121" s="422">
        <v>0.17817489786137652</v>
      </c>
      <c r="K121" s="422">
        <v>8.3959257178266664E-3</v>
      </c>
      <c r="L121" s="422">
        <v>2.8224092378510452E-4</v>
      </c>
      <c r="M121" s="422">
        <v>3.6376898047443145E-4</v>
      </c>
      <c r="N121" s="422">
        <v>6.3135270608976932E-2</v>
      </c>
      <c r="O121" s="422">
        <v>2.2206264746511536E-2</v>
      </c>
      <c r="P121" s="422">
        <v>1.6930487777923851E-2</v>
      </c>
      <c r="Q121" s="398">
        <v>1</v>
      </c>
    </row>
    <row r="122" spans="1:17">
      <c r="A122" s="408" t="s">
        <v>735</v>
      </c>
      <c r="B122" s="409" t="s">
        <v>732</v>
      </c>
      <c r="C122" s="423"/>
      <c r="D122" s="389"/>
      <c r="E122" s="388"/>
      <c r="F122" s="422">
        <v>0.64554063687476704</v>
      </c>
      <c r="G122" s="422">
        <v>0.19275283611022881</v>
      </c>
      <c r="H122" s="422">
        <v>3.9674935368705096E-2</v>
      </c>
      <c r="I122" s="422">
        <v>1.8601508354733686E-2</v>
      </c>
      <c r="J122" s="422">
        <v>1.469683555149871E-3</v>
      </c>
      <c r="K122" s="422">
        <v>1.2892615607243111E-2</v>
      </c>
      <c r="L122" s="422">
        <v>6.1607418133084084E-4</v>
      </c>
      <c r="M122" s="422">
        <v>2.8762255680189454E-4</v>
      </c>
      <c r="N122" s="422">
        <v>8.8029053828086956E-2</v>
      </c>
      <c r="O122" s="422">
        <v>6.7516781476364897E-5</v>
      </c>
      <c r="P122" s="422">
        <v>6.7516781476364897E-5</v>
      </c>
      <c r="Q122" s="398">
        <v>1</v>
      </c>
    </row>
    <row r="123" spans="1:17">
      <c r="A123" s="408" t="s">
        <v>736</v>
      </c>
      <c r="B123" s="409" t="s">
        <v>732</v>
      </c>
      <c r="C123" s="423"/>
      <c r="D123" s="389"/>
      <c r="E123" s="388"/>
      <c r="F123" s="422">
        <v>0.87052581258056749</v>
      </c>
      <c r="G123" s="422">
        <v>1.8007472907809415E-2</v>
      </c>
      <c r="H123" s="422">
        <v>2.7476967384582171E-4</v>
      </c>
      <c r="I123" s="422">
        <v>7.7035796472103429E-3</v>
      </c>
      <c r="J123" s="422">
        <v>8.2906608011306109E-4</v>
      </c>
      <c r="K123" s="422">
        <v>2.8727789916456184E-3</v>
      </c>
      <c r="L123" s="422">
        <v>2.496927890393962E-3</v>
      </c>
      <c r="M123" s="422">
        <v>5.817641061378765E-4</v>
      </c>
      <c r="N123" s="422">
        <v>9.6697778836456666E-2</v>
      </c>
      <c r="O123" s="422">
        <v>5.0246429097761285E-6</v>
      </c>
      <c r="P123" s="422">
        <v>5.0246429097761285E-6</v>
      </c>
      <c r="Q123" s="398">
        <v>0.99999999999999978</v>
      </c>
    </row>
    <row r="124" spans="1:17">
      <c r="A124" s="414" t="s">
        <v>737</v>
      </c>
      <c r="B124" s="409" t="s">
        <v>732</v>
      </c>
      <c r="C124" s="423"/>
      <c r="D124" s="389"/>
      <c r="E124" s="388"/>
      <c r="F124" s="422">
        <v>9.0909090909090912E-2</v>
      </c>
      <c r="G124" s="422">
        <v>9.0909090909090912E-2</v>
      </c>
      <c r="H124" s="422">
        <v>9.0909090909090912E-2</v>
      </c>
      <c r="I124" s="422">
        <v>9.0909090909090912E-2</v>
      </c>
      <c r="J124" s="422">
        <v>9.0909090909090912E-2</v>
      </c>
      <c r="K124" s="422">
        <v>9.0909090909090912E-2</v>
      </c>
      <c r="L124" s="422">
        <v>9.0909090909090912E-2</v>
      </c>
      <c r="M124" s="422">
        <v>9.0909090909090912E-2</v>
      </c>
      <c r="N124" s="422">
        <v>9.0909090909090912E-2</v>
      </c>
      <c r="O124" s="422">
        <v>9.0909090909090912E-2</v>
      </c>
      <c r="P124" s="422">
        <v>9.0909090909090912E-2</v>
      </c>
      <c r="Q124" s="398">
        <v>1.0000000000000002</v>
      </c>
    </row>
    <row r="125" spans="1:17" ht="13.5" thickBot="1">
      <c r="A125" s="424"/>
      <c r="B125" s="425"/>
      <c r="C125" s="426"/>
      <c r="D125" s="427"/>
      <c r="E125" s="428"/>
      <c r="F125" s="429"/>
      <c r="G125" s="430"/>
      <c r="H125" s="430"/>
      <c r="I125" s="430"/>
      <c r="J125" s="430"/>
      <c r="K125" s="430"/>
      <c r="L125" s="430"/>
      <c r="M125" s="430"/>
      <c r="N125" s="430"/>
      <c r="O125" s="430"/>
      <c r="P125" s="430"/>
      <c r="Q125" s="431"/>
    </row>
    <row r="126" spans="1:17" ht="14.25" thickTop="1" thickBot="1"/>
    <row r="127" spans="1:17" ht="13.5" thickBot="1">
      <c r="A127" s="432">
        <v>1</v>
      </c>
      <c r="B127" s="433">
        <v>2</v>
      </c>
      <c r="C127" s="433">
        <v>3</v>
      </c>
      <c r="D127" s="433">
        <v>4</v>
      </c>
      <c r="E127" s="433">
        <v>5</v>
      </c>
      <c r="F127" s="433">
        <v>6</v>
      </c>
      <c r="G127" s="433">
        <v>7</v>
      </c>
      <c r="H127" s="433">
        <v>8</v>
      </c>
      <c r="I127" s="433">
        <v>9</v>
      </c>
      <c r="J127" s="433">
        <v>10</v>
      </c>
      <c r="K127" s="433">
        <v>11</v>
      </c>
      <c r="L127" s="433">
        <v>12</v>
      </c>
      <c r="M127" s="433">
        <v>13</v>
      </c>
      <c r="N127" s="433">
        <v>14</v>
      </c>
      <c r="O127" s="433">
        <v>15</v>
      </c>
      <c r="P127" s="433">
        <v>16</v>
      </c>
      <c r="Q127" s="434">
        <v>1</v>
      </c>
    </row>
    <row r="133" spans="6:17">
      <c r="F133" s="435"/>
      <c r="Q133" s="359"/>
    </row>
    <row r="135" spans="6:17">
      <c r="Q135" s="359"/>
    </row>
    <row r="136" spans="6:17">
      <c r="F136" s="436"/>
      <c r="G136" s="436"/>
      <c r="H136" s="436"/>
      <c r="I136" s="436"/>
      <c r="J136" s="436"/>
      <c r="K136" s="436"/>
      <c r="L136" s="436"/>
      <c r="M136" s="436"/>
      <c r="N136" s="436"/>
      <c r="O136" s="436"/>
      <c r="P136" s="436"/>
      <c r="Q136" s="359"/>
    </row>
    <row r="137" spans="6:17">
      <c r="Q137" s="359"/>
    </row>
    <row r="138" spans="6:17">
      <c r="Q138" s="359"/>
    </row>
    <row r="139" spans="6:17">
      <c r="Q139" s="359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J20"/>
  <sheetViews>
    <sheetView zoomScale="80" zoomScaleNormal="80" workbookViewId="0">
      <selection activeCell="B21" sqref="B21"/>
    </sheetView>
  </sheetViews>
  <sheetFormatPr defaultRowHeight="15.75"/>
  <cols>
    <col min="1" max="1" width="15.75" bestFit="1" customWidth="1"/>
    <col min="2" max="2" width="20.25" bestFit="1" customWidth="1"/>
    <col min="3" max="3" width="31.25" bestFit="1" customWidth="1"/>
    <col min="4" max="4" width="17.75" bestFit="1" customWidth="1"/>
    <col min="5" max="5" width="13.5" bestFit="1" customWidth="1"/>
    <col min="6" max="6" width="16.75" bestFit="1" customWidth="1"/>
    <col min="7" max="7" width="15.625" bestFit="1" customWidth="1"/>
    <col min="8" max="8" width="7.5" bestFit="1" customWidth="1"/>
    <col min="9" max="9" width="7.875" bestFit="1" customWidth="1"/>
    <col min="10" max="10" width="7.25" bestFit="1" customWidth="1"/>
  </cols>
  <sheetData>
    <row r="1" spans="1:10">
      <c r="A1" s="145" t="s">
        <v>738</v>
      </c>
      <c r="B1" s="145"/>
      <c r="C1" s="145"/>
      <c r="D1" s="145"/>
      <c r="E1" s="145"/>
      <c r="F1" s="145"/>
    </row>
    <row r="2" spans="1:10">
      <c r="A2" s="145"/>
      <c r="B2" s="145"/>
      <c r="C2" s="145"/>
      <c r="D2" s="145"/>
      <c r="E2" s="145"/>
      <c r="F2" s="145"/>
    </row>
    <row r="3" spans="1:10">
      <c r="A3" s="146" t="s">
        <v>739</v>
      </c>
      <c r="B3" s="146" t="s">
        <v>740</v>
      </c>
      <c r="C3" s="146" t="s">
        <v>741</v>
      </c>
      <c r="D3" s="146" t="s">
        <v>742</v>
      </c>
      <c r="E3" s="146" t="s">
        <v>743</v>
      </c>
      <c r="F3" s="146" t="s">
        <v>744</v>
      </c>
      <c r="G3" s="146" t="s">
        <v>745</v>
      </c>
      <c r="J3" s="145" t="s">
        <v>7</v>
      </c>
    </row>
    <row r="4" spans="1:10">
      <c r="A4" s="147">
        <v>41061</v>
      </c>
      <c r="B4" t="s">
        <v>746</v>
      </c>
      <c r="C4" t="s">
        <v>747</v>
      </c>
      <c r="D4" s="143">
        <v>60</v>
      </c>
      <c r="E4">
        <v>3</v>
      </c>
      <c r="F4" s="143">
        <f t="shared" ref="F4:F9" si="0">D4/E4</f>
        <v>20</v>
      </c>
      <c r="G4" s="147">
        <v>42155</v>
      </c>
      <c r="H4" s="144" t="s">
        <v>748</v>
      </c>
    </row>
    <row r="5" spans="1:10">
      <c r="A5" s="147">
        <v>41334</v>
      </c>
      <c r="B5" t="s">
        <v>749</v>
      </c>
      <c r="C5" t="s">
        <v>750</v>
      </c>
      <c r="D5" s="143">
        <v>7.8</v>
      </c>
      <c r="E5">
        <v>2</v>
      </c>
      <c r="F5" s="143">
        <f t="shared" si="0"/>
        <v>3.9</v>
      </c>
      <c r="G5" s="147">
        <v>42063</v>
      </c>
      <c r="H5" s="144" t="s">
        <v>751</v>
      </c>
      <c r="J5" s="143">
        <f>F5-F4</f>
        <v>-16.100000000000001</v>
      </c>
    </row>
    <row r="6" spans="1:10">
      <c r="A6" s="147">
        <v>41579</v>
      </c>
      <c r="B6" s="144" t="s">
        <v>752</v>
      </c>
      <c r="C6" t="s">
        <v>753</v>
      </c>
      <c r="D6" s="143">
        <v>15</v>
      </c>
      <c r="E6">
        <v>2</v>
      </c>
      <c r="F6" s="143">
        <f t="shared" si="0"/>
        <v>7.5</v>
      </c>
      <c r="G6" s="147">
        <v>42308</v>
      </c>
      <c r="H6" s="144" t="s">
        <v>754</v>
      </c>
      <c r="J6" s="143">
        <f t="shared" ref="J6:J17" si="1">F6-F5</f>
        <v>3.6</v>
      </c>
    </row>
    <row r="7" spans="1:10">
      <c r="A7" s="147">
        <v>41944</v>
      </c>
      <c r="B7" s="144" t="s">
        <v>755</v>
      </c>
      <c r="C7" s="144" t="s">
        <v>756</v>
      </c>
      <c r="D7" s="143">
        <v>25.3</v>
      </c>
      <c r="E7">
        <v>1</v>
      </c>
      <c r="F7" s="143">
        <f t="shared" si="0"/>
        <v>25.3</v>
      </c>
      <c r="G7" s="147">
        <v>42308</v>
      </c>
      <c r="H7" s="144" t="s">
        <v>757</v>
      </c>
      <c r="J7" s="143">
        <f t="shared" si="1"/>
        <v>17.8</v>
      </c>
    </row>
    <row r="8" spans="1:10">
      <c r="A8" s="147">
        <v>42309</v>
      </c>
      <c r="B8" s="144" t="s">
        <v>758</v>
      </c>
      <c r="C8" s="144" t="s">
        <v>759</v>
      </c>
      <c r="D8" s="143">
        <v>30</v>
      </c>
      <c r="E8">
        <v>1</v>
      </c>
      <c r="F8" s="143">
        <f t="shared" si="0"/>
        <v>30</v>
      </c>
      <c r="G8" s="147">
        <v>42674</v>
      </c>
      <c r="H8" s="144" t="s">
        <v>760</v>
      </c>
      <c r="J8" s="143">
        <f t="shared" si="1"/>
        <v>4.6999999999999993</v>
      </c>
    </row>
    <row r="9" spans="1:10">
      <c r="A9" s="147">
        <v>42675</v>
      </c>
      <c r="B9" s="144" t="s">
        <v>761</v>
      </c>
      <c r="C9" s="144" t="s">
        <v>762</v>
      </c>
      <c r="D9" s="143">
        <v>15</v>
      </c>
      <c r="E9">
        <v>1</v>
      </c>
      <c r="F9" s="143">
        <f t="shared" si="0"/>
        <v>15</v>
      </c>
      <c r="G9" s="147">
        <v>42855</v>
      </c>
      <c r="H9" s="144" t="s">
        <v>763</v>
      </c>
      <c r="J9" s="143">
        <f t="shared" si="1"/>
        <v>-15</v>
      </c>
    </row>
    <row r="10" spans="1:10">
      <c r="A10" s="147">
        <v>42856</v>
      </c>
      <c r="B10" s="144" t="s">
        <v>764</v>
      </c>
      <c r="C10" s="144" t="s">
        <v>765</v>
      </c>
      <c r="D10" s="143">
        <v>-6.3</v>
      </c>
      <c r="E10">
        <v>1</v>
      </c>
      <c r="F10" s="143">
        <f t="shared" ref="F10" si="2">D10/E10</f>
        <v>-6.3</v>
      </c>
      <c r="G10" s="147">
        <v>43220</v>
      </c>
      <c r="H10" s="144" t="s">
        <v>766</v>
      </c>
      <c r="J10" s="143">
        <f t="shared" si="1"/>
        <v>-21.3</v>
      </c>
    </row>
    <row r="11" spans="1:10">
      <c r="A11" s="147">
        <v>43221</v>
      </c>
      <c r="B11" s="144" t="s">
        <v>767</v>
      </c>
      <c r="C11" s="144" t="s">
        <v>768</v>
      </c>
      <c r="D11" s="143">
        <v>2.8</v>
      </c>
      <c r="E11">
        <v>1</v>
      </c>
      <c r="F11" s="143">
        <f t="shared" ref="F11" si="3">D11/E11</f>
        <v>2.8</v>
      </c>
      <c r="G11" s="147">
        <v>43585</v>
      </c>
      <c r="H11" s="144" t="s">
        <v>769</v>
      </c>
      <c r="J11" s="143">
        <f t="shared" si="1"/>
        <v>9.1</v>
      </c>
    </row>
    <row r="12" spans="1:10">
      <c r="A12" s="147">
        <v>43586</v>
      </c>
      <c r="B12" s="144" t="s">
        <v>770</v>
      </c>
      <c r="C12" s="144" t="s">
        <v>771</v>
      </c>
      <c r="D12" s="143">
        <v>23.2</v>
      </c>
      <c r="E12">
        <v>1</v>
      </c>
      <c r="F12" s="143">
        <f t="shared" ref="F12" si="4">D12/E12</f>
        <v>23.2</v>
      </c>
      <c r="G12" s="147">
        <v>43951</v>
      </c>
      <c r="H12" s="144" t="s">
        <v>772</v>
      </c>
      <c r="J12" s="143">
        <f t="shared" si="1"/>
        <v>20.399999999999999</v>
      </c>
    </row>
    <row r="13" spans="1:10">
      <c r="A13" s="147">
        <v>43678</v>
      </c>
      <c r="B13" s="144" t="s">
        <v>770</v>
      </c>
      <c r="C13" s="144" t="s">
        <v>771</v>
      </c>
      <c r="D13" s="143">
        <v>0</v>
      </c>
      <c r="F13" s="143"/>
      <c r="G13" s="147">
        <v>43921</v>
      </c>
      <c r="H13" s="144" t="s">
        <v>772</v>
      </c>
      <c r="J13" s="143">
        <f t="shared" si="1"/>
        <v>-23.2</v>
      </c>
    </row>
    <row r="14" spans="1:10">
      <c r="A14" s="147">
        <v>43922</v>
      </c>
      <c r="B14" s="144" t="s">
        <v>770</v>
      </c>
      <c r="C14" s="144" t="s">
        <v>771</v>
      </c>
      <c r="D14" s="143">
        <v>17.3</v>
      </c>
      <c r="E14">
        <v>1</v>
      </c>
      <c r="F14" s="143">
        <f t="shared" ref="F14" si="5">D14/E14</f>
        <v>17.3</v>
      </c>
      <c r="G14" s="147">
        <v>44255</v>
      </c>
      <c r="H14" s="144" t="s">
        <v>772</v>
      </c>
      <c r="J14" s="143">
        <f t="shared" si="1"/>
        <v>17.3</v>
      </c>
    </row>
    <row r="15" spans="1:10">
      <c r="A15" s="147">
        <v>44256</v>
      </c>
      <c r="B15" s="144" t="s">
        <v>773</v>
      </c>
      <c r="C15" s="144" t="s">
        <v>774</v>
      </c>
      <c r="D15" s="143">
        <v>36.799999999999997</v>
      </c>
      <c r="E15">
        <v>1</v>
      </c>
      <c r="F15" s="143">
        <f t="shared" ref="F15" si="6">D15/E15</f>
        <v>36.799999999999997</v>
      </c>
      <c r="G15" s="147">
        <v>44620</v>
      </c>
      <c r="H15" s="144" t="s">
        <v>775</v>
      </c>
      <c r="J15" s="143">
        <f t="shared" si="1"/>
        <v>19.499999999999996</v>
      </c>
    </row>
    <row r="16" spans="1:10">
      <c r="A16" s="147">
        <v>44621</v>
      </c>
      <c r="B16" s="144" t="s">
        <v>776</v>
      </c>
      <c r="C16" s="144" t="s">
        <v>777</v>
      </c>
      <c r="D16" s="143">
        <v>1.7</v>
      </c>
      <c r="E16">
        <v>1</v>
      </c>
      <c r="F16" s="143">
        <f t="shared" ref="F16" si="7">D16/E16</f>
        <v>1.7</v>
      </c>
      <c r="G16" s="147">
        <v>44985</v>
      </c>
      <c r="H16" s="144" t="s">
        <v>778</v>
      </c>
      <c r="I16" t="s">
        <v>779</v>
      </c>
      <c r="J16" s="143">
        <f t="shared" si="1"/>
        <v>-35.099999999999994</v>
      </c>
    </row>
    <row r="17" spans="1:10">
      <c r="A17" s="147">
        <v>44682</v>
      </c>
      <c r="B17" s="144" t="s">
        <v>780</v>
      </c>
      <c r="C17" s="144" t="s">
        <v>781</v>
      </c>
      <c r="D17" s="143">
        <v>90.1</v>
      </c>
      <c r="E17" s="470">
        <f>14/12</f>
        <v>1.1666666666666667</v>
      </c>
      <c r="F17" s="143">
        <f>D17/E17</f>
        <v>77.228571428571414</v>
      </c>
      <c r="G17" s="147">
        <v>45107</v>
      </c>
      <c r="H17" s="144" t="s">
        <v>782</v>
      </c>
      <c r="J17" s="143">
        <f t="shared" si="1"/>
        <v>75.528571428571411</v>
      </c>
    </row>
    <row r="18" spans="1:10">
      <c r="A18" s="147">
        <v>45108</v>
      </c>
      <c r="B18" s="144" t="s">
        <v>783</v>
      </c>
      <c r="C18" s="144" t="s">
        <v>784</v>
      </c>
      <c r="D18" s="143">
        <v>175.8</v>
      </c>
      <c r="E18" s="470">
        <f>12/12</f>
        <v>1</v>
      </c>
      <c r="F18" s="143">
        <f>D18/E18</f>
        <v>175.8</v>
      </c>
      <c r="G18" s="147">
        <v>45473</v>
      </c>
      <c r="H18" s="144" t="s">
        <v>785</v>
      </c>
      <c r="J18" s="143">
        <f>F18-F17</f>
        <v>98.571428571428598</v>
      </c>
    </row>
    <row r="19" spans="1:10">
      <c r="A19" s="147">
        <v>45474</v>
      </c>
      <c r="B19" s="144" t="s">
        <v>786</v>
      </c>
      <c r="C19" s="144" t="s">
        <v>787</v>
      </c>
      <c r="D19" s="143">
        <v>431.6</v>
      </c>
      <c r="E19" s="470">
        <v>1</v>
      </c>
      <c r="F19" s="143">
        <f>D19/E19</f>
        <v>431.6</v>
      </c>
      <c r="G19" s="147">
        <v>45838</v>
      </c>
      <c r="H19" s="144" t="s">
        <v>788</v>
      </c>
      <c r="J19" s="143">
        <f>F19-F18</f>
        <v>255.8</v>
      </c>
    </row>
    <row r="20" spans="1:10">
      <c r="A20" s="147">
        <v>45839</v>
      </c>
      <c r="B20" s="144" t="s">
        <v>789</v>
      </c>
      <c r="C20" s="144" t="s">
        <v>790</v>
      </c>
      <c r="D20" s="143">
        <v>471.6</v>
      </c>
      <c r="E20" s="470">
        <v>1</v>
      </c>
      <c r="F20" s="143">
        <f>D20/E20</f>
        <v>471.6</v>
      </c>
      <c r="G20" s="147">
        <v>46203</v>
      </c>
      <c r="H20" s="144" t="s">
        <v>791</v>
      </c>
      <c r="J20" s="143">
        <f>F20-F19</f>
        <v>40</v>
      </c>
    </row>
  </sheetData>
  <phoneticPr fontId="9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P64"/>
  <sheetViews>
    <sheetView view="pageBreakPreview" topLeftCell="A9" zoomScale="90" zoomScaleNormal="70" zoomScaleSheetLayoutView="90" workbookViewId="0">
      <pane xSplit="3" ySplit="3" topLeftCell="D36" activePane="bottomRight" state="frozen"/>
      <selection pane="topRight" activeCell="AC24" sqref="AC24"/>
      <selection pane="bottomLeft" activeCell="AC24" sqref="AC24"/>
      <selection pane="bottomRight" activeCell="P18" sqref="P18"/>
    </sheetView>
  </sheetViews>
  <sheetFormatPr defaultColWidth="9" defaultRowHeight="15.75"/>
  <cols>
    <col min="1" max="1" width="4.625" style="59" customWidth="1"/>
    <col min="2" max="2" width="0.75" style="59" customWidth="1"/>
    <col min="3" max="3" width="35.625" style="59" customWidth="1"/>
    <col min="4" max="4" width="0.75" style="59" customWidth="1"/>
    <col min="5" max="5" width="7.5" style="59" bestFit="1" customWidth="1"/>
    <col min="6" max="6" width="0.75" style="59" customWidth="1"/>
    <col min="7" max="7" width="15.125" style="59" customWidth="1"/>
    <col min="8" max="8" width="0.75" style="59" customWidth="1"/>
    <col min="9" max="9" width="18.625" style="72" bestFit="1" customWidth="1"/>
    <col min="10" max="10" width="0.75" style="59" customWidth="1"/>
    <col min="11" max="11" width="11.25" style="59" customWidth="1"/>
    <col min="12" max="12" width="0.75" style="59" customWidth="1"/>
    <col min="13" max="13" width="7.25" style="59" customWidth="1"/>
    <col min="14" max="14" width="11.125" style="59" bestFit="1" customWidth="1"/>
    <col min="15" max="15" width="11.625" style="59" bestFit="1" customWidth="1"/>
    <col min="16" max="16384" width="9" style="59"/>
  </cols>
  <sheetData>
    <row r="1" spans="1:14">
      <c r="A1" s="35" t="s">
        <v>63</v>
      </c>
      <c r="B1" s="35"/>
      <c r="C1" s="35"/>
      <c r="D1" s="35"/>
      <c r="E1" s="35"/>
      <c r="F1" s="35"/>
      <c r="G1" s="58"/>
      <c r="H1" s="35"/>
      <c r="I1" s="73"/>
      <c r="J1" s="58"/>
      <c r="K1" s="58"/>
      <c r="L1" s="58"/>
      <c r="M1" s="35"/>
    </row>
    <row r="2" spans="1:14" customFormat="1">
      <c r="A2" s="35" t="s">
        <v>1</v>
      </c>
      <c r="B2" s="35"/>
      <c r="C2" s="35"/>
      <c r="D2" s="35"/>
      <c r="E2" s="35"/>
      <c r="F2" s="35"/>
      <c r="G2" s="58"/>
      <c r="H2" s="35"/>
      <c r="I2" s="73"/>
      <c r="J2" s="58"/>
      <c r="K2" s="58"/>
      <c r="L2" s="58"/>
      <c r="M2" s="35"/>
    </row>
    <row r="3" spans="1:14" customFormat="1">
      <c r="A3" s="35" t="s">
        <v>2</v>
      </c>
      <c r="B3" s="35"/>
      <c r="C3" s="35"/>
      <c r="D3" s="35"/>
      <c r="E3" s="35"/>
      <c r="F3" s="35"/>
      <c r="G3" s="58"/>
      <c r="H3" s="35"/>
      <c r="I3" s="73"/>
      <c r="J3" s="58"/>
      <c r="K3" s="58"/>
      <c r="L3" s="58"/>
      <c r="M3" s="35"/>
    </row>
    <row r="4" spans="1:14" customFormat="1">
      <c r="A4" s="35" t="s">
        <v>3</v>
      </c>
      <c r="B4" s="35"/>
      <c r="C4" s="35"/>
      <c r="D4" s="35"/>
      <c r="E4" s="35"/>
      <c r="F4" s="35"/>
      <c r="G4" s="58"/>
      <c r="H4" s="35"/>
      <c r="I4" s="73"/>
      <c r="J4" s="58"/>
      <c r="K4" s="58"/>
      <c r="L4" s="58"/>
      <c r="M4" s="35"/>
    </row>
    <row r="5" spans="1:14" customFormat="1" ht="16.5">
      <c r="A5" s="197" t="s">
        <v>4</v>
      </c>
      <c r="B5" s="35"/>
      <c r="C5" s="35"/>
      <c r="D5" s="35"/>
      <c r="E5" s="35"/>
      <c r="F5" s="35"/>
      <c r="G5" s="58"/>
      <c r="H5" s="35"/>
      <c r="I5" s="73"/>
      <c r="J5" s="58"/>
      <c r="K5" s="58"/>
      <c r="L5" s="58"/>
      <c r="M5" s="35"/>
    </row>
    <row r="6" spans="1:14">
      <c r="A6" s="35" t="s">
        <v>5</v>
      </c>
      <c r="B6" s="35"/>
      <c r="C6" s="35"/>
      <c r="D6" s="35"/>
      <c r="E6" s="35"/>
      <c r="F6" s="35"/>
      <c r="G6" s="58"/>
      <c r="H6" s="35"/>
      <c r="I6" s="73"/>
      <c r="J6" s="58"/>
      <c r="K6" s="58"/>
      <c r="L6" s="58"/>
      <c r="M6" s="35"/>
    </row>
    <row r="7" spans="1:14">
      <c r="A7" s="35"/>
      <c r="B7" s="35"/>
      <c r="C7" s="35"/>
      <c r="D7" s="35"/>
      <c r="E7" s="35"/>
      <c r="F7" s="35"/>
      <c r="G7" s="58"/>
      <c r="H7" s="35"/>
      <c r="I7" s="73"/>
      <c r="K7" s="58"/>
      <c r="L7" s="58"/>
      <c r="M7" s="35"/>
    </row>
    <row r="8" spans="1:14">
      <c r="A8" s="35"/>
      <c r="B8" s="35"/>
      <c r="C8" s="35"/>
      <c r="D8" s="35"/>
      <c r="E8" s="35"/>
      <c r="F8" s="35"/>
      <c r="G8" s="35"/>
      <c r="H8" s="69"/>
      <c r="I8" s="74"/>
      <c r="K8" s="35"/>
      <c r="L8" s="35"/>
      <c r="M8" s="35"/>
    </row>
    <row r="9" spans="1:14">
      <c r="D9" s="34"/>
      <c r="E9" s="34"/>
      <c r="F9" s="34"/>
      <c r="G9" s="34" t="s">
        <v>64</v>
      </c>
      <c r="H9" s="34"/>
      <c r="I9" s="71" t="s">
        <v>65</v>
      </c>
      <c r="K9" s="71" t="s">
        <v>66</v>
      </c>
      <c r="L9" s="71"/>
      <c r="M9" s="71"/>
    </row>
    <row r="10" spans="1:14" s="37" customFormat="1">
      <c r="A10" s="37" t="s">
        <v>8</v>
      </c>
      <c r="D10" s="34"/>
      <c r="E10" s="34" t="s">
        <v>9</v>
      </c>
      <c r="F10" s="34"/>
      <c r="G10" s="34" t="s">
        <v>67</v>
      </c>
      <c r="H10" s="34"/>
      <c r="I10" s="161" t="s">
        <v>68</v>
      </c>
      <c r="K10" s="162" t="s">
        <v>69</v>
      </c>
      <c r="L10" s="160"/>
      <c r="M10" s="160"/>
    </row>
    <row r="11" spans="1:14" s="37" customFormat="1">
      <c r="A11" s="170" t="s">
        <v>16</v>
      </c>
      <c r="C11" s="60" t="s">
        <v>17</v>
      </c>
      <c r="E11" s="60" t="s">
        <v>16</v>
      </c>
      <c r="G11" s="36" t="s">
        <v>20</v>
      </c>
      <c r="I11" s="75" t="s">
        <v>20</v>
      </c>
      <c r="K11" s="75" t="s">
        <v>20</v>
      </c>
      <c r="L11" s="156"/>
      <c r="M11" s="28" t="s">
        <v>70</v>
      </c>
    </row>
    <row r="12" spans="1:14" s="37" customFormat="1">
      <c r="C12" s="19">
        <v>-1</v>
      </c>
      <c r="D12" s="19"/>
      <c r="E12" s="19">
        <f>MIN($A12:D12)-1</f>
        <v>-2</v>
      </c>
      <c r="F12" s="19"/>
      <c r="G12" s="19">
        <v>-3</v>
      </c>
      <c r="H12" s="19"/>
      <c r="I12" s="19">
        <v>-4</v>
      </c>
      <c r="K12" s="19">
        <v>-5</v>
      </c>
      <c r="M12" s="19">
        <v>-6</v>
      </c>
    </row>
    <row r="13" spans="1:14" s="37" customFormat="1">
      <c r="I13" s="76"/>
      <c r="K13" s="34"/>
      <c r="L13" s="34"/>
    </row>
    <row r="14" spans="1:14" ht="18.75" customHeight="1">
      <c r="C14" s="37" t="s">
        <v>22</v>
      </c>
    </row>
    <row r="15" spans="1:14">
      <c r="A15" s="59">
        <v>1</v>
      </c>
      <c r="C15" s="59" t="s">
        <v>22</v>
      </c>
      <c r="E15" s="61" t="s">
        <v>23</v>
      </c>
      <c r="G15" s="21">
        <f>'Exhibit-RMP(RMM-1) page 1'!K15</f>
        <v>749388.55500000005</v>
      </c>
      <c r="H15" s="22"/>
      <c r="I15" s="77"/>
      <c r="J15" s="22"/>
      <c r="K15" s="21">
        <f>K$18*$G15/SUM($G$15:$G$16)</f>
        <v>144717.36022920322</v>
      </c>
      <c r="L15" s="141"/>
      <c r="M15" s="29">
        <f>K15/$G15</f>
        <v>0.19311391835868538</v>
      </c>
      <c r="N15" s="207">
        <f>K15-'Exhibit-RMP(RMM-1) page 1'!S15</f>
        <v>2.4355956806393806</v>
      </c>
    </row>
    <row r="16" spans="1:14">
      <c r="A16" s="59">
        <f>MAX(A$14:A15)+1</f>
        <v>2</v>
      </c>
      <c r="C16" s="59" t="s">
        <v>24</v>
      </c>
      <c r="E16" s="61" t="s">
        <v>25</v>
      </c>
      <c r="G16" s="21">
        <f>'Exhibit-RMP(RMM-1) page 1'!K16</f>
        <v>618.27700000000004</v>
      </c>
      <c r="H16" s="22"/>
      <c r="I16" s="77"/>
      <c r="J16" s="22"/>
      <c r="K16" s="21">
        <f>K$18*$G16/SUM($G$15:$G$16)</f>
        <v>119.39789410105293</v>
      </c>
      <c r="L16" s="21"/>
      <c r="M16" s="79">
        <f>K16/$G16</f>
        <v>0.19311391835868538</v>
      </c>
      <c r="N16" s="207">
        <f>K16-'Exhibit-RMP(RMM-1) page 1'!S16</f>
        <v>-2.4330573796970612</v>
      </c>
    </row>
    <row r="17" spans="1:16">
      <c r="A17" s="59">
        <f>MAX(A$14:A16)+1</f>
        <v>3</v>
      </c>
      <c r="C17" s="59" t="s">
        <v>27</v>
      </c>
      <c r="E17" s="61" t="s">
        <v>28</v>
      </c>
      <c r="G17" s="23">
        <f>'Exhibit-RMP(RMM-1) page 1'!K17</f>
        <v>6.7950900000000622</v>
      </c>
      <c r="H17" s="22"/>
      <c r="I17" s="78"/>
      <c r="J17" s="22"/>
      <c r="K17" s="23"/>
      <c r="L17" s="23"/>
      <c r="M17" s="80"/>
      <c r="N17" s="207">
        <f>K17-'Exhibit-RMP(RMM-1) page 1'!S17</f>
        <v>0</v>
      </c>
    </row>
    <row r="18" spans="1:16">
      <c r="A18" s="59">
        <f>MAX(A$14:A17)+1</f>
        <v>4</v>
      </c>
      <c r="C18" s="37" t="s">
        <v>30</v>
      </c>
      <c r="G18" s="21">
        <f>SUM(G15:G17)</f>
        <v>750013.62709000008</v>
      </c>
      <c r="H18" s="22"/>
      <c r="I18" s="77">
        <f>'Exhibit-RMP(RMM-1) page 3'!G31/1000</f>
        <v>140076.5712342702</v>
      </c>
      <c r="J18" s="22"/>
      <c r="K18" s="21">
        <f>I18/($I$49-$I$34-$I$35)*($K$51-$G$34*$K$52-$G$35*$K$52)*$K$54</f>
        <v>144836.75812330426</v>
      </c>
      <c r="L18" s="21"/>
      <c r="M18" s="79">
        <f>K18/$G18</f>
        <v>0.19311216875520068</v>
      </c>
      <c r="N18" s="207">
        <f>K18-'Exhibit-RMP(RMM-1) page 1'!S18</f>
        <v>2.5383009342476726E-3</v>
      </c>
      <c r="O18" s="164">
        <f>I18/$I$49</f>
        <v>0.29976597925625176</v>
      </c>
      <c r="P18" s="164">
        <f>K18/$K$49</f>
        <v>0.30710783880283427</v>
      </c>
    </row>
    <row r="19" spans="1:16" ht="24.75" customHeight="1">
      <c r="C19" s="37" t="s">
        <v>31</v>
      </c>
      <c r="G19" s="21"/>
      <c r="H19" s="22"/>
      <c r="I19" s="77"/>
      <c r="J19" s="22"/>
      <c r="K19" s="21"/>
      <c r="L19" s="62"/>
      <c r="M19" s="79"/>
      <c r="N19" s="207"/>
      <c r="O19" s="164"/>
      <c r="P19" s="164"/>
    </row>
    <row r="20" spans="1:16">
      <c r="A20" s="59">
        <f>MAX(A$14:A19)+1</f>
        <v>5</v>
      </c>
      <c r="C20" s="59" t="s">
        <v>32</v>
      </c>
      <c r="E20" s="63">
        <v>6</v>
      </c>
      <c r="G20" s="21">
        <f>'Exhibit-RMP(RMM-1) page 1'!K20</f>
        <v>476830.033</v>
      </c>
      <c r="H20" s="22"/>
      <c r="I20" s="77"/>
      <c r="J20" s="22"/>
      <c r="K20" s="21">
        <f>K$22*$G20/$G$22</f>
        <v>119723.26546014669</v>
      </c>
      <c r="L20" s="141"/>
      <c r="M20" s="79">
        <f t="shared" ref="M20:M36" si="0">K20/$G20</f>
        <v>0.25108163742728573</v>
      </c>
      <c r="N20" s="207">
        <f>K20-'Exhibit-RMP(RMM-1) page 1'!S20</f>
        <v>1.671277976129204E-3</v>
      </c>
      <c r="O20" s="164"/>
      <c r="P20" s="164"/>
    </row>
    <row r="21" spans="1:16">
      <c r="A21" s="59">
        <f>MAX(A$14:A20)+1</f>
        <v>6</v>
      </c>
      <c r="C21" s="59" t="s">
        <v>33</v>
      </c>
      <c r="E21" s="61" t="s">
        <v>34</v>
      </c>
      <c r="G21" s="23">
        <f>'Exhibit-RMP(RMM-1) page 1'!K21</f>
        <v>47103.563999999998</v>
      </c>
      <c r="H21" s="22"/>
      <c r="I21" s="78"/>
      <c r="J21" s="22"/>
      <c r="K21" s="23">
        <f>K$22*$G21/$G$22</f>
        <v>11826.839977780948</v>
      </c>
      <c r="L21" s="23"/>
      <c r="M21" s="80">
        <f t="shared" si="0"/>
        <v>0.25108163742728573</v>
      </c>
      <c r="N21" s="207">
        <f>K21-'Exhibit-RMP(RMM-1) page 1'!S21</f>
        <v>-2.0933048836013768E-4</v>
      </c>
      <c r="O21" s="164"/>
      <c r="P21" s="164"/>
    </row>
    <row r="22" spans="1:16">
      <c r="A22" s="59">
        <f>MAX(A$14:A21)+1</f>
        <v>7</v>
      </c>
      <c r="C22" s="64" t="s">
        <v>35</v>
      </c>
      <c r="D22" s="64"/>
      <c r="E22" s="64"/>
      <c r="F22" s="64"/>
      <c r="G22" s="461">
        <f>SUM(G20:G21)</f>
        <v>523933.59700000001</v>
      </c>
      <c r="H22" s="462"/>
      <c r="I22" s="463">
        <f>'Exhibit-RMP(RMM-1) page 3'!H31/1000</f>
        <v>127226.59602449847</v>
      </c>
      <c r="J22" s="462"/>
      <c r="K22" s="461">
        <f>I22/($I$49-$I$34-$I$35)*($K$51-$G$34*$K$52-$G$35*$K$52)*$K$54</f>
        <v>131550.10543792765</v>
      </c>
      <c r="L22" s="461"/>
      <c r="M22" s="464">
        <f t="shared" si="0"/>
        <v>0.25108163742728573</v>
      </c>
      <c r="N22" s="465">
        <f>K22-'Exhibit-RMP(RMM-1) page 1'!S22</f>
        <v>1.4619474823120981E-3</v>
      </c>
      <c r="O22" s="466">
        <f>I22/$I$49</f>
        <v>0.27226683812055424</v>
      </c>
      <c r="P22" s="466">
        <f>K22/$K$49</f>
        <v>0.27893518951130514</v>
      </c>
    </row>
    <row r="23" spans="1:16" ht="23.1" customHeight="1">
      <c r="A23" s="59">
        <f>MAX(A$14:A22)+1</f>
        <v>8</v>
      </c>
      <c r="C23" s="59" t="s">
        <v>36</v>
      </c>
      <c r="E23" s="59">
        <v>8</v>
      </c>
      <c r="F23" s="20"/>
      <c r="G23" s="21">
        <f>'Exhibit-RMP(RMM-1) page 1'!K23</f>
        <v>148125.87700000001</v>
      </c>
      <c r="H23" s="22"/>
      <c r="I23" s="77">
        <f>'Exhibit-RMP(RMM-1) page 3'!I31/1000</f>
        <v>41146.198844660728</v>
      </c>
      <c r="J23" s="22"/>
      <c r="K23" s="21">
        <f>I23/($I$49-$I$34-$I$35)*($K$51-$G$34*$K$52-$G$35*$K$52)*$K$54</f>
        <v>42544.459771153364</v>
      </c>
      <c r="L23" s="21"/>
      <c r="M23" s="79">
        <f t="shared" si="0"/>
        <v>0.28721828105128022</v>
      </c>
      <c r="N23" s="207">
        <f>K23-'Exhibit-RMP(RMM-1) page 1'!S23</f>
        <v>3.6114784597884864E-4</v>
      </c>
      <c r="O23" s="164">
        <f>I23/$I$49</f>
        <v>8.8053487322400745E-2</v>
      </c>
      <c r="P23" s="164">
        <f>K23/$K$49</f>
        <v>9.0210090743882476E-2</v>
      </c>
    </row>
    <row r="24" spans="1:16" ht="23.1" customHeight="1">
      <c r="A24" s="59">
        <f>MAX(A$14:A23)+1</f>
        <v>9</v>
      </c>
      <c r="C24" s="59" t="s">
        <v>37</v>
      </c>
      <c r="E24" s="59">
        <v>9</v>
      </c>
      <c r="G24" s="21">
        <f>'Exhibit-RMP(RMM-1) page 1'!K24</f>
        <v>273346.62900000002</v>
      </c>
      <c r="H24" s="22"/>
      <c r="I24" s="77"/>
      <c r="J24" s="22"/>
      <c r="K24" s="21">
        <f>K$26*$G24/$G$26+K53</f>
        <v>96334.319632143117</v>
      </c>
      <c r="L24" s="21"/>
      <c r="M24" s="79">
        <f t="shared" si="0"/>
        <v>0.35242548987916406</v>
      </c>
      <c r="N24" s="207">
        <f>K24-'Exhibit-RMP(RMM-1) page 1'!S24</f>
        <v>-8.8129054347518831E-4</v>
      </c>
      <c r="O24" s="164"/>
      <c r="P24" s="164"/>
    </row>
    <row r="25" spans="1:16">
      <c r="A25" s="59">
        <f>MAX(A$14:A24)+1</f>
        <v>10</v>
      </c>
      <c r="C25" s="59" t="s">
        <v>38</v>
      </c>
      <c r="E25" s="61" t="s">
        <v>39</v>
      </c>
      <c r="G25" s="23">
        <f>'Exhibit-RMP(RMM-1) page 1'!K25</f>
        <v>2993.1880000000001</v>
      </c>
      <c r="H25" s="22"/>
      <c r="I25" s="78"/>
      <c r="J25" s="22"/>
      <c r="K25" s="23">
        <f>K$26*$G25/$G$26</f>
        <v>1091.4794845731208</v>
      </c>
      <c r="L25" s="23"/>
      <c r="M25" s="80">
        <f t="shared" si="0"/>
        <v>0.36465450368407221</v>
      </c>
      <c r="N25" s="207">
        <f>K25-'Exhibit-RMP(RMM-1) page 1'!S25</f>
        <v>-8.4903590504836757E-6</v>
      </c>
      <c r="O25" s="164"/>
      <c r="P25" s="164"/>
    </row>
    <row r="26" spans="1:16">
      <c r="A26" s="59">
        <f>MAX(A$14:A25)+1</f>
        <v>11</v>
      </c>
      <c r="C26" s="64" t="s">
        <v>40</v>
      </c>
      <c r="D26" s="64"/>
      <c r="E26" s="64"/>
      <c r="F26" s="64"/>
      <c r="G26" s="461">
        <f>SUM(G24:G25)</f>
        <v>276339.81700000004</v>
      </c>
      <c r="H26" s="462"/>
      <c r="I26" s="463">
        <f>'Exhibit-RMP(RMM-1) page 3'!K31/1000</f>
        <v>97456.711887923462</v>
      </c>
      <c r="J26" s="462"/>
      <c r="K26" s="461">
        <f>I26/($I$49-$I$34-$I$35)*($K$51-$G$34*$K$52-$G$35*$K$52)*$K$54</f>
        <v>100768.55881628236</v>
      </c>
      <c r="L26" s="461"/>
      <c r="M26" s="464">
        <f t="shared" si="0"/>
        <v>0.36465450368407221</v>
      </c>
      <c r="N26" s="465">
        <f>K26-'Exhibit-RMP(RMM-1) page 1'!S26</f>
        <v>3342.7588097852131</v>
      </c>
      <c r="O26" s="466">
        <f>I26/$I$49</f>
        <v>0.20855883619051929</v>
      </c>
      <c r="P26" s="466">
        <f>K26/$K$49</f>
        <v>0.21366685307191655</v>
      </c>
    </row>
    <row r="27" spans="1:16" ht="23.1" customHeight="1">
      <c r="A27" s="59">
        <f>MAX(A$14:A26)+1</f>
        <v>12</v>
      </c>
      <c r="C27" s="59" t="s">
        <v>41</v>
      </c>
      <c r="E27" s="61">
        <v>10</v>
      </c>
      <c r="G27" s="21">
        <f>'Exhibit-RMP(RMM-1) page 1'!K27</f>
        <v>16042.852000000001</v>
      </c>
      <c r="H27" s="22"/>
      <c r="I27" s="77"/>
      <c r="J27" s="22"/>
      <c r="K27" s="21">
        <f>K$29*$G27/$G$29</f>
        <v>4348.9584641521596</v>
      </c>
      <c r="L27" s="21"/>
      <c r="M27" s="79">
        <f t="shared" si="0"/>
        <v>0.27108387362497388</v>
      </c>
      <c r="N27" s="207">
        <f>K27-'Exhibit-RMP(RMM-1) page 1'!S27</f>
        <v>7.2907237856097709</v>
      </c>
      <c r="O27" s="164"/>
      <c r="P27" s="164"/>
    </row>
    <row r="28" spans="1:16">
      <c r="A28" s="59">
        <f>MAX(A$14:A27)+1</f>
        <v>13</v>
      </c>
      <c r="C28" s="59" t="s">
        <v>42</v>
      </c>
      <c r="E28" s="61" t="s">
        <v>43</v>
      </c>
      <c r="G28" s="23">
        <f>'Exhibit-RMP(RMM-1) page 1'!K28</f>
        <v>1947.394</v>
      </c>
      <c r="H28" s="22"/>
      <c r="I28" s="78"/>
      <c r="J28" s="22"/>
      <c r="K28" s="23">
        <f>K$29*$G28/$G$29</f>
        <v>527.90710899403234</v>
      </c>
      <c r="L28" s="23"/>
      <c r="M28" s="80">
        <f t="shared" si="0"/>
        <v>0.27108387362497388</v>
      </c>
      <c r="N28" s="207">
        <f>K28-'Exhibit-RMP(RMM-1) page 1'!S28</f>
        <v>-7.2907794218176605</v>
      </c>
      <c r="O28" s="164"/>
      <c r="P28" s="164"/>
    </row>
    <row r="29" spans="1:16">
      <c r="A29" s="59">
        <f>MAX(A$14:A28)+1</f>
        <v>14</v>
      </c>
      <c r="C29" s="64" t="s">
        <v>44</v>
      </c>
      <c r="D29" s="64"/>
      <c r="E29" s="64"/>
      <c r="F29" s="64"/>
      <c r="G29" s="461">
        <f>SUM(G27:G28)</f>
        <v>17990.245999999999</v>
      </c>
      <c r="H29" s="462"/>
      <c r="I29" s="463">
        <f>'Exhibit-RMP(RMM-1) page 3'!L31/1000</f>
        <v>4716.5831154215539</v>
      </c>
      <c r="J29" s="462"/>
      <c r="K29" s="461">
        <f>I29/($I$49-$I$34-$I$35)*($K$51-$G$34*$K$52-$G$35*$K$52)*$K$54</f>
        <v>4876.8655731461913</v>
      </c>
      <c r="L29" s="461"/>
      <c r="M29" s="464">
        <f t="shared" si="0"/>
        <v>0.27108387362497388</v>
      </c>
      <c r="N29" s="465">
        <f>K29-'Exhibit-RMP(RMM-1) page 1'!S29</f>
        <v>-5.5636208344367333E-5</v>
      </c>
      <c r="O29" s="466">
        <f>I29/$I$49</f>
        <v>1.0093559143257616E-2</v>
      </c>
      <c r="P29" s="466">
        <f>K29/$K$49</f>
        <v>1.0340770296900816E-2</v>
      </c>
    </row>
    <row r="30" spans="1:16">
      <c r="A30" s="59">
        <f>MAX(A$14:A29)+1</f>
        <v>15</v>
      </c>
      <c r="C30" s="59" t="s">
        <v>45</v>
      </c>
      <c r="E30" s="63">
        <v>23</v>
      </c>
      <c r="G30" s="21">
        <f>'Exhibit-RMP(RMM-1) page 1'!K30</f>
        <v>138041.82800000001</v>
      </c>
      <c r="H30" s="22"/>
      <c r="I30" s="77">
        <f>'Exhibit-RMP(RMM-1) page 3'!O31/1000</f>
        <v>28882.811397012887</v>
      </c>
      <c r="J30" s="22"/>
      <c r="K30" s="21">
        <f>I30/($I$49-$I$34-$I$35)*($K$51-$G$34*$K$52-$G$35*$K$52)*$K$54</f>
        <v>29864.328712285864</v>
      </c>
      <c r="L30" s="21"/>
      <c r="M30" s="79">
        <f t="shared" si="0"/>
        <v>0.21634260531732355</v>
      </c>
      <c r="N30" s="207">
        <f>K30-'Exhibit-RMP(RMM-1) page 1'!S30</f>
        <v>-3.0490493008983321E-4</v>
      </c>
      <c r="O30" s="164">
        <f>I30/$I$49</f>
        <v>6.1809652862069533E-2</v>
      </c>
      <c r="P30" s="164">
        <f>K30/$K$49</f>
        <v>6.3323493061888933E-2</v>
      </c>
    </row>
    <row r="31" spans="1:16">
      <c r="A31" s="59">
        <f>MAX(A$14:A30)+1</f>
        <v>16</v>
      </c>
      <c r="C31" s="59" t="s">
        <v>46</v>
      </c>
      <c r="E31" s="59">
        <v>31</v>
      </c>
      <c r="G31" s="21">
        <f>'Exhibit-RMP(RMM-1) page 1'!K31</f>
        <v>12590.477000000001</v>
      </c>
      <c r="H31" s="22"/>
      <c r="I31" s="77"/>
      <c r="J31" s="22"/>
      <c r="K31" s="21">
        <f>'Exhibit-RMP(RMM-2)'!O678/1000</f>
        <v>3642.1663448332502</v>
      </c>
      <c r="L31" s="21"/>
      <c r="M31" s="79">
        <f t="shared" si="0"/>
        <v>0.28927945659511151</v>
      </c>
      <c r="N31" s="207">
        <f>K31-'Exhibit-RMP(RMM-1) page 1'!S31</f>
        <v>0</v>
      </c>
      <c r="O31" s="164">
        <f t="shared" ref="O31:O33" si="1">I31/$I$49</f>
        <v>0</v>
      </c>
      <c r="P31" s="164">
        <f t="shared" ref="P31:P33" si="2">K31/$K$49</f>
        <v>7.7227483493514139E-3</v>
      </c>
    </row>
    <row r="32" spans="1:16">
      <c r="A32" s="59">
        <f>MAX(A$14:A31)+1</f>
        <v>17</v>
      </c>
      <c r="C32" s="59" t="s">
        <v>47</v>
      </c>
      <c r="E32" s="59">
        <v>32</v>
      </c>
      <c r="G32" s="21">
        <f>'Exhibit-RMP(RMM-1) page 1'!K32</f>
        <v>13353.13</v>
      </c>
      <c r="H32" s="22"/>
      <c r="I32" s="77"/>
      <c r="J32" s="22"/>
      <c r="K32" s="21">
        <f>'Exhibit-RMP(RMM-2)'!O721/1000</f>
        <v>517.02044925022994</v>
      </c>
      <c r="L32" s="21"/>
      <c r="M32" s="79">
        <f t="shared" ref="M32" si="3">K32/$G32</f>
        <v>3.871904559082627E-2</v>
      </c>
      <c r="N32" s="207">
        <f>K32-'Exhibit-RMP(RMM-1) page 1'!S32</f>
        <v>0</v>
      </c>
      <c r="O32" s="164">
        <f t="shared" si="1"/>
        <v>0</v>
      </c>
      <c r="P32" s="164">
        <f t="shared" si="2"/>
        <v>1.0962757993446188E-3</v>
      </c>
    </row>
    <row r="33" spans="1:16">
      <c r="A33" s="59">
        <f>MAX(A$14:A32)+1</f>
        <v>18</v>
      </c>
      <c r="C33" s="59" t="s">
        <v>48</v>
      </c>
      <c r="E33" s="59">
        <v>34</v>
      </c>
      <c r="G33" s="21">
        <f>'Exhibit-RMP(RMM-1) page 1'!K33</f>
        <v>13027.75819123467</v>
      </c>
      <c r="H33" s="22"/>
      <c r="I33" s="77"/>
      <c r="J33" s="22"/>
      <c r="K33" s="206">
        <v>0</v>
      </c>
      <c r="L33" s="21"/>
      <c r="M33" s="79">
        <f t="shared" ref="M33" si="4">K33/$G33</f>
        <v>0</v>
      </c>
      <c r="N33" s="207">
        <f>K33-'Exhibit-RMP(RMM-1) page 1'!S33</f>
        <v>0</v>
      </c>
      <c r="O33" s="164">
        <f t="shared" si="1"/>
        <v>0</v>
      </c>
      <c r="P33" s="164">
        <f t="shared" si="2"/>
        <v>0</v>
      </c>
    </row>
    <row r="34" spans="1:16">
      <c r="A34" s="59">
        <f>MAX(A$14:A31)+1</f>
        <v>17</v>
      </c>
      <c r="C34" s="59" t="s">
        <v>49</v>
      </c>
      <c r="E34" s="61" t="s">
        <v>28</v>
      </c>
      <c r="G34" s="21">
        <f>'Exhibit-RMP(RMM-1) page 1'!K34</f>
        <v>31874.342000000001</v>
      </c>
      <c r="H34" s="22"/>
      <c r="I34" s="77">
        <f>'Exhibit-RMP(RMM-1) page 3'!P31/1000</f>
        <v>12297.41896351484</v>
      </c>
      <c r="J34" s="22"/>
      <c r="K34" s="21">
        <f>G34*K52</f>
        <v>7393.6957485229468</v>
      </c>
      <c r="L34" s="21"/>
      <c r="M34" s="79">
        <f t="shared" si="0"/>
        <v>0.23196387076862471</v>
      </c>
      <c r="N34" s="207">
        <f>K34-'Exhibit-RMP(RMM-1) page 1'!S34</f>
        <v>3.929828653781442E-5</v>
      </c>
      <c r="O34" s="164">
        <f>I34/$I$49</f>
        <v>2.6316662418565458E-2</v>
      </c>
      <c r="P34" s="164">
        <f>K34/$K$49</f>
        <v>1.5677387090931003E-2</v>
      </c>
    </row>
    <row r="35" spans="1:16">
      <c r="A35" s="59">
        <f>MAX(A$14:A34)+1</f>
        <v>19</v>
      </c>
      <c r="C35" s="59" t="s">
        <v>50</v>
      </c>
      <c r="E35" s="61" t="s">
        <v>28</v>
      </c>
      <c r="G35" s="21">
        <f>'Exhibit-RMP(RMM-1) page 1'!K35</f>
        <v>31979.111000000001</v>
      </c>
      <c r="H35" s="22"/>
      <c r="I35" s="77">
        <f>'Exhibit-RMP(RMM-1) page 3'!Q31/1000</f>
        <v>13965.532134707459</v>
      </c>
      <c r="J35" s="22"/>
      <c r="K35" s="21">
        <f>G35*K52</f>
        <v>7417.9983712995054</v>
      </c>
      <c r="L35" s="21"/>
      <c r="M35" s="79">
        <f t="shared" ref="M35" si="5">K35/$G35</f>
        <v>0.23196387076862471</v>
      </c>
      <c r="N35" s="207">
        <f>K35-'Exhibit-RMP(RMM-1) page 1'!S35</f>
        <v>2.4579934688517824E-5</v>
      </c>
      <c r="O35" s="164">
        <f>I35/$I$49</f>
        <v>2.9886449813179169E-2</v>
      </c>
      <c r="P35" s="164">
        <f>K35/$K$49</f>
        <v>1.5728917697213945E-2</v>
      </c>
    </row>
    <row r="36" spans="1:16">
      <c r="A36" s="59">
        <f>MAX(A$14:A35)+1</f>
        <v>20</v>
      </c>
      <c r="C36" s="59" t="s">
        <v>51</v>
      </c>
      <c r="E36" s="61" t="s">
        <v>28</v>
      </c>
      <c r="G36" s="21">
        <f>'Exhibit-RMP(RMM-1) page 1'!K36</f>
        <v>62957.593017309679</v>
      </c>
      <c r="H36" s="22"/>
      <c r="I36" s="77"/>
      <c r="J36" s="22"/>
      <c r="K36" s="206">
        <v>0</v>
      </c>
      <c r="L36" s="21"/>
      <c r="M36" s="79">
        <f t="shared" si="0"/>
        <v>0</v>
      </c>
      <c r="N36" s="207">
        <f>K36-'Exhibit-RMP(RMM-1) page 1'!S36</f>
        <v>0</v>
      </c>
      <c r="O36" s="164">
        <f>I36/$I$49</f>
        <v>0</v>
      </c>
      <c r="P36" s="164">
        <f>K36/$K$49</f>
        <v>0</v>
      </c>
    </row>
    <row r="37" spans="1:16">
      <c r="A37" s="59">
        <f>MAX(A$14:A36)+1</f>
        <v>21</v>
      </c>
      <c r="C37" s="59" t="s">
        <v>27</v>
      </c>
      <c r="E37" s="61" t="s">
        <v>28</v>
      </c>
      <c r="G37" s="23">
        <f>'Exhibit-RMP(RMM-1) page 1'!K37</f>
        <v>4797.3367799999996</v>
      </c>
      <c r="H37" s="22"/>
      <c r="I37" s="78"/>
      <c r="J37" s="22"/>
      <c r="K37" s="23"/>
      <c r="L37" s="23"/>
      <c r="M37" s="80"/>
      <c r="N37" s="207">
        <f>K37-'Exhibit-RMP(RMM-1) page 1'!S37</f>
        <v>0</v>
      </c>
      <c r="O37" s="164"/>
      <c r="P37" s="164"/>
    </row>
    <row r="38" spans="1:16">
      <c r="A38" s="59">
        <f>MAX(A$14:A37)+1</f>
        <v>22</v>
      </c>
      <c r="C38" s="37" t="s">
        <v>52</v>
      </c>
      <c r="G38" s="21">
        <f>SUM(G20:G21,G23:G25,G27:G28,G30:G37)</f>
        <v>1275011.1129885442</v>
      </c>
      <c r="H38" s="22"/>
      <c r="I38" s="21">
        <f>SUM(I20:I37)</f>
        <v>325691.85236773937</v>
      </c>
      <c r="J38" s="22"/>
      <c r="K38" s="21">
        <f>SUM(K20:K21,K23:K25,K27:K28,K30:K37)</f>
        <v>325232.43952513527</v>
      </c>
      <c r="L38" s="21"/>
      <c r="M38" s="79">
        <f>K38/$G38</f>
        <v>0.25508204298142256</v>
      </c>
      <c r="N38" s="207">
        <f>K38-'Exhibit-RMP(RMM-1) page 1'!S38</f>
        <v>6.3665158813819289E-4</v>
      </c>
      <c r="O38" s="164"/>
      <c r="P38" s="164"/>
    </row>
    <row r="39" spans="1:16" ht="28.5" customHeight="1">
      <c r="C39" s="37" t="s">
        <v>53</v>
      </c>
      <c r="G39" s="21"/>
      <c r="H39" s="22"/>
      <c r="I39" s="77"/>
      <c r="J39" s="22"/>
      <c r="K39" s="21"/>
      <c r="L39" s="21"/>
      <c r="M39" s="79"/>
      <c r="N39" s="207"/>
      <c r="O39" s="164"/>
      <c r="P39" s="164"/>
    </row>
    <row r="40" spans="1:16">
      <c r="A40" s="59">
        <f>MAX(A$14:A39)+1</f>
        <v>23</v>
      </c>
      <c r="C40" s="59" t="s">
        <v>54</v>
      </c>
      <c r="E40" s="59">
        <v>7</v>
      </c>
      <c r="G40" s="21">
        <f>'Exhibit-RMP(RMM-1) page 1'!K40</f>
        <v>1383.2668705464662</v>
      </c>
      <c r="H40" s="22"/>
      <c r="I40" s="77">
        <f>G40/SUM($G$40:$G$42)*'Exhibit-RMP(RMM-1) page 3'!$J$31/1000</f>
        <v>219.20227356376833</v>
      </c>
      <c r="J40" s="22"/>
      <c r="K40" s="21">
        <f>I40/($I$49-$I$34)*($K$51-$G$34*$K$52)*$K$54</f>
        <v>223.26208409569534</v>
      </c>
      <c r="L40" s="21"/>
      <c r="M40" s="79">
        <f t="shared" ref="M40:M45" si="6">K40/$G40</f>
        <v>0.16140203228281944</v>
      </c>
      <c r="N40" s="207">
        <f>K40-'Exhibit-RMP(RMM-1) page 1'!S40</f>
        <v>3.1577484946865297E-6</v>
      </c>
      <c r="O40" s="164">
        <f t="shared" ref="O40:O44" si="7">I40/$I$49</f>
        <v>4.6909617797643362E-4</v>
      </c>
      <c r="P40" s="164">
        <f>K40/$K$49</f>
        <v>4.7339872157918338E-4</v>
      </c>
    </row>
    <row r="41" spans="1:16">
      <c r="A41" s="59">
        <f>MAX(A$14:A40)+1</f>
        <v>24</v>
      </c>
      <c r="C41" s="59" t="s">
        <v>55</v>
      </c>
      <c r="E41" s="59">
        <v>11</v>
      </c>
      <c r="G41" s="21">
        <f>'Exhibit-RMP(RMM-1) page 1'!K41</f>
        <v>3759.4048698993784</v>
      </c>
      <c r="H41" s="22"/>
      <c r="I41" s="77">
        <f>G41/SUM($G$40:$G$42)*'Exhibit-RMP(RMM-1) page 3'!$J$31/1000</f>
        <v>595.74194414349972</v>
      </c>
      <c r="J41" s="22"/>
      <c r="K41" s="21">
        <f>I41/($I$49-$I$34)*($K$51-$G$34*$K$52)*$K$54</f>
        <v>606.7755861756882</v>
      </c>
      <c r="L41" s="21"/>
      <c r="M41" s="79">
        <f t="shared" si="6"/>
        <v>0.16140203228281946</v>
      </c>
      <c r="N41" s="207">
        <f>K41-'Exhibit-RMP(RMM-1) page 1'!S41</f>
        <v>8.5820427102589747E-6</v>
      </c>
      <c r="O41" s="164">
        <f t="shared" si="7"/>
        <v>1.2748967632248015E-3</v>
      </c>
      <c r="P41" s="164">
        <f>K41/$K$49</f>
        <v>1.2865900985583817E-3</v>
      </c>
    </row>
    <row r="42" spans="1:16">
      <c r="A42" s="59">
        <f>MAX(A$14:A41)+1</f>
        <v>25</v>
      </c>
      <c r="C42" s="59" t="s">
        <v>56</v>
      </c>
      <c r="E42" s="59">
        <v>12</v>
      </c>
      <c r="G42" s="21">
        <f>'Exhibit-RMP(RMM-1) page 1'!K42</f>
        <v>1384.8784946300007</v>
      </c>
      <c r="H42" s="22"/>
      <c r="I42" s="77">
        <f>G42/SUM($G$40:$G$42)*'Exhibit-RMP(RMM-1) page 3'!$J$31/1000</f>
        <v>219.45766294000731</v>
      </c>
      <c r="J42" s="22"/>
      <c r="K42" s="21">
        <f>I42/($I$49-$I$34)*($K$51-$G$34*$K$52)*$K$54</f>
        <v>223.52220349805376</v>
      </c>
      <c r="L42" s="21"/>
      <c r="M42" s="79">
        <f t="shared" si="6"/>
        <v>0.16140203228281944</v>
      </c>
      <c r="N42" s="207">
        <f>K42-'Exhibit-RMP(RMM-1) page 1'!S42</f>
        <v>3.1614276565505861E-6</v>
      </c>
      <c r="O42" s="164">
        <f t="shared" si="7"/>
        <v>4.6964271510098872E-4</v>
      </c>
      <c r="P42" s="164">
        <f>K42/$K$49</f>
        <v>4.7395027153462335E-4</v>
      </c>
    </row>
    <row r="43" spans="1:16">
      <c r="A43" s="59">
        <f>MAX(A$14:A42)+1</f>
        <v>26</v>
      </c>
      <c r="C43" s="59" t="s">
        <v>57</v>
      </c>
      <c r="E43" s="59">
        <v>15</v>
      </c>
      <c r="G43" s="24">
        <f>'Exhibit-RMP(RMM-1) page 1'!K43</f>
        <v>781.11300000000006</v>
      </c>
      <c r="H43" s="22"/>
      <c r="I43" s="77">
        <f>'Exhibit-RMP(RMM-1) page 3'!N31/1000</f>
        <v>324.40941970000569</v>
      </c>
      <c r="J43" s="22"/>
      <c r="K43" s="24">
        <f>I43/($I$49-$I$34)*($K$51-$G$34*$K$52)*$K$54</f>
        <v>330.41775509426094</v>
      </c>
      <c r="L43" s="24"/>
      <c r="M43" s="81">
        <f t="shared" si="6"/>
        <v>0.42300890536229829</v>
      </c>
      <c r="N43" s="207">
        <f>K43-'Exhibit-RMP(RMM-1) page 1'!S43</f>
        <v>-1.293069090024801E-6</v>
      </c>
      <c r="O43" s="164">
        <f t="shared" si="7"/>
        <v>6.94241060581677E-4</v>
      </c>
      <c r="P43" s="164">
        <f>K43/$K$49</f>
        <v>7.0060862990798669E-4</v>
      </c>
    </row>
    <row r="44" spans="1:16">
      <c r="A44" s="59">
        <f>MAX(A$14:A43)+1</f>
        <v>27</v>
      </c>
      <c r="C44" s="59" t="s">
        <v>58</v>
      </c>
      <c r="E44" s="59">
        <v>15</v>
      </c>
      <c r="G44" s="23">
        <f>'Exhibit-RMP(RMM-1) page 1'!K44</f>
        <v>802.61</v>
      </c>
      <c r="H44" s="22"/>
      <c r="I44" s="78">
        <f>'Exhibit-RMP(RMM-1) page 3'!M31/1000</f>
        <v>159.18493025281751</v>
      </c>
      <c r="J44" s="22"/>
      <c r="K44" s="23">
        <f>I44/($I$49-$I$34)*($K$51-$G$34*$K$52)*$K$54</f>
        <v>162.13316909111794</v>
      </c>
      <c r="L44" s="23"/>
      <c r="M44" s="80">
        <f t="shared" si="6"/>
        <v>0.20200741218165477</v>
      </c>
      <c r="N44" s="207">
        <f>K44-'Exhibit-RMP(RMM-1) page 1'!S44</f>
        <v>1.1584479580051266E-6</v>
      </c>
      <c r="O44" s="164">
        <f t="shared" si="7"/>
        <v>3.4065815631843186E-4</v>
      </c>
      <c r="P44" s="164">
        <f>K44/$K$49</f>
        <v>3.4378266817763106E-4</v>
      </c>
    </row>
    <row r="45" spans="1:16">
      <c r="A45" s="59">
        <f>MAX(A$14:A44)+1</f>
        <v>28</v>
      </c>
      <c r="C45" s="64" t="s">
        <v>59</v>
      </c>
      <c r="D45" s="25"/>
      <c r="F45" s="25"/>
      <c r="G45" s="21">
        <f>SUM(G40:G44)</f>
        <v>8111.2732350758452</v>
      </c>
      <c r="H45" s="21"/>
      <c r="I45" s="77">
        <f>SUM(I40:I44)</f>
        <v>1517.9962306000987</v>
      </c>
      <c r="J45" s="22"/>
      <c r="K45" s="21">
        <f>SUM(K40:K44)</f>
        <v>1546.1107979548162</v>
      </c>
      <c r="L45" s="21"/>
      <c r="M45" s="79">
        <f t="shared" si="6"/>
        <v>0.19061258980512683</v>
      </c>
      <c r="N45" s="207">
        <f>K45-'Exhibit-RMP(RMM-1) page 1'!S45</f>
        <v>1.4766597814741544E-5</v>
      </c>
      <c r="O45" s="164"/>
      <c r="P45" s="164"/>
    </row>
    <row r="46" spans="1:16" ht="23.1" customHeight="1">
      <c r="A46" s="59">
        <f>MAX(A$14:A45)+1</f>
        <v>29</v>
      </c>
      <c r="C46" s="59" t="s">
        <v>60</v>
      </c>
      <c r="E46" s="61" t="s">
        <v>28</v>
      </c>
      <c r="G46" s="21">
        <f>'Exhibit-RMP(RMM-1) page 1'!K46</f>
        <v>0.55700000000000005</v>
      </c>
      <c r="H46" s="22"/>
      <c r="I46" s="77">
        <v>0</v>
      </c>
      <c r="J46" s="22"/>
      <c r="K46" s="21"/>
      <c r="L46" s="21"/>
      <c r="M46" s="79"/>
      <c r="N46" s="207">
        <f>K46-'Exhibit-RMP(RMM-1) page 1'!S46</f>
        <v>0</v>
      </c>
      <c r="O46" s="164"/>
      <c r="P46" s="164"/>
    </row>
    <row r="47" spans="1:16">
      <c r="A47" s="59">
        <f>MAX(A$14:A46)+1</f>
        <v>30</v>
      </c>
      <c r="C47" s="59" t="s">
        <v>27</v>
      </c>
      <c r="D47" s="26"/>
      <c r="E47" s="61" t="s">
        <v>28</v>
      </c>
      <c r="F47" s="26"/>
      <c r="G47" s="23">
        <f>'Exhibit-RMP(RMM-1) page 1'!K47</f>
        <v>4.6550400000000005</v>
      </c>
      <c r="H47" s="22"/>
      <c r="I47" s="78">
        <v>0</v>
      </c>
      <c r="J47" s="22"/>
      <c r="K47" s="23"/>
      <c r="L47" s="23"/>
      <c r="M47" s="80"/>
      <c r="N47" s="207">
        <f>K47-'Exhibit-RMP(RMM-1) page 1'!S47</f>
        <v>0</v>
      </c>
      <c r="O47" s="164"/>
      <c r="P47" s="164"/>
    </row>
    <row r="48" spans="1:16">
      <c r="A48" s="59">
        <f>MAX(A$14:A47)+1</f>
        <v>31</v>
      </c>
      <c r="C48" s="37" t="s">
        <v>61</v>
      </c>
      <c r="G48" s="23">
        <f>SUM(G45:G47)</f>
        <v>8116.4852750758446</v>
      </c>
      <c r="H48" s="22"/>
      <c r="I48" s="23">
        <f>SUM(I45:I47)</f>
        <v>1517.9962306000987</v>
      </c>
      <c r="J48" s="22"/>
      <c r="K48" s="23">
        <f>SUM(K45:K47)</f>
        <v>1546.1107979548162</v>
      </c>
      <c r="L48" s="23"/>
      <c r="M48" s="80">
        <f>K48/$G48</f>
        <v>0.19049018701513859</v>
      </c>
      <c r="N48" s="207">
        <f>K48-'Exhibit-RMP(RMM-1) page 1'!S48</f>
        <v>1.4766597814741544E-5</v>
      </c>
      <c r="O48" s="164"/>
      <c r="P48" s="164"/>
    </row>
    <row r="49" spans="1:16" ht="27.75" customHeight="1" thickBot="1">
      <c r="A49" s="59">
        <f>MAX(A$14:A48)+1</f>
        <v>32</v>
      </c>
      <c r="C49" s="37" t="s">
        <v>62</v>
      </c>
      <c r="G49" s="27">
        <f>G18+G38+G48</f>
        <v>2033141.22535362</v>
      </c>
      <c r="H49" s="22"/>
      <c r="I49" s="70">
        <f>I18+I38+I48</f>
        <v>467286.41983260965</v>
      </c>
      <c r="J49" s="168"/>
      <c r="K49" s="70">
        <f>K18+K38+K48</f>
        <v>471615.3084463944</v>
      </c>
      <c r="L49" s="70"/>
      <c r="M49" s="82">
        <f>K49/$G49</f>
        <v>0.23196387076572475</v>
      </c>
      <c r="N49" s="207">
        <f>K49-'Exhibit-RMP(RMM-1) page 1'!S49</f>
        <v>3.1897191656753421E-3</v>
      </c>
      <c r="O49" s="164">
        <f>SUM(O18:O48)</f>
        <v>1</v>
      </c>
      <c r="P49" s="164">
        <f>SUM(P18:P48)</f>
        <v>1.0070878948153268</v>
      </c>
    </row>
    <row r="50" spans="1:16" ht="16.5" thickTop="1">
      <c r="C50" s="37"/>
      <c r="G50" s="24"/>
      <c r="H50" s="22"/>
      <c r="I50" s="148"/>
      <c r="J50" s="72"/>
      <c r="K50" s="148"/>
      <c r="L50" s="148"/>
      <c r="M50" s="81"/>
    </row>
    <row r="51" spans="1:16">
      <c r="A51" s="163"/>
      <c r="H51" s="86"/>
      <c r="I51" s="165" t="s">
        <v>71</v>
      </c>
      <c r="J51" s="167"/>
      <c r="K51" s="196">
        <f>'Table 1'!C25/1000</f>
        <v>471615.30845229042</v>
      </c>
      <c r="M51" s="196" t="s">
        <v>72</v>
      </c>
      <c r="N51" s="469">
        <f>K51*M52/12</f>
        <v>471615.30845229042</v>
      </c>
      <c r="O51" s="196"/>
    </row>
    <row r="52" spans="1:16">
      <c r="C52" s="163"/>
      <c r="H52" s="86"/>
      <c r="I52" s="165" t="s">
        <v>73</v>
      </c>
      <c r="J52" s="157"/>
      <c r="K52" s="173">
        <f>K51/G49</f>
        <v>0.23196387076862471</v>
      </c>
      <c r="M52" s="86">
        <v>12</v>
      </c>
    </row>
    <row r="53" spans="1:16">
      <c r="C53" s="163"/>
      <c r="H53" s="86"/>
      <c r="I53" s="165" t="s">
        <v>74</v>
      </c>
      <c r="J53" s="157"/>
      <c r="K53" s="196">
        <f>'Sch9 Adj'!AA24</f>
        <v>-3342.7596995661152</v>
      </c>
      <c r="M53" s="86"/>
    </row>
    <row r="54" spans="1:16">
      <c r="H54" s="86"/>
      <c r="I54" s="165" t="s">
        <v>75</v>
      </c>
      <c r="J54" s="58"/>
      <c r="K54" s="155">
        <v>0.99826412060066605</v>
      </c>
      <c r="L54" s="157"/>
      <c r="M54" s="174">
        <f>K49-K51</f>
        <v>-5.8960285969078541E-6</v>
      </c>
    </row>
    <row r="55" spans="1:16">
      <c r="I55" s="86"/>
      <c r="M55" s="61" t="s">
        <v>76</v>
      </c>
    </row>
    <row r="56" spans="1:16">
      <c r="E56" s="86"/>
      <c r="F56" s="86"/>
      <c r="G56" s="86"/>
      <c r="H56" s="86"/>
    </row>
    <row r="57" spans="1:16">
      <c r="E57" s="86"/>
      <c r="F57" s="86"/>
      <c r="L57" s="154"/>
    </row>
    <row r="58" spans="1:16">
      <c r="E58" s="86"/>
      <c r="F58" s="86"/>
      <c r="L58" s="158"/>
    </row>
    <row r="59" spans="1:16">
      <c r="E59" s="86"/>
      <c r="F59" s="86"/>
      <c r="L59" s="159"/>
    </row>
    <row r="60" spans="1:16">
      <c r="E60" s="86"/>
      <c r="F60" s="86"/>
      <c r="G60" s="165"/>
      <c r="H60" s="86"/>
      <c r="I60" s="155"/>
      <c r="J60" s="166"/>
      <c r="K60" s="171"/>
    </row>
    <row r="61" spans="1:16">
      <c r="E61" s="86"/>
      <c r="F61" s="86"/>
      <c r="G61" s="165"/>
      <c r="H61" s="86"/>
      <c r="I61" s="172"/>
      <c r="J61" s="157"/>
      <c r="K61" s="159"/>
    </row>
    <row r="62" spans="1:16">
      <c r="J62" s="58"/>
    </row>
    <row r="63" spans="1:16">
      <c r="J63" s="150"/>
      <c r="K63" s="154"/>
    </row>
    <row r="64" spans="1:16">
      <c r="J64" s="151"/>
      <c r="K64" s="154"/>
    </row>
  </sheetData>
  <printOptions horizontalCentered="1"/>
  <pageMargins left="0.25" right="0.25" top="1" bottom="0.5" header="0.25" footer="0.25"/>
  <pageSetup scale="56" orientation="landscape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88D69-37DE-4BD3-AB68-8722B76C6F47}">
  <sheetPr>
    <pageSetUpPr fitToPage="1"/>
  </sheetPr>
  <dimension ref="A1:Q77"/>
  <sheetViews>
    <sheetView view="pageBreakPreview" topLeftCell="A7" zoomScale="80" zoomScaleNormal="80" zoomScaleSheetLayoutView="80" workbookViewId="0">
      <selection activeCell="N3" sqref="N3"/>
    </sheetView>
  </sheetViews>
  <sheetFormatPr defaultRowHeight="15.75"/>
  <cols>
    <col min="1" max="1" width="7.375" style="439" customWidth="1"/>
    <col min="2" max="2" width="28.5" style="439" customWidth="1"/>
    <col min="3" max="3" width="9.875" style="439" customWidth="1"/>
    <col min="4" max="4" width="11.625" style="439" customWidth="1"/>
    <col min="5" max="5" width="8" style="439" bestFit="1" customWidth="1"/>
    <col min="6" max="6" width="13.75" style="439" bestFit="1" customWidth="1"/>
    <col min="7" max="8" width="13.125" style="439" bestFit="1" customWidth="1"/>
    <col min="9" max="9" width="11.875" style="439" bestFit="1" customWidth="1"/>
    <col min="10" max="10" width="14.625" style="439" bestFit="1" customWidth="1"/>
    <col min="11" max="11" width="11.875" style="439" bestFit="1" customWidth="1"/>
    <col min="12" max="12" width="10.75" style="439" bestFit="1" customWidth="1"/>
    <col min="13" max="13" width="9.25" style="439" bestFit="1" customWidth="1"/>
    <col min="14" max="14" width="9.875" style="439" bestFit="1" customWidth="1"/>
    <col min="15" max="17" width="11.875" style="439" bestFit="1" customWidth="1"/>
    <col min="18" max="246" width="8.75" style="439"/>
    <col min="247" max="247" width="3.125" style="439" customWidth="1"/>
    <col min="248" max="248" width="21.125" style="439" customWidth="1"/>
    <col min="249" max="249" width="13.125" style="439" customWidth="1"/>
    <col min="250" max="250" width="13.625" style="439" customWidth="1"/>
    <col min="251" max="251" width="13.375" style="439" customWidth="1"/>
    <col min="252" max="252" width="1.875" style="439" customWidth="1"/>
    <col min="253" max="253" width="13.625" style="439" customWidth="1"/>
    <col min="254" max="254" width="12.875" style="439" customWidth="1"/>
    <col min="255" max="255" width="13.875" style="439" customWidth="1"/>
    <col min="256" max="256" width="1.75" style="439" customWidth="1"/>
    <col min="257" max="257" width="13.75" style="439" bestFit="1" customWidth="1"/>
    <col min="258" max="258" width="14.75" style="439" customWidth="1"/>
    <col min="259" max="259" width="12.875" style="439" bestFit="1" customWidth="1"/>
    <col min="260" max="260" width="9.5" style="439" bestFit="1" customWidth="1"/>
    <col min="261" max="502" width="8.75" style="439"/>
    <col min="503" max="503" width="3.125" style="439" customWidth="1"/>
    <col min="504" max="504" width="21.125" style="439" customWidth="1"/>
    <col min="505" max="505" width="13.125" style="439" customWidth="1"/>
    <col min="506" max="506" width="13.625" style="439" customWidth="1"/>
    <col min="507" max="507" width="13.375" style="439" customWidth="1"/>
    <col min="508" max="508" width="1.875" style="439" customWidth="1"/>
    <col min="509" max="509" width="13.625" style="439" customWidth="1"/>
    <col min="510" max="510" width="12.875" style="439" customWidth="1"/>
    <col min="511" max="511" width="13.875" style="439" customWidth="1"/>
    <col min="512" max="512" width="1.75" style="439" customWidth="1"/>
    <col min="513" max="513" width="13.75" style="439" bestFit="1" customWidth="1"/>
    <col min="514" max="514" width="14.75" style="439" customWidth="1"/>
    <col min="515" max="515" width="12.875" style="439" bestFit="1" customWidth="1"/>
    <col min="516" max="516" width="9.5" style="439" bestFit="1" customWidth="1"/>
    <col min="517" max="758" width="8.75" style="439"/>
    <col min="759" max="759" width="3.125" style="439" customWidth="1"/>
    <col min="760" max="760" width="21.125" style="439" customWidth="1"/>
    <col min="761" max="761" width="13.125" style="439" customWidth="1"/>
    <col min="762" max="762" width="13.625" style="439" customWidth="1"/>
    <col min="763" max="763" width="13.375" style="439" customWidth="1"/>
    <col min="764" max="764" width="1.875" style="439" customWidth="1"/>
    <col min="765" max="765" width="13.625" style="439" customWidth="1"/>
    <col min="766" max="766" width="12.875" style="439" customWidth="1"/>
    <col min="767" max="767" width="13.875" style="439" customWidth="1"/>
    <col min="768" max="768" width="1.75" style="439" customWidth="1"/>
    <col min="769" max="769" width="13.75" style="439" bestFit="1" customWidth="1"/>
    <col min="770" max="770" width="14.75" style="439" customWidth="1"/>
    <col min="771" max="771" width="12.875" style="439" bestFit="1" customWidth="1"/>
    <col min="772" max="772" width="9.5" style="439" bestFit="1" customWidth="1"/>
    <col min="773" max="1014" width="8.75" style="439"/>
    <col min="1015" max="1015" width="3.125" style="439" customWidth="1"/>
    <col min="1016" max="1016" width="21.125" style="439" customWidth="1"/>
    <col min="1017" max="1017" width="13.125" style="439" customWidth="1"/>
    <col min="1018" max="1018" width="13.625" style="439" customWidth="1"/>
    <col min="1019" max="1019" width="13.375" style="439" customWidth="1"/>
    <col min="1020" max="1020" width="1.875" style="439" customWidth="1"/>
    <col min="1021" max="1021" width="13.625" style="439" customWidth="1"/>
    <col min="1022" max="1022" width="12.875" style="439" customWidth="1"/>
    <col min="1023" max="1023" width="13.875" style="439" customWidth="1"/>
    <col min="1024" max="1024" width="1.75" style="439" customWidth="1"/>
    <col min="1025" max="1025" width="13.75" style="439" bestFit="1" customWidth="1"/>
    <col min="1026" max="1026" width="14.75" style="439" customWidth="1"/>
    <col min="1027" max="1027" width="12.875" style="439" bestFit="1" customWidth="1"/>
    <col min="1028" max="1028" width="9.5" style="439" bestFit="1" customWidth="1"/>
    <col min="1029" max="1270" width="8.75" style="439"/>
    <col min="1271" max="1271" width="3.125" style="439" customWidth="1"/>
    <col min="1272" max="1272" width="21.125" style="439" customWidth="1"/>
    <col min="1273" max="1273" width="13.125" style="439" customWidth="1"/>
    <col min="1274" max="1274" width="13.625" style="439" customWidth="1"/>
    <col min="1275" max="1275" width="13.375" style="439" customWidth="1"/>
    <col min="1276" max="1276" width="1.875" style="439" customWidth="1"/>
    <col min="1277" max="1277" width="13.625" style="439" customWidth="1"/>
    <col min="1278" max="1278" width="12.875" style="439" customWidth="1"/>
    <col min="1279" max="1279" width="13.875" style="439" customWidth="1"/>
    <col min="1280" max="1280" width="1.75" style="439" customWidth="1"/>
    <col min="1281" max="1281" width="13.75" style="439" bestFit="1" customWidth="1"/>
    <col min="1282" max="1282" width="14.75" style="439" customWidth="1"/>
    <col min="1283" max="1283" width="12.875" style="439" bestFit="1" customWidth="1"/>
    <col min="1284" max="1284" width="9.5" style="439" bestFit="1" customWidth="1"/>
    <col min="1285" max="1526" width="8.75" style="439"/>
    <col min="1527" max="1527" width="3.125" style="439" customWidth="1"/>
    <col min="1528" max="1528" width="21.125" style="439" customWidth="1"/>
    <col min="1529" max="1529" width="13.125" style="439" customWidth="1"/>
    <col min="1530" max="1530" width="13.625" style="439" customWidth="1"/>
    <col min="1531" max="1531" width="13.375" style="439" customWidth="1"/>
    <col min="1532" max="1532" width="1.875" style="439" customWidth="1"/>
    <col min="1533" max="1533" width="13.625" style="439" customWidth="1"/>
    <col min="1534" max="1534" width="12.875" style="439" customWidth="1"/>
    <col min="1535" max="1535" width="13.875" style="439" customWidth="1"/>
    <col min="1536" max="1536" width="1.75" style="439" customWidth="1"/>
    <col min="1537" max="1537" width="13.75" style="439" bestFit="1" customWidth="1"/>
    <col min="1538" max="1538" width="14.75" style="439" customWidth="1"/>
    <col min="1539" max="1539" width="12.875" style="439" bestFit="1" customWidth="1"/>
    <col min="1540" max="1540" width="9.5" style="439" bestFit="1" customWidth="1"/>
    <col min="1541" max="1782" width="8.75" style="439"/>
    <col min="1783" max="1783" width="3.125" style="439" customWidth="1"/>
    <col min="1784" max="1784" width="21.125" style="439" customWidth="1"/>
    <col min="1785" max="1785" width="13.125" style="439" customWidth="1"/>
    <col min="1786" max="1786" width="13.625" style="439" customWidth="1"/>
    <col min="1787" max="1787" width="13.375" style="439" customWidth="1"/>
    <col min="1788" max="1788" width="1.875" style="439" customWidth="1"/>
    <col min="1789" max="1789" width="13.625" style="439" customWidth="1"/>
    <col min="1790" max="1790" width="12.875" style="439" customWidth="1"/>
    <col min="1791" max="1791" width="13.875" style="439" customWidth="1"/>
    <col min="1792" max="1792" width="1.75" style="439" customWidth="1"/>
    <col min="1793" max="1793" width="13.75" style="439" bestFit="1" customWidth="1"/>
    <col min="1794" max="1794" width="14.75" style="439" customWidth="1"/>
    <col min="1795" max="1795" width="12.875" style="439" bestFit="1" customWidth="1"/>
    <col min="1796" max="1796" width="9.5" style="439" bestFit="1" customWidth="1"/>
    <col min="1797" max="2038" width="8.75" style="439"/>
    <col min="2039" max="2039" width="3.125" style="439" customWidth="1"/>
    <col min="2040" max="2040" width="21.125" style="439" customWidth="1"/>
    <col min="2041" max="2041" width="13.125" style="439" customWidth="1"/>
    <col min="2042" max="2042" width="13.625" style="439" customWidth="1"/>
    <col min="2043" max="2043" width="13.375" style="439" customWidth="1"/>
    <col min="2044" max="2044" width="1.875" style="439" customWidth="1"/>
    <col min="2045" max="2045" width="13.625" style="439" customWidth="1"/>
    <col min="2046" max="2046" width="12.875" style="439" customWidth="1"/>
    <col min="2047" max="2047" width="13.875" style="439" customWidth="1"/>
    <col min="2048" max="2048" width="1.75" style="439" customWidth="1"/>
    <col min="2049" max="2049" width="13.75" style="439" bestFit="1" customWidth="1"/>
    <col min="2050" max="2050" width="14.75" style="439" customWidth="1"/>
    <col min="2051" max="2051" width="12.875" style="439" bestFit="1" customWidth="1"/>
    <col min="2052" max="2052" width="9.5" style="439" bestFit="1" customWidth="1"/>
    <col min="2053" max="2294" width="8.75" style="439"/>
    <col min="2295" max="2295" width="3.125" style="439" customWidth="1"/>
    <col min="2296" max="2296" width="21.125" style="439" customWidth="1"/>
    <col min="2297" max="2297" width="13.125" style="439" customWidth="1"/>
    <col min="2298" max="2298" width="13.625" style="439" customWidth="1"/>
    <col min="2299" max="2299" width="13.375" style="439" customWidth="1"/>
    <col min="2300" max="2300" width="1.875" style="439" customWidth="1"/>
    <col min="2301" max="2301" width="13.625" style="439" customWidth="1"/>
    <col min="2302" max="2302" width="12.875" style="439" customWidth="1"/>
    <col min="2303" max="2303" width="13.875" style="439" customWidth="1"/>
    <col min="2304" max="2304" width="1.75" style="439" customWidth="1"/>
    <col min="2305" max="2305" width="13.75" style="439" bestFit="1" customWidth="1"/>
    <col min="2306" max="2306" width="14.75" style="439" customWidth="1"/>
    <col min="2307" max="2307" width="12.875" style="439" bestFit="1" customWidth="1"/>
    <col min="2308" max="2308" width="9.5" style="439" bestFit="1" customWidth="1"/>
    <col min="2309" max="2550" width="8.75" style="439"/>
    <col min="2551" max="2551" width="3.125" style="439" customWidth="1"/>
    <col min="2552" max="2552" width="21.125" style="439" customWidth="1"/>
    <col min="2553" max="2553" width="13.125" style="439" customWidth="1"/>
    <col min="2554" max="2554" width="13.625" style="439" customWidth="1"/>
    <col min="2555" max="2555" width="13.375" style="439" customWidth="1"/>
    <col min="2556" max="2556" width="1.875" style="439" customWidth="1"/>
    <col min="2557" max="2557" width="13.625" style="439" customWidth="1"/>
    <col min="2558" max="2558" width="12.875" style="439" customWidth="1"/>
    <col min="2559" max="2559" width="13.875" style="439" customWidth="1"/>
    <col min="2560" max="2560" width="1.75" style="439" customWidth="1"/>
    <col min="2561" max="2561" width="13.75" style="439" bestFit="1" customWidth="1"/>
    <col min="2562" max="2562" width="14.75" style="439" customWidth="1"/>
    <col min="2563" max="2563" width="12.875" style="439" bestFit="1" customWidth="1"/>
    <col min="2564" max="2564" width="9.5" style="439" bestFit="1" customWidth="1"/>
    <col min="2565" max="2806" width="8.75" style="439"/>
    <col min="2807" max="2807" width="3.125" style="439" customWidth="1"/>
    <col min="2808" max="2808" width="21.125" style="439" customWidth="1"/>
    <col min="2809" max="2809" width="13.125" style="439" customWidth="1"/>
    <col min="2810" max="2810" width="13.625" style="439" customWidth="1"/>
    <col min="2811" max="2811" width="13.375" style="439" customWidth="1"/>
    <col min="2812" max="2812" width="1.875" style="439" customWidth="1"/>
    <col min="2813" max="2813" width="13.625" style="439" customWidth="1"/>
    <col min="2814" max="2814" width="12.875" style="439" customWidth="1"/>
    <col min="2815" max="2815" width="13.875" style="439" customWidth="1"/>
    <col min="2816" max="2816" width="1.75" style="439" customWidth="1"/>
    <col min="2817" max="2817" width="13.75" style="439" bestFit="1" customWidth="1"/>
    <col min="2818" max="2818" width="14.75" style="439" customWidth="1"/>
    <col min="2819" max="2819" width="12.875" style="439" bestFit="1" customWidth="1"/>
    <col min="2820" max="2820" width="9.5" style="439" bestFit="1" customWidth="1"/>
    <col min="2821" max="3062" width="8.75" style="439"/>
    <col min="3063" max="3063" width="3.125" style="439" customWidth="1"/>
    <col min="3064" max="3064" width="21.125" style="439" customWidth="1"/>
    <col min="3065" max="3065" width="13.125" style="439" customWidth="1"/>
    <col min="3066" max="3066" width="13.625" style="439" customWidth="1"/>
    <col min="3067" max="3067" width="13.375" style="439" customWidth="1"/>
    <col min="3068" max="3068" width="1.875" style="439" customWidth="1"/>
    <col min="3069" max="3069" width="13.625" style="439" customWidth="1"/>
    <col min="3070" max="3070" width="12.875" style="439" customWidth="1"/>
    <col min="3071" max="3071" width="13.875" style="439" customWidth="1"/>
    <col min="3072" max="3072" width="1.75" style="439" customWidth="1"/>
    <col min="3073" max="3073" width="13.75" style="439" bestFit="1" customWidth="1"/>
    <col min="3074" max="3074" width="14.75" style="439" customWidth="1"/>
    <col min="3075" max="3075" width="12.875" style="439" bestFit="1" customWidth="1"/>
    <col min="3076" max="3076" width="9.5" style="439" bestFit="1" customWidth="1"/>
    <col min="3077" max="3318" width="8.75" style="439"/>
    <col min="3319" max="3319" width="3.125" style="439" customWidth="1"/>
    <col min="3320" max="3320" width="21.125" style="439" customWidth="1"/>
    <col min="3321" max="3321" width="13.125" style="439" customWidth="1"/>
    <col min="3322" max="3322" width="13.625" style="439" customWidth="1"/>
    <col min="3323" max="3323" width="13.375" style="439" customWidth="1"/>
    <col min="3324" max="3324" width="1.875" style="439" customWidth="1"/>
    <col min="3325" max="3325" width="13.625" style="439" customWidth="1"/>
    <col min="3326" max="3326" width="12.875" style="439" customWidth="1"/>
    <col min="3327" max="3327" width="13.875" style="439" customWidth="1"/>
    <col min="3328" max="3328" width="1.75" style="439" customWidth="1"/>
    <col min="3329" max="3329" width="13.75" style="439" bestFit="1" customWidth="1"/>
    <col min="3330" max="3330" width="14.75" style="439" customWidth="1"/>
    <col min="3331" max="3331" width="12.875" style="439" bestFit="1" customWidth="1"/>
    <col min="3332" max="3332" width="9.5" style="439" bestFit="1" customWidth="1"/>
    <col min="3333" max="3574" width="8.75" style="439"/>
    <col min="3575" max="3575" width="3.125" style="439" customWidth="1"/>
    <col min="3576" max="3576" width="21.125" style="439" customWidth="1"/>
    <col min="3577" max="3577" width="13.125" style="439" customWidth="1"/>
    <col min="3578" max="3578" width="13.625" style="439" customWidth="1"/>
    <col min="3579" max="3579" width="13.375" style="439" customWidth="1"/>
    <col min="3580" max="3580" width="1.875" style="439" customWidth="1"/>
    <col min="3581" max="3581" width="13.625" style="439" customWidth="1"/>
    <col min="3582" max="3582" width="12.875" style="439" customWidth="1"/>
    <col min="3583" max="3583" width="13.875" style="439" customWidth="1"/>
    <col min="3584" max="3584" width="1.75" style="439" customWidth="1"/>
    <col min="3585" max="3585" width="13.75" style="439" bestFit="1" customWidth="1"/>
    <col min="3586" max="3586" width="14.75" style="439" customWidth="1"/>
    <col min="3587" max="3587" width="12.875" style="439" bestFit="1" customWidth="1"/>
    <col min="3588" max="3588" width="9.5" style="439" bestFit="1" customWidth="1"/>
    <col min="3589" max="3830" width="8.75" style="439"/>
    <col min="3831" max="3831" width="3.125" style="439" customWidth="1"/>
    <col min="3832" max="3832" width="21.125" style="439" customWidth="1"/>
    <col min="3833" max="3833" width="13.125" style="439" customWidth="1"/>
    <col min="3834" max="3834" width="13.625" style="439" customWidth="1"/>
    <col min="3835" max="3835" width="13.375" style="439" customWidth="1"/>
    <col min="3836" max="3836" width="1.875" style="439" customWidth="1"/>
    <col min="3837" max="3837" width="13.625" style="439" customWidth="1"/>
    <col min="3838" max="3838" width="12.875" style="439" customWidth="1"/>
    <col min="3839" max="3839" width="13.875" style="439" customWidth="1"/>
    <col min="3840" max="3840" width="1.75" style="439" customWidth="1"/>
    <col min="3841" max="3841" width="13.75" style="439" bestFit="1" customWidth="1"/>
    <col min="3842" max="3842" width="14.75" style="439" customWidth="1"/>
    <col min="3843" max="3843" width="12.875" style="439" bestFit="1" customWidth="1"/>
    <col min="3844" max="3844" width="9.5" style="439" bestFit="1" customWidth="1"/>
    <col min="3845" max="4086" width="8.75" style="439"/>
    <col min="4087" max="4087" width="3.125" style="439" customWidth="1"/>
    <col min="4088" max="4088" width="21.125" style="439" customWidth="1"/>
    <col min="4089" max="4089" width="13.125" style="439" customWidth="1"/>
    <col min="4090" max="4090" width="13.625" style="439" customWidth="1"/>
    <col min="4091" max="4091" width="13.375" style="439" customWidth="1"/>
    <col min="4092" max="4092" width="1.875" style="439" customWidth="1"/>
    <col min="4093" max="4093" width="13.625" style="439" customWidth="1"/>
    <col min="4094" max="4094" width="12.875" style="439" customWidth="1"/>
    <col min="4095" max="4095" width="13.875" style="439" customWidth="1"/>
    <col min="4096" max="4096" width="1.75" style="439" customWidth="1"/>
    <col min="4097" max="4097" width="13.75" style="439" bestFit="1" customWidth="1"/>
    <col min="4098" max="4098" width="14.75" style="439" customWidth="1"/>
    <col min="4099" max="4099" width="12.875" style="439" bestFit="1" customWidth="1"/>
    <col min="4100" max="4100" width="9.5" style="439" bestFit="1" customWidth="1"/>
    <col min="4101" max="4342" width="8.75" style="439"/>
    <col min="4343" max="4343" width="3.125" style="439" customWidth="1"/>
    <col min="4344" max="4344" width="21.125" style="439" customWidth="1"/>
    <col min="4345" max="4345" width="13.125" style="439" customWidth="1"/>
    <col min="4346" max="4346" width="13.625" style="439" customWidth="1"/>
    <col min="4347" max="4347" width="13.375" style="439" customWidth="1"/>
    <col min="4348" max="4348" width="1.875" style="439" customWidth="1"/>
    <col min="4349" max="4349" width="13.625" style="439" customWidth="1"/>
    <col min="4350" max="4350" width="12.875" style="439" customWidth="1"/>
    <col min="4351" max="4351" width="13.875" style="439" customWidth="1"/>
    <col min="4352" max="4352" width="1.75" style="439" customWidth="1"/>
    <col min="4353" max="4353" width="13.75" style="439" bestFit="1" customWidth="1"/>
    <col min="4354" max="4354" width="14.75" style="439" customWidth="1"/>
    <col min="4355" max="4355" width="12.875" style="439" bestFit="1" customWidth="1"/>
    <col min="4356" max="4356" width="9.5" style="439" bestFit="1" customWidth="1"/>
    <col min="4357" max="4598" width="8.75" style="439"/>
    <col min="4599" max="4599" width="3.125" style="439" customWidth="1"/>
    <col min="4600" max="4600" width="21.125" style="439" customWidth="1"/>
    <col min="4601" max="4601" width="13.125" style="439" customWidth="1"/>
    <col min="4602" max="4602" width="13.625" style="439" customWidth="1"/>
    <col min="4603" max="4603" width="13.375" style="439" customWidth="1"/>
    <col min="4604" max="4604" width="1.875" style="439" customWidth="1"/>
    <col min="4605" max="4605" width="13.625" style="439" customWidth="1"/>
    <col min="4606" max="4606" width="12.875" style="439" customWidth="1"/>
    <col min="4607" max="4607" width="13.875" style="439" customWidth="1"/>
    <col min="4608" max="4608" width="1.75" style="439" customWidth="1"/>
    <col min="4609" max="4609" width="13.75" style="439" bestFit="1" customWidth="1"/>
    <col min="4610" max="4610" width="14.75" style="439" customWidth="1"/>
    <col min="4611" max="4611" width="12.875" style="439" bestFit="1" customWidth="1"/>
    <col min="4612" max="4612" width="9.5" style="439" bestFit="1" customWidth="1"/>
    <col min="4613" max="4854" width="8.75" style="439"/>
    <col min="4855" max="4855" width="3.125" style="439" customWidth="1"/>
    <col min="4856" max="4856" width="21.125" style="439" customWidth="1"/>
    <col min="4857" max="4857" width="13.125" style="439" customWidth="1"/>
    <col min="4858" max="4858" width="13.625" style="439" customWidth="1"/>
    <col min="4859" max="4859" width="13.375" style="439" customWidth="1"/>
    <col min="4860" max="4860" width="1.875" style="439" customWidth="1"/>
    <col min="4861" max="4861" width="13.625" style="439" customWidth="1"/>
    <col min="4862" max="4862" width="12.875" style="439" customWidth="1"/>
    <col min="4863" max="4863" width="13.875" style="439" customWidth="1"/>
    <col min="4864" max="4864" width="1.75" style="439" customWidth="1"/>
    <col min="4865" max="4865" width="13.75" style="439" bestFit="1" customWidth="1"/>
    <col min="4866" max="4866" width="14.75" style="439" customWidth="1"/>
    <col min="4867" max="4867" width="12.875" style="439" bestFit="1" customWidth="1"/>
    <col min="4868" max="4868" width="9.5" style="439" bestFit="1" customWidth="1"/>
    <col min="4869" max="5110" width="8.75" style="439"/>
    <col min="5111" max="5111" width="3.125" style="439" customWidth="1"/>
    <col min="5112" max="5112" width="21.125" style="439" customWidth="1"/>
    <col min="5113" max="5113" width="13.125" style="439" customWidth="1"/>
    <col min="5114" max="5114" width="13.625" style="439" customWidth="1"/>
    <col min="5115" max="5115" width="13.375" style="439" customWidth="1"/>
    <col min="5116" max="5116" width="1.875" style="439" customWidth="1"/>
    <col min="5117" max="5117" width="13.625" style="439" customWidth="1"/>
    <col min="5118" max="5118" width="12.875" style="439" customWidth="1"/>
    <col min="5119" max="5119" width="13.875" style="439" customWidth="1"/>
    <col min="5120" max="5120" width="1.75" style="439" customWidth="1"/>
    <col min="5121" max="5121" width="13.75" style="439" bestFit="1" customWidth="1"/>
    <col min="5122" max="5122" width="14.75" style="439" customWidth="1"/>
    <col min="5123" max="5123" width="12.875" style="439" bestFit="1" customWidth="1"/>
    <col min="5124" max="5124" width="9.5" style="439" bestFit="1" customWidth="1"/>
    <col min="5125" max="5366" width="8.75" style="439"/>
    <col min="5367" max="5367" width="3.125" style="439" customWidth="1"/>
    <col min="5368" max="5368" width="21.125" style="439" customWidth="1"/>
    <col min="5369" max="5369" width="13.125" style="439" customWidth="1"/>
    <col min="5370" max="5370" width="13.625" style="439" customWidth="1"/>
    <col min="5371" max="5371" width="13.375" style="439" customWidth="1"/>
    <col min="5372" max="5372" width="1.875" style="439" customWidth="1"/>
    <col min="5373" max="5373" width="13.625" style="439" customWidth="1"/>
    <col min="5374" max="5374" width="12.875" style="439" customWidth="1"/>
    <col min="5375" max="5375" width="13.875" style="439" customWidth="1"/>
    <col min="5376" max="5376" width="1.75" style="439" customWidth="1"/>
    <col min="5377" max="5377" width="13.75" style="439" bestFit="1" customWidth="1"/>
    <col min="5378" max="5378" width="14.75" style="439" customWidth="1"/>
    <col min="5379" max="5379" width="12.875" style="439" bestFit="1" customWidth="1"/>
    <col min="5380" max="5380" width="9.5" style="439" bestFit="1" customWidth="1"/>
    <col min="5381" max="5622" width="8.75" style="439"/>
    <col min="5623" max="5623" width="3.125" style="439" customWidth="1"/>
    <col min="5624" max="5624" width="21.125" style="439" customWidth="1"/>
    <col min="5625" max="5625" width="13.125" style="439" customWidth="1"/>
    <col min="5626" max="5626" width="13.625" style="439" customWidth="1"/>
    <col min="5627" max="5627" width="13.375" style="439" customWidth="1"/>
    <col min="5628" max="5628" width="1.875" style="439" customWidth="1"/>
    <col min="5629" max="5629" width="13.625" style="439" customWidth="1"/>
    <col min="5630" max="5630" width="12.875" style="439" customWidth="1"/>
    <col min="5631" max="5631" width="13.875" style="439" customWidth="1"/>
    <col min="5632" max="5632" width="1.75" style="439" customWidth="1"/>
    <col min="5633" max="5633" width="13.75" style="439" bestFit="1" customWidth="1"/>
    <col min="5634" max="5634" width="14.75" style="439" customWidth="1"/>
    <col min="5635" max="5635" width="12.875" style="439" bestFit="1" customWidth="1"/>
    <col min="5636" max="5636" width="9.5" style="439" bestFit="1" customWidth="1"/>
    <col min="5637" max="5878" width="8.75" style="439"/>
    <col min="5879" max="5879" width="3.125" style="439" customWidth="1"/>
    <col min="5880" max="5880" width="21.125" style="439" customWidth="1"/>
    <col min="5881" max="5881" width="13.125" style="439" customWidth="1"/>
    <col min="5882" max="5882" width="13.625" style="439" customWidth="1"/>
    <col min="5883" max="5883" width="13.375" style="439" customWidth="1"/>
    <col min="5884" max="5884" width="1.875" style="439" customWidth="1"/>
    <col min="5885" max="5885" width="13.625" style="439" customWidth="1"/>
    <col min="5886" max="5886" width="12.875" style="439" customWidth="1"/>
    <col min="5887" max="5887" width="13.875" style="439" customWidth="1"/>
    <col min="5888" max="5888" width="1.75" style="439" customWidth="1"/>
    <col min="5889" max="5889" width="13.75" style="439" bestFit="1" customWidth="1"/>
    <col min="5890" max="5890" width="14.75" style="439" customWidth="1"/>
    <col min="5891" max="5891" width="12.875" style="439" bestFit="1" customWidth="1"/>
    <col min="5892" max="5892" width="9.5" style="439" bestFit="1" customWidth="1"/>
    <col min="5893" max="6134" width="8.75" style="439"/>
    <col min="6135" max="6135" width="3.125" style="439" customWidth="1"/>
    <col min="6136" max="6136" width="21.125" style="439" customWidth="1"/>
    <col min="6137" max="6137" width="13.125" style="439" customWidth="1"/>
    <col min="6138" max="6138" width="13.625" style="439" customWidth="1"/>
    <col min="6139" max="6139" width="13.375" style="439" customWidth="1"/>
    <col min="6140" max="6140" width="1.875" style="439" customWidth="1"/>
    <col min="6141" max="6141" width="13.625" style="439" customWidth="1"/>
    <col min="6142" max="6142" width="12.875" style="439" customWidth="1"/>
    <col min="6143" max="6143" width="13.875" style="439" customWidth="1"/>
    <col min="6144" max="6144" width="1.75" style="439" customWidth="1"/>
    <col min="6145" max="6145" width="13.75" style="439" bestFit="1" customWidth="1"/>
    <col min="6146" max="6146" width="14.75" style="439" customWidth="1"/>
    <col min="6147" max="6147" width="12.875" style="439" bestFit="1" customWidth="1"/>
    <col min="6148" max="6148" width="9.5" style="439" bestFit="1" customWidth="1"/>
    <col min="6149" max="6390" width="8.75" style="439"/>
    <col min="6391" max="6391" width="3.125" style="439" customWidth="1"/>
    <col min="6392" max="6392" width="21.125" style="439" customWidth="1"/>
    <col min="6393" max="6393" width="13.125" style="439" customWidth="1"/>
    <col min="6394" max="6394" width="13.625" style="439" customWidth="1"/>
    <col min="6395" max="6395" width="13.375" style="439" customWidth="1"/>
    <col min="6396" max="6396" width="1.875" style="439" customWidth="1"/>
    <col min="6397" max="6397" width="13.625" style="439" customWidth="1"/>
    <col min="6398" max="6398" width="12.875" style="439" customWidth="1"/>
    <col min="6399" max="6399" width="13.875" style="439" customWidth="1"/>
    <col min="6400" max="6400" width="1.75" style="439" customWidth="1"/>
    <col min="6401" max="6401" width="13.75" style="439" bestFit="1" customWidth="1"/>
    <col min="6402" max="6402" width="14.75" style="439" customWidth="1"/>
    <col min="6403" max="6403" width="12.875" style="439" bestFit="1" customWidth="1"/>
    <col min="6404" max="6404" width="9.5" style="439" bestFit="1" customWidth="1"/>
    <col min="6405" max="6646" width="8.75" style="439"/>
    <col min="6647" max="6647" width="3.125" style="439" customWidth="1"/>
    <col min="6648" max="6648" width="21.125" style="439" customWidth="1"/>
    <col min="6649" max="6649" width="13.125" style="439" customWidth="1"/>
    <col min="6650" max="6650" width="13.625" style="439" customWidth="1"/>
    <col min="6651" max="6651" width="13.375" style="439" customWidth="1"/>
    <col min="6652" max="6652" width="1.875" style="439" customWidth="1"/>
    <col min="6653" max="6653" width="13.625" style="439" customWidth="1"/>
    <col min="6654" max="6654" width="12.875" style="439" customWidth="1"/>
    <col min="6655" max="6655" width="13.875" style="439" customWidth="1"/>
    <col min="6656" max="6656" width="1.75" style="439" customWidth="1"/>
    <col min="6657" max="6657" width="13.75" style="439" bestFit="1" customWidth="1"/>
    <col min="6658" max="6658" width="14.75" style="439" customWidth="1"/>
    <col min="6659" max="6659" width="12.875" style="439" bestFit="1" customWidth="1"/>
    <col min="6660" max="6660" width="9.5" style="439" bestFit="1" customWidth="1"/>
    <col min="6661" max="6902" width="8.75" style="439"/>
    <col min="6903" max="6903" width="3.125" style="439" customWidth="1"/>
    <col min="6904" max="6904" width="21.125" style="439" customWidth="1"/>
    <col min="6905" max="6905" width="13.125" style="439" customWidth="1"/>
    <col min="6906" max="6906" width="13.625" style="439" customWidth="1"/>
    <col min="6907" max="6907" width="13.375" style="439" customWidth="1"/>
    <col min="6908" max="6908" width="1.875" style="439" customWidth="1"/>
    <col min="6909" max="6909" width="13.625" style="439" customWidth="1"/>
    <col min="6910" max="6910" width="12.875" style="439" customWidth="1"/>
    <col min="6911" max="6911" width="13.875" style="439" customWidth="1"/>
    <col min="6912" max="6912" width="1.75" style="439" customWidth="1"/>
    <col min="6913" max="6913" width="13.75" style="439" bestFit="1" customWidth="1"/>
    <col min="6914" max="6914" width="14.75" style="439" customWidth="1"/>
    <col min="6915" max="6915" width="12.875" style="439" bestFit="1" customWidth="1"/>
    <col min="6916" max="6916" width="9.5" style="439" bestFit="1" customWidth="1"/>
    <col min="6917" max="7158" width="8.75" style="439"/>
    <col min="7159" max="7159" width="3.125" style="439" customWidth="1"/>
    <col min="7160" max="7160" width="21.125" style="439" customWidth="1"/>
    <col min="7161" max="7161" width="13.125" style="439" customWidth="1"/>
    <col min="7162" max="7162" width="13.625" style="439" customWidth="1"/>
    <col min="7163" max="7163" width="13.375" style="439" customWidth="1"/>
    <col min="7164" max="7164" width="1.875" style="439" customWidth="1"/>
    <col min="7165" max="7165" width="13.625" style="439" customWidth="1"/>
    <col min="7166" max="7166" width="12.875" style="439" customWidth="1"/>
    <col min="7167" max="7167" width="13.875" style="439" customWidth="1"/>
    <col min="7168" max="7168" width="1.75" style="439" customWidth="1"/>
    <col min="7169" max="7169" width="13.75" style="439" bestFit="1" customWidth="1"/>
    <col min="7170" max="7170" width="14.75" style="439" customWidth="1"/>
    <col min="7171" max="7171" width="12.875" style="439" bestFit="1" customWidth="1"/>
    <col min="7172" max="7172" width="9.5" style="439" bestFit="1" customWidth="1"/>
    <col min="7173" max="7414" width="8.75" style="439"/>
    <col min="7415" max="7415" width="3.125" style="439" customWidth="1"/>
    <col min="7416" max="7416" width="21.125" style="439" customWidth="1"/>
    <col min="7417" max="7417" width="13.125" style="439" customWidth="1"/>
    <col min="7418" max="7418" width="13.625" style="439" customWidth="1"/>
    <col min="7419" max="7419" width="13.375" style="439" customWidth="1"/>
    <col min="7420" max="7420" width="1.875" style="439" customWidth="1"/>
    <col min="7421" max="7421" width="13.625" style="439" customWidth="1"/>
    <col min="7422" max="7422" width="12.875" style="439" customWidth="1"/>
    <col min="7423" max="7423" width="13.875" style="439" customWidth="1"/>
    <col min="7424" max="7424" width="1.75" style="439" customWidth="1"/>
    <col min="7425" max="7425" width="13.75" style="439" bestFit="1" customWidth="1"/>
    <col min="7426" max="7426" width="14.75" style="439" customWidth="1"/>
    <col min="7427" max="7427" width="12.875" style="439" bestFit="1" customWidth="1"/>
    <col min="7428" max="7428" width="9.5" style="439" bestFit="1" customWidth="1"/>
    <col min="7429" max="7670" width="8.75" style="439"/>
    <col min="7671" max="7671" width="3.125" style="439" customWidth="1"/>
    <col min="7672" max="7672" width="21.125" style="439" customWidth="1"/>
    <col min="7673" max="7673" width="13.125" style="439" customWidth="1"/>
    <col min="7674" max="7674" width="13.625" style="439" customWidth="1"/>
    <col min="7675" max="7675" width="13.375" style="439" customWidth="1"/>
    <col min="7676" max="7676" width="1.875" style="439" customWidth="1"/>
    <col min="7677" max="7677" width="13.625" style="439" customWidth="1"/>
    <col min="7678" max="7678" width="12.875" style="439" customWidth="1"/>
    <col min="7679" max="7679" width="13.875" style="439" customWidth="1"/>
    <col min="7680" max="7680" width="1.75" style="439" customWidth="1"/>
    <col min="7681" max="7681" width="13.75" style="439" bestFit="1" customWidth="1"/>
    <col min="7682" max="7682" width="14.75" style="439" customWidth="1"/>
    <col min="7683" max="7683" width="12.875" style="439" bestFit="1" customWidth="1"/>
    <col min="7684" max="7684" width="9.5" style="439" bestFit="1" customWidth="1"/>
    <col min="7685" max="7926" width="8.75" style="439"/>
    <col min="7927" max="7927" width="3.125" style="439" customWidth="1"/>
    <col min="7928" max="7928" width="21.125" style="439" customWidth="1"/>
    <col min="7929" max="7929" width="13.125" style="439" customWidth="1"/>
    <col min="7930" max="7930" width="13.625" style="439" customWidth="1"/>
    <col min="7931" max="7931" width="13.375" style="439" customWidth="1"/>
    <col min="7932" max="7932" width="1.875" style="439" customWidth="1"/>
    <col min="7933" max="7933" width="13.625" style="439" customWidth="1"/>
    <col min="7934" max="7934" width="12.875" style="439" customWidth="1"/>
    <col min="7935" max="7935" width="13.875" style="439" customWidth="1"/>
    <col min="7936" max="7936" width="1.75" style="439" customWidth="1"/>
    <col min="7937" max="7937" width="13.75" style="439" bestFit="1" customWidth="1"/>
    <col min="7938" max="7938" width="14.75" style="439" customWidth="1"/>
    <col min="7939" max="7939" width="12.875" style="439" bestFit="1" customWidth="1"/>
    <col min="7940" max="7940" width="9.5" style="439" bestFit="1" customWidth="1"/>
    <col min="7941" max="8182" width="8.75" style="439"/>
    <col min="8183" max="8183" width="3.125" style="439" customWidth="1"/>
    <col min="8184" max="8184" width="21.125" style="439" customWidth="1"/>
    <col min="8185" max="8185" width="13.125" style="439" customWidth="1"/>
    <col min="8186" max="8186" width="13.625" style="439" customWidth="1"/>
    <col min="8187" max="8187" width="13.375" style="439" customWidth="1"/>
    <col min="8188" max="8188" width="1.875" style="439" customWidth="1"/>
    <col min="8189" max="8189" width="13.625" style="439" customWidth="1"/>
    <col min="8190" max="8190" width="12.875" style="439" customWidth="1"/>
    <col min="8191" max="8191" width="13.875" style="439" customWidth="1"/>
    <col min="8192" max="8192" width="1.75" style="439" customWidth="1"/>
    <col min="8193" max="8193" width="13.75" style="439" bestFit="1" customWidth="1"/>
    <col min="8194" max="8194" width="14.75" style="439" customWidth="1"/>
    <col min="8195" max="8195" width="12.875" style="439" bestFit="1" customWidth="1"/>
    <col min="8196" max="8196" width="9.5" style="439" bestFit="1" customWidth="1"/>
    <col min="8197" max="8438" width="8.75" style="439"/>
    <col min="8439" max="8439" width="3.125" style="439" customWidth="1"/>
    <col min="8440" max="8440" width="21.125" style="439" customWidth="1"/>
    <col min="8441" max="8441" width="13.125" style="439" customWidth="1"/>
    <col min="8442" max="8442" width="13.625" style="439" customWidth="1"/>
    <col min="8443" max="8443" width="13.375" style="439" customWidth="1"/>
    <col min="8444" max="8444" width="1.875" style="439" customWidth="1"/>
    <col min="8445" max="8445" width="13.625" style="439" customWidth="1"/>
    <col min="8446" max="8446" width="12.875" style="439" customWidth="1"/>
    <col min="8447" max="8447" width="13.875" style="439" customWidth="1"/>
    <col min="8448" max="8448" width="1.75" style="439" customWidth="1"/>
    <col min="8449" max="8449" width="13.75" style="439" bestFit="1" customWidth="1"/>
    <col min="8450" max="8450" width="14.75" style="439" customWidth="1"/>
    <col min="8451" max="8451" width="12.875" style="439" bestFit="1" customWidth="1"/>
    <col min="8452" max="8452" width="9.5" style="439" bestFit="1" customWidth="1"/>
    <col min="8453" max="8694" width="8.75" style="439"/>
    <col min="8695" max="8695" width="3.125" style="439" customWidth="1"/>
    <col min="8696" max="8696" width="21.125" style="439" customWidth="1"/>
    <col min="8697" max="8697" width="13.125" style="439" customWidth="1"/>
    <col min="8698" max="8698" width="13.625" style="439" customWidth="1"/>
    <col min="8699" max="8699" width="13.375" style="439" customWidth="1"/>
    <col min="8700" max="8700" width="1.875" style="439" customWidth="1"/>
    <col min="8701" max="8701" width="13.625" style="439" customWidth="1"/>
    <col min="8702" max="8702" width="12.875" style="439" customWidth="1"/>
    <col min="8703" max="8703" width="13.875" style="439" customWidth="1"/>
    <col min="8704" max="8704" width="1.75" style="439" customWidth="1"/>
    <col min="8705" max="8705" width="13.75" style="439" bestFit="1" customWidth="1"/>
    <col min="8706" max="8706" width="14.75" style="439" customWidth="1"/>
    <col min="8707" max="8707" width="12.875" style="439" bestFit="1" customWidth="1"/>
    <col min="8708" max="8708" width="9.5" style="439" bestFit="1" customWidth="1"/>
    <col min="8709" max="8950" width="8.75" style="439"/>
    <col min="8951" max="8951" width="3.125" style="439" customWidth="1"/>
    <col min="8952" max="8952" width="21.125" style="439" customWidth="1"/>
    <col min="8953" max="8953" width="13.125" style="439" customWidth="1"/>
    <col min="8954" max="8954" width="13.625" style="439" customWidth="1"/>
    <col min="8955" max="8955" width="13.375" style="439" customWidth="1"/>
    <col min="8956" max="8956" width="1.875" style="439" customWidth="1"/>
    <col min="8957" max="8957" width="13.625" style="439" customWidth="1"/>
    <col min="8958" max="8958" width="12.875" style="439" customWidth="1"/>
    <col min="8959" max="8959" width="13.875" style="439" customWidth="1"/>
    <col min="8960" max="8960" width="1.75" style="439" customWidth="1"/>
    <col min="8961" max="8961" width="13.75" style="439" bestFit="1" customWidth="1"/>
    <col min="8962" max="8962" width="14.75" style="439" customWidth="1"/>
    <col min="8963" max="8963" width="12.875" style="439" bestFit="1" customWidth="1"/>
    <col min="8964" max="8964" width="9.5" style="439" bestFit="1" customWidth="1"/>
    <col min="8965" max="9206" width="8.75" style="439"/>
    <col min="9207" max="9207" width="3.125" style="439" customWidth="1"/>
    <col min="9208" max="9208" width="21.125" style="439" customWidth="1"/>
    <col min="9209" max="9209" width="13.125" style="439" customWidth="1"/>
    <col min="9210" max="9210" width="13.625" style="439" customWidth="1"/>
    <col min="9211" max="9211" width="13.375" style="439" customWidth="1"/>
    <col min="9212" max="9212" width="1.875" style="439" customWidth="1"/>
    <col min="9213" max="9213" width="13.625" style="439" customWidth="1"/>
    <col min="9214" max="9214" width="12.875" style="439" customWidth="1"/>
    <col min="9215" max="9215" width="13.875" style="439" customWidth="1"/>
    <col min="9216" max="9216" width="1.75" style="439" customWidth="1"/>
    <col min="9217" max="9217" width="13.75" style="439" bestFit="1" customWidth="1"/>
    <col min="9218" max="9218" width="14.75" style="439" customWidth="1"/>
    <col min="9219" max="9219" width="12.875" style="439" bestFit="1" customWidth="1"/>
    <col min="9220" max="9220" width="9.5" style="439" bestFit="1" customWidth="1"/>
    <col min="9221" max="9462" width="8.75" style="439"/>
    <col min="9463" max="9463" width="3.125" style="439" customWidth="1"/>
    <col min="9464" max="9464" width="21.125" style="439" customWidth="1"/>
    <col min="9465" max="9465" width="13.125" style="439" customWidth="1"/>
    <col min="9466" max="9466" width="13.625" style="439" customWidth="1"/>
    <col min="9467" max="9467" width="13.375" style="439" customWidth="1"/>
    <col min="9468" max="9468" width="1.875" style="439" customWidth="1"/>
    <col min="9469" max="9469" width="13.625" style="439" customWidth="1"/>
    <col min="9470" max="9470" width="12.875" style="439" customWidth="1"/>
    <col min="9471" max="9471" width="13.875" style="439" customWidth="1"/>
    <col min="9472" max="9472" width="1.75" style="439" customWidth="1"/>
    <col min="9473" max="9473" width="13.75" style="439" bestFit="1" customWidth="1"/>
    <col min="9474" max="9474" width="14.75" style="439" customWidth="1"/>
    <col min="9475" max="9475" width="12.875" style="439" bestFit="1" customWidth="1"/>
    <col min="9476" max="9476" width="9.5" style="439" bestFit="1" customWidth="1"/>
    <col min="9477" max="9718" width="8.75" style="439"/>
    <col min="9719" max="9719" width="3.125" style="439" customWidth="1"/>
    <col min="9720" max="9720" width="21.125" style="439" customWidth="1"/>
    <col min="9721" max="9721" width="13.125" style="439" customWidth="1"/>
    <col min="9722" max="9722" width="13.625" style="439" customWidth="1"/>
    <col min="9723" max="9723" width="13.375" style="439" customWidth="1"/>
    <col min="9724" max="9724" width="1.875" style="439" customWidth="1"/>
    <col min="9725" max="9725" width="13.625" style="439" customWidth="1"/>
    <col min="9726" max="9726" width="12.875" style="439" customWidth="1"/>
    <col min="9727" max="9727" width="13.875" style="439" customWidth="1"/>
    <col min="9728" max="9728" width="1.75" style="439" customWidth="1"/>
    <col min="9729" max="9729" width="13.75" style="439" bestFit="1" customWidth="1"/>
    <col min="9730" max="9730" width="14.75" style="439" customWidth="1"/>
    <col min="9731" max="9731" width="12.875" style="439" bestFit="1" customWidth="1"/>
    <col min="9732" max="9732" width="9.5" style="439" bestFit="1" customWidth="1"/>
    <col min="9733" max="9974" width="8.75" style="439"/>
    <col min="9975" max="9975" width="3.125" style="439" customWidth="1"/>
    <col min="9976" max="9976" width="21.125" style="439" customWidth="1"/>
    <col min="9977" max="9977" width="13.125" style="439" customWidth="1"/>
    <col min="9978" max="9978" width="13.625" style="439" customWidth="1"/>
    <col min="9979" max="9979" width="13.375" style="439" customWidth="1"/>
    <col min="9980" max="9980" width="1.875" style="439" customWidth="1"/>
    <col min="9981" max="9981" width="13.625" style="439" customWidth="1"/>
    <col min="9982" max="9982" width="12.875" style="439" customWidth="1"/>
    <col min="9983" max="9983" width="13.875" style="439" customWidth="1"/>
    <col min="9984" max="9984" width="1.75" style="439" customWidth="1"/>
    <col min="9985" max="9985" width="13.75" style="439" bestFit="1" customWidth="1"/>
    <col min="9986" max="9986" width="14.75" style="439" customWidth="1"/>
    <col min="9987" max="9987" width="12.875" style="439" bestFit="1" customWidth="1"/>
    <col min="9988" max="9988" width="9.5" style="439" bestFit="1" customWidth="1"/>
    <col min="9989" max="10230" width="8.75" style="439"/>
    <col min="10231" max="10231" width="3.125" style="439" customWidth="1"/>
    <col min="10232" max="10232" width="21.125" style="439" customWidth="1"/>
    <col min="10233" max="10233" width="13.125" style="439" customWidth="1"/>
    <col min="10234" max="10234" width="13.625" style="439" customWidth="1"/>
    <col min="10235" max="10235" width="13.375" style="439" customWidth="1"/>
    <col min="10236" max="10236" width="1.875" style="439" customWidth="1"/>
    <col min="10237" max="10237" width="13.625" style="439" customWidth="1"/>
    <col min="10238" max="10238" width="12.875" style="439" customWidth="1"/>
    <col min="10239" max="10239" width="13.875" style="439" customWidth="1"/>
    <col min="10240" max="10240" width="1.75" style="439" customWidth="1"/>
    <col min="10241" max="10241" width="13.75" style="439" bestFit="1" customWidth="1"/>
    <col min="10242" max="10242" width="14.75" style="439" customWidth="1"/>
    <col min="10243" max="10243" width="12.875" style="439" bestFit="1" customWidth="1"/>
    <col min="10244" max="10244" width="9.5" style="439" bestFit="1" customWidth="1"/>
    <col min="10245" max="10486" width="8.75" style="439"/>
    <col min="10487" max="10487" width="3.125" style="439" customWidth="1"/>
    <col min="10488" max="10488" width="21.125" style="439" customWidth="1"/>
    <col min="10489" max="10489" width="13.125" style="439" customWidth="1"/>
    <col min="10490" max="10490" width="13.625" style="439" customWidth="1"/>
    <col min="10491" max="10491" width="13.375" style="439" customWidth="1"/>
    <col min="10492" max="10492" width="1.875" style="439" customWidth="1"/>
    <col min="10493" max="10493" width="13.625" style="439" customWidth="1"/>
    <col min="10494" max="10494" width="12.875" style="439" customWidth="1"/>
    <col min="10495" max="10495" width="13.875" style="439" customWidth="1"/>
    <col min="10496" max="10496" width="1.75" style="439" customWidth="1"/>
    <col min="10497" max="10497" width="13.75" style="439" bestFit="1" customWidth="1"/>
    <col min="10498" max="10498" width="14.75" style="439" customWidth="1"/>
    <col min="10499" max="10499" width="12.875" style="439" bestFit="1" customWidth="1"/>
    <col min="10500" max="10500" width="9.5" style="439" bestFit="1" customWidth="1"/>
    <col min="10501" max="10742" width="8.75" style="439"/>
    <col min="10743" max="10743" width="3.125" style="439" customWidth="1"/>
    <col min="10744" max="10744" width="21.125" style="439" customWidth="1"/>
    <col min="10745" max="10745" width="13.125" style="439" customWidth="1"/>
    <col min="10746" max="10746" width="13.625" style="439" customWidth="1"/>
    <col min="10747" max="10747" width="13.375" style="439" customWidth="1"/>
    <col min="10748" max="10748" width="1.875" style="439" customWidth="1"/>
    <col min="10749" max="10749" width="13.625" style="439" customWidth="1"/>
    <col min="10750" max="10750" width="12.875" style="439" customWidth="1"/>
    <col min="10751" max="10751" width="13.875" style="439" customWidth="1"/>
    <col min="10752" max="10752" width="1.75" style="439" customWidth="1"/>
    <col min="10753" max="10753" width="13.75" style="439" bestFit="1" customWidth="1"/>
    <col min="10754" max="10754" width="14.75" style="439" customWidth="1"/>
    <col min="10755" max="10755" width="12.875" style="439" bestFit="1" customWidth="1"/>
    <col min="10756" max="10756" width="9.5" style="439" bestFit="1" customWidth="1"/>
    <col min="10757" max="10998" width="8.75" style="439"/>
    <col min="10999" max="10999" width="3.125" style="439" customWidth="1"/>
    <col min="11000" max="11000" width="21.125" style="439" customWidth="1"/>
    <col min="11001" max="11001" width="13.125" style="439" customWidth="1"/>
    <col min="11002" max="11002" width="13.625" style="439" customWidth="1"/>
    <col min="11003" max="11003" width="13.375" style="439" customWidth="1"/>
    <col min="11004" max="11004" width="1.875" style="439" customWidth="1"/>
    <col min="11005" max="11005" width="13.625" style="439" customWidth="1"/>
    <col min="11006" max="11006" width="12.875" style="439" customWidth="1"/>
    <col min="11007" max="11007" width="13.875" style="439" customWidth="1"/>
    <col min="11008" max="11008" width="1.75" style="439" customWidth="1"/>
    <col min="11009" max="11009" width="13.75" style="439" bestFit="1" customWidth="1"/>
    <col min="11010" max="11010" width="14.75" style="439" customWidth="1"/>
    <col min="11011" max="11011" width="12.875" style="439" bestFit="1" customWidth="1"/>
    <col min="11012" max="11012" width="9.5" style="439" bestFit="1" customWidth="1"/>
    <col min="11013" max="11254" width="8.75" style="439"/>
    <col min="11255" max="11255" width="3.125" style="439" customWidth="1"/>
    <col min="11256" max="11256" width="21.125" style="439" customWidth="1"/>
    <col min="11257" max="11257" width="13.125" style="439" customWidth="1"/>
    <col min="11258" max="11258" width="13.625" style="439" customWidth="1"/>
    <col min="11259" max="11259" width="13.375" style="439" customWidth="1"/>
    <col min="11260" max="11260" width="1.875" style="439" customWidth="1"/>
    <col min="11261" max="11261" width="13.625" style="439" customWidth="1"/>
    <col min="11262" max="11262" width="12.875" style="439" customWidth="1"/>
    <col min="11263" max="11263" width="13.875" style="439" customWidth="1"/>
    <col min="11264" max="11264" width="1.75" style="439" customWidth="1"/>
    <col min="11265" max="11265" width="13.75" style="439" bestFit="1" customWidth="1"/>
    <col min="11266" max="11266" width="14.75" style="439" customWidth="1"/>
    <col min="11267" max="11267" width="12.875" style="439" bestFit="1" customWidth="1"/>
    <col min="11268" max="11268" width="9.5" style="439" bestFit="1" customWidth="1"/>
    <col min="11269" max="11510" width="8.75" style="439"/>
    <col min="11511" max="11511" width="3.125" style="439" customWidth="1"/>
    <col min="11512" max="11512" width="21.125" style="439" customWidth="1"/>
    <col min="11513" max="11513" width="13.125" style="439" customWidth="1"/>
    <col min="11514" max="11514" width="13.625" style="439" customWidth="1"/>
    <col min="11515" max="11515" width="13.375" style="439" customWidth="1"/>
    <col min="11516" max="11516" width="1.875" style="439" customWidth="1"/>
    <col min="11517" max="11517" width="13.625" style="439" customWidth="1"/>
    <col min="11518" max="11518" width="12.875" style="439" customWidth="1"/>
    <col min="11519" max="11519" width="13.875" style="439" customWidth="1"/>
    <col min="11520" max="11520" width="1.75" style="439" customWidth="1"/>
    <col min="11521" max="11521" width="13.75" style="439" bestFit="1" customWidth="1"/>
    <col min="11522" max="11522" width="14.75" style="439" customWidth="1"/>
    <col min="11523" max="11523" width="12.875" style="439" bestFit="1" customWidth="1"/>
    <col min="11524" max="11524" width="9.5" style="439" bestFit="1" customWidth="1"/>
    <col min="11525" max="11766" width="8.75" style="439"/>
    <col min="11767" max="11767" width="3.125" style="439" customWidth="1"/>
    <col min="11768" max="11768" width="21.125" style="439" customWidth="1"/>
    <col min="11769" max="11769" width="13.125" style="439" customWidth="1"/>
    <col min="11770" max="11770" width="13.625" style="439" customWidth="1"/>
    <col min="11771" max="11771" width="13.375" style="439" customWidth="1"/>
    <col min="11772" max="11772" width="1.875" style="439" customWidth="1"/>
    <col min="11773" max="11773" width="13.625" style="439" customWidth="1"/>
    <col min="11774" max="11774" width="12.875" style="439" customWidth="1"/>
    <col min="11775" max="11775" width="13.875" style="439" customWidth="1"/>
    <col min="11776" max="11776" width="1.75" style="439" customWidth="1"/>
    <col min="11777" max="11777" width="13.75" style="439" bestFit="1" customWidth="1"/>
    <col min="11778" max="11778" width="14.75" style="439" customWidth="1"/>
    <col min="11779" max="11779" width="12.875" style="439" bestFit="1" customWidth="1"/>
    <col min="11780" max="11780" width="9.5" style="439" bestFit="1" customWidth="1"/>
    <col min="11781" max="12022" width="8.75" style="439"/>
    <col min="12023" max="12023" width="3.125" style="439" customWidth="1"/>
    <col min="12024" max="12024" width="21.125" style="439" customWidth="1"/>
    <col min="12025" max="12025" width="13.125" style="439" customWidth="1"/>
    <col min="12026" max="12026" width="13.625" style="439" customWidth="1"/>
    <col min="12027" max="12027" width="13.375" style="439" customWidth="1"/>
    <col min="12028" max="12028" width="1.875" style="439" customWidth="1"/>
    <col min="12029" max="12029" width="13.625" style="439" customWidth="1"/>
    <col min="12030" max="12030" width="12.875" style="439" customWidth="1"/>
    <col min="12031" max="12031" width="13.875" style="439" customWidth="1"/>
    <col min="12032" max="12032" width="1.75" style="439" customWidth="1"/>
    <col min="12033" max="12033" width="13.75" style="439" bestFit="1" customWidth="1"/>
    <col min="12034" max="12034" width="14.75" style="439" customWidth="1"/>
    <col min="12035" max="12035" width="12.875" style="439" bestFit="1" customWidth="1"/>
    <col min="12036" max="12036" width="9.5" style="439" bestFit="1" customWidth="1"/>
    <col min="12037" max="12278" width="8.75" style="439"/>
    <col min="12279" max="12279" width="3.125" style="439" customWidth="1"/>
    <col min="12280" max="12280" width="21.125" style="439" customWidth="1"/>
    <col min="12281" max="12281" width="13.125" style="439" customWidth="1"/>
    <col min="12282" max="12282" width="13.625" style="439" customWidth="1"/>
    <col min="12283" max="12283" width="13.375" style="439" customWidth="1"/>
    <col min="12284" max="12284" width="1.875" style="439" customWidth="1"/>
    <col min="12285" max="12285" width="13.625" style="439" customWidth="1"/>
    <col min="12286" max="12286" width="12.875" style="439" customWidth="1"/>
    <col min="12287" max="12287" width="13.875" style="439" customWidth="1"/>
    <col min="12288" max="12288" width="1.75" style="439" customWidth="1"/>
    <col min="12289" max="12289" width="13.75" style="439" bestFit="1" customWidth="1"/>
    <col min="12290" max="12290" width="14.75" style="439" customWidth="1"/>
    <col min="12291" max="12291" width="12.875" style="439" bestFit="1" customWidth="1"/>
    <col min="12292" max="12292" width="9.5" style="439" bestFit="1" customWidth="1"/>
    <col min="12293" max="12534" width="8.75" style="439"/>
    <col min="12535" max="12535" width="3.125" style="439" customWidth="1"/>
    <col min="12536" max="12536" width="21.125" style="439" customWidth="1"/>
    <col min="12537" max="12537" width="13.125" style="439" customWidth="1"/>
    <col min="12538" max="12538" width="13.625" style="439" customWidth="1"/>
    <col min="12539" max="12539" width="13.375" style="439" customWidth="1"/>
    <col min="12540" max="12540" width="1.875" style="439" customWidth="1"/>
    <col min="12541" max="12541" width="13.625" style="439" customWidth="1"/>
    <col min="12542" max="12542" width="12.875" style="439" customWidth="1"/>
    <col min="12543" max="12543" width="13.875" style="439" customWidth="1"/>
    <col min="12544" max="12544" width="1.75" style="439" customWidth="1"/>
    <col min="12545" max="12545" width="13.75" style="439" bestFit="1" customWidth="1"/>
    <col min="12546" max="12546" width="14.75" style="439" customWidth="1"/>
    <col min="12547" max="12547" width="12.875" style="439" bestFit="1" customWidth="1"/>
    <col min="12548" max="12548" width="9.5" style="439" bestFit="1" customWidth="1"/>
    <col min="12549" max="12790" width="8.75" style="439"/>
    <col min="12791" max="12791" width="3.125" style="439" customWidth="1"/>
    <col min="12792" max="12792" width="21.125" style="439" customWidth="1"/>
    <col min="12793" max="12793" width="13.125" style="439" customWidth="1"/>
    <col min="12794" max="12794" width="13.625" style="439" customWidth="1"/>
    <col min="12795" max="12795" width="13.375" style="439" customWidth="1"/>
    <col min="12796" max="12796" width="1.875" style="439" customWidth="1"/>
    <col min="12797" max="12797" width="13.625" style="439" customWidth="1"/>
    <col min="12798" max="12798" width="12.875" style="439" customWidth="1"/>
    <col min="12799" max="12799" width="13.875" style="439" customWidth="1"/>
    <col min="12800" max="12800" width="1.75" style="439" customWidth="1"/>
    <col min="12801" max="12801" width="13.75" style="439" bestFit="1" customWidth="1"/>
    <col min="12802" max="12802" width="14.75" style="439" customWidth="1"/>
    <col min="12803" max="12803" width="12.875" style="439" bestFit="1" customWidth="1"/>
    <col min="12804" max="12804" width="9.5" style="439" bestFit="1" customWidth="1"/>
    <col min="12805" max="13046" width="8.75" style="439"/>
    <col min="13047" max="13047" width="3.125" style="439" customWidth="1"/>
    <col min="13048" max="13048" width="21.125" style="439" customWidth="1"/>
    <col min="13049" max="13049" width="13.125" style="439" customWidth="1"/>
    <col min="13050" max="13050" width="13.625" style="439" customWidth="1"/>
    <col min="13051" max="13051" width="13.375" style="439" customWidth="1"/>
    <col min="13052" max="13052" width="1.875" style="439" customWidth="1"/>
    <col min="13053" max="13053" width="13.625" style="439" customWidth="1"/>
    <col min="13054" max="13054" width="12.875" style="439" customWidth="1"/>
    <col min="13055" max="13055" width="13.875" style="439" customWidth="1"/>
    <col min="13056" max="13056" width="1.75" style="439" customWidth="1"/>
    <col min="13057" max="13057" width="13.75" style="439" bestFit="1" customWidth="1"/>
    <col min="13058" max="13058" width="14.75" style="439" customWidth="1"/>
    <col min="13059" max="13059" width="12.875" style="439" bestFit="1" customWidth="1"/>
    <col min="13060" max="13060" width="9.5" style="439" bestFit="1" customWidth="1"/>
    <col min="13061" max="13302" width="8.75" style="439"/>
    <col min="13303" max="13303" width="3.125" style="439" customWidth="1"/>
    <col min="13304" max="13304" width="21.125" style="439" customWidth="1"/>
    <col min="13305" max="13305" width="13.125" style="439" customWidth="1"/>
    <col min="13306" max="13306" width="13.625" style="439" customWidth="1"/>
    <col min="13307" max="13307" width="13.375" style="439" customWidth="1"/>
    <col min="13308" max="13308" width="1.875" style="439" customWidth="1"/>
    <col min="13309" max="13309" width="13.625" style="439" customWidth="1"/>
    <col min="13310" max="13310" width="12.875" style="439" customWidth="1"/>
    <col min="13311" max="13311" width="13.875" style="439" customWidth="1"/>
    <col min="13312" max="13312" width="1.75" style="439" customWidth="1"/>
    <col min="13313" max="13313" width="13.75" style="439" bestFit="1" customWidth="1"/>
    <col min="13314" max="13314" width="14.75" style="439" customWidth="1"/>
    <col min="13315" max="13315" width="12.875" style="439" bestFit="1" customWidth="1"/>
    <col min="13316" max="13316" width="9.5" style="439" bestFit="1" customWidth="1"/>
    <col min="13317" max="13558" width="8.75" style="439"/>
    <col min="13559" max="13559" width="3.125" style="439" customWidth="1"/>
    <col min="13560" max="13560" width="21.125" style="439" customWidth="1"/>
    <col min="13561" max="13561" width="13.125" style="439" customWidth="1"/>
    <col min="13562" max="13562" width="13.625" style="439" customWidth="1"/>
    <col min="13563" max="13563" width="13.375" style="439" customWidth="1"/>
    <col min="13564" max="13564" width="1.875" style="439" customWidth="1"/>
    <col min="13565" max="13565" width="13.625" style="439" customWidth="1"/>
    <col min="13566" max="13566" width="12.875" style="439" customWidth="1"/>
    <col min="13567" max="13567" width="13.875" style="439" customWidth="1"/>
    <col min="13568" max="13568" width="1.75" style="439" customWidth="1"/>
    <col min="13569" max="13569" width="13.75" style="439" bestFit="1" customWidth="1"/>
    <col min="13570" max="13570" width="14.75" style="439" customWidth="1"/>
    <col min="13571" max="13571" width="12.875" style="439" bestFit="1" customWidth="1"/>
    <col min="13572" max="13572" width="9.5" style="439" bestFit="1" customWidth="1"/>
    <col min="13573" max="13814" width="8.75" style="439"/>
    <col min="13815" max="13815" width="3.125" style="439" customWidth="1"/>
    <col min="13816" max="13816" width="21.125" style="439" customWidth="1"/>
    <col min="13817" max="13817" width="13.125" style="439" customWidth="1"/>
    <col min="13818" max="13818" width="13.625" style="439" customWidth="1"/>
    <col min="13819" max="13819" width="13.375" style="439" customWidth="1"/>
    <col min="13820" max="13820" width="1.875" style="439" customWidth="1"/>
    <col min="13821" max="13821" width="13.625" style="439" customWidth="1"/>
    <col min="13822" max="13822" width="12.875" style="439" customWidth="1"/>
    <col min="13823" max="13823" width="13.875" style="439" customWidth="1"/>
    <col min="13824" max="13824" width="1.75" style="439" customWidth="1"/>
    <col min="13825" max="13825" width="13.75" style="439" bestFit="1" customWidth="1"/>
    <col min="13826" max="13826" width="14.75" style="439" customWidth="1"/>
    <col min="13827" max="13827" width="12.875" style="439" bestFit="1" customWidth="1"/>
    <col min="13828" max="13828" width="9.5" style="439" bestFit="1" customWidth="1"/>
    <col min="13829" max="14070" width="8.75" style="439"/>
    <col min="14071" max="14071" width="3.125" style="439" customWidth="1"/>
    <col min="14072" max="14072" width="21.125" style="439" customWidth="1"/>
    <col min="14073" max="14073" width="13.125" style="439" customWidth="1"/>
    <col min="14074" max="14074" width="13.625" style="439" customWidth="1"/>
    <col min="14075" max="14075" width="13.375" style="439" customWidth="1"/>
    <col min="14076" max="14076" width="1.875" style="439" customWidth="1"/>
    <col min="14077" max="14077" width="13.625" style="439" customWidth="1"/>
    <col min="14078" max="14078" width="12.875" style="439" customWidth="1"/>
    <col min="14079" max="14079" width="13.875" style="439" customWidth="1"/>
    <col min="14080" max="14080" width="1.75" style="439" customWidth="1"/>
    <col min="14081" max="14081" width="13.75" style="439" bestFit="1" customWidth="1"/>
    <col min="14082" max="14082" width="14.75" style="439" customWidth="1"/>
    <col min="14083" max="14083" width="12.875" style="439" bestFit="1" customWidth="1"/>
    <col min="14084" max="14084" width="9.5" style="439" bestFit="1" customWidth="1"/>
    <col min="14085" max="14326" width="8.75" style="439"/>
    <col min="14327" max="14327" width="3.125" style="439" customWidth="1"/>
    <col min="14328" max="14328" width="21.125" style="439" customWidth="1"/>
    <col min="14329" max="14329" width="13.125" style="439" customWidth="1"/>
    <col min="14330" max="14330" width="13.625" style="439" customWidth="1"/>
    <col min="14331" max="14331" width="13.375" style="439" customWidth="1"/>
    <col min="14332" max="14332" width="1.875" style="439" customWidth="1"/>
    <col min="14333" max="14333" width="13.625" style="439" customWidth="1"/>
    <col min="14334" max="14334" width="12.875" style="439" customWidth="1"/>
    <col min="14335" max="14335" width="13.875" style="439" customWidth="1"/>
    <col min="14336" max="14336" width="1.75" style="439" customWidth="1"/>
    <col min="14337" max="14337" width="13.75" style="439" bestFit="1" customWidth="1"/>
    <col min="14338" max="14338" width="14.75" style="439" customWidth="1"/>
    <col min="14339" max="14339" width="12.875" style="439" bestFit="1" customWidth="1"/>
    <col min="14340" max="14340" width="9.5" style="439" bestFit="1" customWidth="1"/>
    <col min="14341" max="14582" width="8.75" style="439"/>
    <col min="14583" max="14583" width="3.125" style="439" customWidth="1"/>
    <col min="14584" max="14584" width="21.125" style="439" customWidth="1"/>
    <col min="14585" max="14585" width="13.125" style="439" customWidth="1"/>
    <col min="14586" max="14586" width="13.625" style="439" customWidth="1"/>
    <col min="14587" max="14587" width="13.375" style="439" customWidth="1"/>
    <col min="14588" max="14588" width="1.875" style="439" customWidth="1"/>
    <col min="14589" max="14589" width="13.625" style="439" customWidth="1"/>
    <col min="14590" max="14590" width="12.875" style="439" customWidth="1"/>
    <col min="14591" max="14591" width="13.875" style="439" customWidth="1"/>
    <col min="14592" max="14592" width="1.75" style="439" customWidth="1"/>
    <col min="14593" max="14593" width="13.75" style="439" bestFit="1" customWidth="1"/>
    <col min="14594" max="14594" width="14.75" style="439" customWidth="1"/>
    <col min="14595" max="14595" width="12.875" style="439" bestFit="1" customWidth="1"/>
    <col min="14596" max="14596" width="9.5" style="439" bestFit="1" customWidth="1"/>
    <col min="14597" max="14838" width="8.75" style="439"/>
    <col min="14839" max="14839" width="3.125" style="439" customWidth="1"/>
    <col min="14840" max="14840" width="21.125" style="439" customWidth="1"/>
    <col min="14841" max="14841" width="13.125" style="439" customWidth="1"/>
    <col min="14842" max="14842" width="13.625" style="439" customWidth="1"/>
    <col min="14843" max="14843" width="13.375" style="439" customWidth="1"/>
    <col min="14844" max="14844" width="1.875" style="439" customWidth="1"/>
    <col min="14845" max="14845" width="13.625" style="439" customWidth="1"/>
    <col min="14846" max="14846" width="12.875" style="439" customWidth="1"/>
    <col min="14847" max="14847" width="13.875" style="439" customWidth="1"/>
    <col min="14848" max="14848" width="1.75" style="439" customWidth="1"/>
    <col min="14849" max="14849" width="13.75" style="439" bestFit="1" customWidth="1"/>
    <col min="14850" max="14850" width="14.75" style="439" customWidth="1"/>
    <col min="14851" max="14851" width="12.875" style="439" bestFit="1" customWidth="1"/>
    <col min="14852" max="14852" width="9.5" style="439" bestFit="1" customWidth="1"/>
    <col min="14853" max="15094" width="8.75" style="439"/>
    <col min="15095" max="15095" width="3.125" style="439" customWidth="1"/>
    <col min="15096" max="15096" width="21.125" style="439" customWidth="1"/>
    <col min="15097" max="15097" width="13.125" style="439" customWidth="1"/>
    <col min="15098" max="15098" width="13.625" style="439" customWidth="1"/>
    <col min="15099" max="15099" width="13.375" style="439" customWidth="1"/>
    <col min="15100" max="15100" width="1.875" style="439" customWidth="1"/>
    <col min="15101" max="15101" width="13.625" style="439" customWidth="1"/>
    <col min="15102" max="15102" width="12.875" style="439" customWidth="1"/>
    <col min="15103" max="15103" width="13.875" style="439" customWidth="1"/>
    <col min="15104" max="15104" width="1.75" style="439" customWidth="1"/>
    <col min="15105" max="15105" width="13.75" style="439" bestFit="1" customWidth="1"/>
    <col min="15106" max="15106" width="14.75" style="439" customWidth="1"/>
    <col min="15107" max="15107" width="12.875" style="439" bestFit="1" customWidth="1"/>
    <col min="15108" max="15108" width="9.5" style="439" bestFit="1" customWidth="1"/>
    <col min="15109" max="15350" width="8.75" style="439"/>
    <col min="15351" max="15351" width="3.125" style="439" customWidth="1"/>
    <col min="15352" max="15352" width="21.125" style="439" customWidth="1"/>
    <col min="15353" max="15353" width="13.125" style="439" customWidth="1"/>
    <col min="15354" max="15354" width="13.625" style="439" customWidth="1"/>
    <col min="15355" max="15355" width="13.375" style="439" customWidth="1"/>
    <col min="15356" max="15356" width="1.875" style="439" customWidth="1"/>
    <col min="15357" max="15357" width="13.625" style="439" customWidth="1"/>
    <col min="15358" max="15358" width="12.875" style="439" customWidth="1"/>
    <col min="15359" max="15359" width="13.875" style="439" customWidth="1"/>
    <col min="15360" max="15360" width="1.75" style="439" customWidth="1"/>
    <col min="15361" max="15361" width="13.75" style="439" bestFit="1" customWidth="1"/>
    <col min="15362" max="15362" width="14.75" style="439" customWidth="1"/>
    <col min="15363" max="15363" width="12.875" style="439" bestFit="1" customWidth="1"/>
    <col min="15364" max="15364" width="9.5" style="439" bestFit="1" customWidth="1"/>
    <col min="15365" max="15606" width="8.75" style="439"/>
    <col min="15607" max="15607" width="3.125" style="439" customWidth="1"/>
    <col min="15608" max="15608" width="21.125" style="439" customWidth="1"/>
    <col min="15609" max="15609" width="13.125" style="439" customWidth="1"/>
    <col min="15610" max="15610" width="13.625" style="439" customWidth="1"/>
    <col min="15611" max="15611" width="13.375" style="439" customWidth="1"/>
    <col min="15612" max="15612" width="1.875" style="439" customWidth="1"/>
    <col min="15613" max="15613" width="13.625" style="439" customWidth="1"/>
    <col min="15614" max="15614" width="12.875" style="439" customWidth="1"/>
    <col min="15615" max="15615" width="13.875" style="439" customWidth="1"/>
    <col min="15616" max="15616" width="1.75" style="439" customWidth="1"/>
    <col min="15617" max="15617" width="13.75" style="439" bestFit="1" customWidth="1"/>
    <col min="15618" max="15618" width="14.75" style="439" customWidth="1"/>
    <col min="15619" max="15619" width="12.875" style="439" bestFit="1" customWidth="1"/>
    <col min="15620" max="15620" width="9.5" style="439" bestFit="1" customWidth="1"/>
    <col min="15621" max="15862" width="8.75" style="439"/>
    <col min="15863" max="15863" width="3.125" style="439" customWidth="1"/>
    <col min="15864" max="15864" width="21.125" style="439" customWidth="1"/>
    <col min="15865" max="15865" width="13.125" style="439" customWidth="1"/>
    <col min="15866" max="15866" width="13.625" style="439" customWidth="1"/>
    <col min="15867" max="15867" width="13.375" style="439" customWidth="1"/>
    <col min="15868" max="15868" width="1.875" style="439" customWidth="1"/>
    <col min="15869" max="15869" width="13.625" style="439" customWidth="1"/>
    <col min="15870" max="15870" width="12.875" style="439" customWidth="1"/>
    <col min="15871" max="15871" width="13.875" style="439" customWidth="1"/>
    <col min="15872" max="15872" width="1.75" style="439" customWidth="1"/>
    <col min="15873" max="15873" width="13.75" style="439" bestFit="1" customWidth="1"/>
    <col min="15874" max="15874" width="14.75" style="439" customWidth="1"/>
    <col min="15875" max="15875" width="12.875" style="439" bestFit="1" customWidth="1"/>
    <col min="15876" max="15876" width="9.5" style="439" bestFit="1" customWidth="1"/>
    <col min="15877" max="16118" width="8.75" style="439"/>
    <col min="16119" max="16119" width="3.125" style="439" customWidth="1"/>
    <col min="16120" max="16120" width="21.125" style="439" customWidth="1"/>
    <col min="16121" max="16121" width="13.125" style="439" customWidth="1"/>
    <col min="16122" max="16122" width="13.625" style="439" customWidth="1"/>
    <col min="16123" max="16123" width="13.375" style="439" customWidth="1"/>
    <col min="16124" max="16124" width="1.875" style="439" customWidth="1"/>
    <col min="16125" max="16125" width="13.625" style="439" customWidth="1"/>
    <col min="16126" max="16126" width="12.875" style="439" customWidth="1"/>
    <col min="16127" max="16127" width="13.875" style="439" customWidth="1"/>
    <col min="16128" max="16128" width="1.75" style="439" customWidth="1"/>
    <col min="16129" max="16129" width="13.75" style="439" bestFit="1" customWidth="1"/>
    <col min="16130" max="16130" width="14.75" style="439" customWidth="1"/>
    <col min="16131" max="16131" width="12.875" style="439" bestFit="1" customWidth="1"/>
    <col min="16132" max="16132" width="9.5" style="439" bestFit="1" customWidth="1"/>
    <col min="16133" max="16384" width="8.75" style="439"/>
  </cols>
  <sheetData>
    <row r="1" spans="1:17">
      <c r="A1" s="437" t="s">
        <v>1</v>
      </c>
      <c r="B1" s="438"/>
      <c r="C1" s="437"/>
      <c r="D1" s="437"/>
      <c r="E1" s="437"/>
      <c r="F1" s="437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</row>
    <row r="2" spans="1:17">
      <c r="A2" s="437" t="s">
        <v>77</v>
      </c>
      <c r="B2" s="438"/>
      <c r="C2" s="437"/>
      <c r="D2" s="437"/>
      <c r="E2" s="437"/>
      <c r="F2" s="437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</row>
    <row r="3" spans="1:17">
      <c r="A3" s="437" t="s">
        <v>78</v>
      </c>
      <c r="B3" s="438"/>
      <c r="C3" s="437"/>
      <c r="D3" s="437"/>
      <c r="E3" s="437"/>
      <c r="F3" s="437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</row>
    <row r="4" spans="1:17">
      <c r="A4" s="437" t="s">
        <v>79</v>
      </c>
      <c r="B4" s="438"/>
      <c r="C4" s="437"/>
      <c r="D4" s="437"/>
      <c r="E4" s="437"/>
      <c r="F4" s="437"/>
      <c r="G4" s="438"/>
      <c r="H4" s="438"/>
      <c r="I4" s="438"/>
      <c r="J4" s="438"/>
      <c r="K4" s="438"/>
      <c r="L4" s="438"/>
      <c r="M4" s="438"/>
      <c r="N4" s="438"/>
      <c r="O4" s="438"/>
      <c r="P4" s="438"/>
      <c r="Q4" s="438"/>
    </row>
    <row r="5" spans="1:17">
      <c r="B5" s="440"/>
      <c r="C5" s="440"/>
      <c r="D5" s="440"/>
      <c r="E5" s="440"/>
      <c r="F5" s="440"/>
    </row>
    <row r="6" spans="1:17">
      <c r="B6" s="441"/>
      <c r="C6" s="441"/>
      <c r="D6" s="441"/>
      <c r="E6" s="441"/>
      <c r="F6" s="441"/>
      <c r="G6" s="442"/>
      <c r="H6" s="442" t="s">
        <v>80</v>
      </c>
      <c r="I6" s="442" t="s">
        <v>80</v>
      </c>
      <c r="J6" s="442" t="s">
        <v>81</v>
      </c>
      <c r="K6" s="442" t="s">
        <v>80</v>
      </c>
      <c r="L6" s="442"/>
      <c r="M6" s="442" t="s">
        <v>82</v>
      </c>
      <c r="N6" s="442" t="s">
        <v>83</v>
      </c>
      <c r="O6" s="442" t="s">
        <v>80</v>
      </c>
      <c r="P6" s="442"/>
      <c r="Q6" s="442"/>
    </row>
    <row r="7" spans="1:17">
      <c r="B7" s="443"/>
      <c r="C7" s="444" t="s">
        <v>84</v>
      </c>
      <c r="D7" s="444" t="s">
        <v>85</v>
      </c>
      <c r="E7" s="444" t="s">
        <v>86</v>
      </c>
      <c r="F7" s="444" t="s">
        <v>87</v>
      </c>
      <c r="G7" s="442" t="s">
        <v>22</v>
      </c>
      <c r="H7" s="442" t="s">
        <v>88</v>
      </c>
      <c r="I7" s="442" t="s">
        <v>89</v>
      </c>
      <c r="J7" s="442" t="s">
        <v>90</v>
      </c>
      <c r="K7" s="442" t="s">
        <v>91</v>
      </c>
      <c r="L7" s="442" t="s">
        <v>41</v>
      </c>
      <c r="M7" s="442" t="s">
        <v>92</v>
      </c>
      <c r="N7" s="442" t="s">
        <v>90</v>
      </c>
      <c r="O7" s="442" t="s">
        <v>93</v>
      </c>
      <c r="P7" s="442" t="s">
        <v>94</v>
      </c>
      <c r="Q7" s="442" t="s">
        <v>94</v>
      </c>
    </row>
    <row r="8" spans="1:17">
      <c r="B8" s="445" t="s">
        <v>95</v>
      </c>
      <c r="C8" s="446" t="s">
        <v>96</v>
      </c>
      <c r="D8" s="446" t="s">
        <v>97</v>
      </c>
      <c r="E8" s="446" t="s">
        <v>97</v>
      </c>
      <c r="F8" s="447" t="s">
        <v>98</v>
      </c>
      <c r="G8" s="448" t="s">
        <v>99</v>
      </c>
      <c r="H8" s="448" t="s">
        <v>100</v>
      </c>
      <c r="I8" s="448" t="s">
        <v>101</v>
      </c>
      <c r="J8" s="448" t="s">
        <v>102</v>
      </c>
      <c r="K8" s="448" t="s">
        <v>103</v>
      </c>
      <c r="L8" s="448" t="s">
        <v>104</v>
      </c>
      <c r="M8" s="448" t="s">
        <v>105</v>
      </c>
      <c r="N8" s="448" t="s">
        <v>105</v>
      </c>
      <c r="O8" s="448" t="s">
        <v>106</v>
      </c>
      <c r="P8" s="448" t="s">
        <v>107</v>
      </c>
      <c r="Q8" s="448" t="s">
        <v>108</v>
      </c>
    </row>
    <row r="9" spans="1:17">
      <c r="A9" s="449" t="s">
        <v>109</v>
      </c>
      <c r="B9" s="450"/>
      <c r="C9" s="440"/>
      <c r="D9" s="440"/>
      <c r="E9" s="440"/>
      <c r="F9" s="451"/>
    </row>
    <row r="10" spans="1:17">
      <c r="B10" s="450" t="s">
        <v>110</v>
      </c>
      <c r="C10" s="451">
        <v>447</v>
      </c>
      <c r="D10" s="451" t="s">
        <v>111</v>
      </c>
      <c r="E10" s="451" t="s">
        <v>112</v>
      </c>
      <c r="F10" s="452">
        <f>'EBA Base'!K11</f>
        <v>98192923.564596429</v>
      </c>
      <c r="G10" s="453">
        <f t="shared" ref="G10:Q19" si="0">$F10*IF($E10=$E$33,G$33,G$34)</f>
        <v>35166809.887546197</v>
      </c>
      <c r="H10" s="453">
        <f t="shared" si="0"/>
        <v>26661879.196796246</v>
      </c>
      <c r="I10" s="453">
        <f t="shared" si="0"/>
        <v>7833065.9763436383</v>
      </c>
      <c r="J10" s="453">
        <f t="shared" si="0"/>
        <v>105411.33332712165</v>
      </c>
      <c r="K10" s="453">
        <f t="shared" si="0"/>
        <v>17495514.126831915</v>
      </c>
      <c r="L10" s="453">
        <f t="shared" si="0"/>
        <v>824420.49226458324</v>
      </c>
      <c r="M10" s="453">
        <f t="shared" si="0"/>
        <v>27714.061456031854</v>
      </c>
      <c r="N10" s="453">
        <f t="shared" si="0"/>
        <v>35719.539694897016</v>
      </c>
      <c r="O10" s="453">
        <f t="shared" si="0"/>
        <v>6199436.8011373831</v>
      </c>
      <c r="P10" s="453">
        <f t="shared" si="0"/>
        <v>2180498.0569093996</v>
      </c>
      <c r="Q10" s="453">
        <f t="shared" si="0"/>
        <v>1662454.0922890108</v>
      </c>
    </row>
    <row r="11" spans="1:17">
      <c r="B11" s="450" t="s">
        <v>110</v>
      </c>
      <c r="C11" s="451">
        <v>447</v>
      </c>
      <c r="D11" s="451" t="s">
        <v>113</v>
      </c>
      <c r="E11" s="451" t="s">
        <v>114</v>
      </c>
      <c r="F11" s="452">
        <f>'EBA Base'!K12</f>
        <v>0</v>
      </c>
      <c r="G11" s="453">
        <f t="shared" si="0"/>
        <v>0</v>
      </c>
      <c r="H11" s="453">
        <f t="shared" si="0"/>
        <v>0</v>
      </c>
      <c r="I11" s="453">
        <f t="shared" si="0"/>
        <v>0</v>
      </c>
      <c r="J11" s="453">
        <f t="shared" si="0"/>
        <v>0</v>
      </c>
      <c r="K11" s="453">
        <f t="shared" si="0"/>
        <v>0</v>
      </c>
      <c r="L11" s="453">
        <f t="shared" si="0"/>
        <v>0</v>
      </c>
      <c r="M11" s="453">
        <f t="shared" si="0"/>
        <v>0</v>
      </c>
      <c r="N11" s="453">
        <f t="shared" si="0"/>
        <v>0</v>
      </c>
      <c r="O11" s="453">
        <f t="shared" si="0"/>
        <v>0</v>
      </c>
      <c r="P11" s="453">
        <f t="shared" si="0"/>
        <v>0</v>
      </c>
      <c r="Q11" s="453">
        <f t="shared" si="0"/>
        <v>0</v>
      </c>
    </row>
    <row r="12" spans="1:17">
      <c r="B12" s="450" t="s">
        <v>115</v>
      </c>
      <c r="C12" s="451">
        <v>501</v>
      </c>
      <c r="D12" s="451" t="s">
        <v>116</v>
      </c>
      <c r="E12" s="451" t="s">
        <v>114</v>
      </c>
      <c r="F12" s="452">
        <f>'EBA Base'!K13</f>
        <v>0</v>
      </c>
      <c r="G12" s="453">
        <f t="shared" si="0"/>
        <v>0</v>
      </c>
      <c r="H12" s="453">
        <f t="shared" si="0"/>
        <v>0</v>
      </c>
      <c r="I12" s="453">
        <f t="shared" si="0"/>
        <v>0</v>
      </c>
      <c r="J12" s="453">
        <f t="shared" si="0"/>
        <v>0</v>
      </c>
      <c r="K12" s="453">
        <f t="shared" si="0"/>
        <v>0</v>
      </c>
      <c r="L12" s="453">
        <f t="shared" si="0"/>
        <v>0</v>
      </c>
      <c r="M12" s="453">
        <f t="shared" si="0"/>
        <v>0</v>
      </c>
      <c r="N12" s="453">
        <f t="shared" si="0"/>
        <v>0</v>
      </c>
      <c r="O12" s="453">
        <f t="shared" si="0"/>
        <v>0</v>
      </c>
      <c r="P12" s="453">
        <f t="shared" si="0"/>
        <v>0</v>
      </c>
      <c r="Q12" s="453">
        <f t="shared" si="0"/>
        <v>0</v>
      </c>
    </row>
    <row r="13" spans="1:17">
      <c r="B13" s="450" t="s">
        <v>115</v>
      </c>
      <c r="C13" s="451">
        <v>501</v>
      </c>
      <c r="D13" s="451" t="s">
        <v>113</v>
      </c>
      <c r="E13" s="451" t="s">
        <v>114</v>
      </c>
      <c r="F13" s="452">
        <f>'EBA Base'!K14</f>
        <v>263295692.70459986</v>
      </c>
      <c r="G13" s="453">
        <f t="shared" si="0"/>
        <v>78558168.315678537</v>
      </c>
      <c r="H13" s="453">
        <f t="shared" si="0"/>
        <v>71691371.214501396</v>
      </c>
      <c r="I13" s="453">
        <f t="shared" si="0"/>
        <v>23236441.544030789</v>
      </c>
      <c r="J13" s="453">
        <f t="shared" si="0"/>
        <v>590046.29750423064</v>
      </c>
      <c r="K13" s="453">
        <f t="shared" si="0"/>
        <v>55104669.356092282</v>
      </c>
      <c r="L13" s="453">
        <f t="shared" si="0"/>
        <v>2668319.6685744035</v>
      </c>
      <c r="M13" s="453">
        <f t="shared" si="0"/>
        <v>90063.021425042287</v>
      </c>
      <c r="N13" s="453">
        <f t="shared" si="0"/>
        <v>184879.2603782941</v>
      </c>
      <c r="O13" s="453">
        <f t="shared" si="0"/>
        <v>16265837.478506712</v>
      </c>
      <c r="P13" s="453">
        <f t="shared" si="0"/>
        <v>6955041.5232395083</v>
      </c>
      <c r="Q13" s="453">
        <f t="shared" si="0"/>
        <v>7950855.024668687</v>
      </c>
    </row>
    <row r="14" spans="1:17">
      <c r="B14" s="450" t="s">
        <v>115</v>
      </c>
      <c r="C14" s="451">
        <v>503</v>
      </c>
      <c r="D14" s="451" t="s">
        <v>113</v>
      </c>
      <c r="E14" s="451" t="s">
        <v>114</v>
      </c>
      <c r="F14" s="452">
        <f>'EBA Base'!K15</f>
        <v>1949954.176128506</v>
      </c>
      <c r="G14" s="453">
        <f t="shared" si="0"/>
        <v>581797.69977485563</v>
      </c>
      <c r="H14" s="453">
        <f t="shared" si="0"/>
        <v>530942.55836891511</v>
      </c>
      <c r="I14" s="453">
        <f t="shared" si="0"/>
        <v>172087.87489730614</v>
      </c>
      <c r="J14" s="453">
        <f t="shared" si="0"/>
        <v>4369.8521237048581</v>
      </c>
      <c r="K14" s="453">
        <f t="shared" si="0"/>
        <v>408102.30897186056</v>
      </c>
      <c r="L14" s="453">
        <f t="shared" si="0"/>
        <v>19761.436381794596</v>
      </c>
      <c r="M14" s="453">
        <f t="shared" si="0"/>
        <v>667.00204222309401</v>
      </c>
      <c r="N14" s="453">
        <f t="shared" si="0"/>
        <v>1369.2061657030893</v>
      </c>
      <c r="O14" s="453">
        <f t="shared" si="0"/>
        <v>120463.94452425319</v>
      </c>
      <c r="P14" s="453">
        <f t="shared" si="0"/>
        <v>51508.674996076428</v>
      </c>
      <c r="Q14" s="453">
        <f t="shared" si="0"/>
        <v>58883.617881813399</v>
      </c>
    </row>
    <row r="15" spans="1:17">
      <c r="B15" s="450" t="s">
        <v>115</v>
      </c>
      <c r="C15" s="451">
        <v>547</v>
      </c>
      <c r="D15" s="451" t="s">
        <v>113</v>
      </c>
      <c r="E15" s="451" t="s">
        <v>114</v>
      </c>
      <c r="F15" s="452">
        <f>'EBA Base'!K16</f>
        <v>127675262.14862943</v>
      </c>
      <c r="G15" s="453">
        <f t="shared" si="0"/>
        <v>38093804.841970302</v>
      </c>
      <c r="H15" s="453">
        <f t="shared" si="0"/>
        <v>34764011.972939737</v>
      </c>
      <c r="I15" s="453">
        <f t="shared" si="0"/>
        <v>11267631.213640453</v>
      </c>
      <c r="J15" s="453">
        <f t="shared" si="0"/>
        <v>286120.57774223026</v>
      </c>
      <c r="K15" s="453">
        <f t="shared" si="0"/>
        <v>26720919.865354549</v>
      </c>
      <c r="L15" s="453">
        <f t="shared" si="0"/>
        <v>1293900.4420547029</v>
      </c>
      <c r="M15" s="453">
        <f t="shared" si="0"/>
        <v>43672.647099627291</v>
      </c>
      <c r="N15" s="453">
        <f t="shared" si="0"/>
        <v>89650.186800154363</v>
      </c>
      <c r="O15" s="453">
        <f t="shared" si="0"/>
        <v>7887501.0935530756</v>
      </c>
      <c r="P15" s="453">
        <f t="shared" si="0"/>
        <v>3372583.6553295571</v>
      </c>
      <c r="Q15" s="453">
        <f t="shared" si="0"/>
        <v>3855465.6521450477</v>
      </c>
    </row>
    <row r="16" spans="1:17">
      <c r="B16" s="450" t="s">
        <v>117</v>
      </c>
      <c r="C16" s="451">
        <v>555</v>
      </c>
      <c r="D16" s="451" t="s">
        <v>113</v>
      </c>
      <c r="E16" s="451" t="s">
        <v>114</v>
      </c>
      <c r="F16" s="452">
        <f>'EBA Base'!K17</f>
        <v>21901944.002007402</v>
      </c>
      <c r="G16" s="453">
        <f t="shared" si="0"/>
        <v>6534769.276611886</v>
      </c>
      <c r="H16" s="453">
        <f t="shared" si="0"/>
        <v>5963562.797545542</v>
      </c>
      <c r="I16" s="453">
        <f t="shared" si="0"/>
        <v>1932896.190877906</v>
      </c>
      <c r="J16" s="453">
        <f t="shared" si="0"/>
        <v>49082.310590733359</v>
      </c>
      <c r="K16" s="453">
        <f t="shared" si="0"/>
        <v>4583817.4186933124</v>
      </c>
      <c r="L16" s="453">
        <f t="shared" si="0"/>
        <v>221961.04828094877</v>
      </c>
      <c r="M16" s="453">
        <f t="shared" si="0"/>
        <v>7491.7870157334628</v>
      </c>
      <c r="N16" s="453">
        <f t="shared" si="0"/>
        <v>15378.9648677652</v>
      </c>
      <c r="O16" s="453">
        <f t="shared" si="0"/>
        <v>1353054.6509915749</v>
      </c>
      <c r="P16" s="453">
        <f t="shared" si="0"/>
        <v>578546.98802281904</v>
      </c>
      <c r="Q16" s="453">
        <f t="shared" si="0"/>
        <v>661382.56850918289</v>
      </c>
    </row>
    <row r="17" spans="1:17">
      <c r="B17" s="450" t="s">
        <v>117</v>
      </c>
      <c r="C17" s="451">
        <v>555</v>
      </c>
      <c r="D17" s="451" t="s">
        <v>111</v>
      </c>
      <c r="E17" s="451" t="s">
        <v>112</v>
      </c>
      <c r="F17" s="452">
        <f>'EBA Base'!K18</f>
        <v>242063015.59450573</v>
      </c>
      <c r="G17" s="453">
        <f t="shared" si="0"/>
        <v>86692439.141177937</v>
      </c>
      <c r="H17" s="453">
        <f t="shared" si="0"/>
        <v>65726272.785301425</v>
      </c>
      <c r="I17" s="453">
        <f t="shared" si="0"/>
        <v>19309900.375225224</v>
      </c>
      <c r="J17" s="453">
        <f t="shared" si="0"/>
        <v>259857.6791148785</v>
      </c>
      <c r="K17" s="453">
        <f t="shared" si="0"/>
        <v>43129553.079567835</v>
      </c>
      <c r="L17" s="453">
        <f t="shared" si="0"/>
        <v>2032343.0979645881</v>
      </c>
      <c r="M17" s="453">
        <f t="shared" si="0"/>
        <v>68320.089135601462</v>
      </c>
      <c r="N17" s="453">
        <f t="shared" si="0"/>
        <v>88055.016393379745</v>
      </c>
      <c r="O17" s="453">
        <f t="shared" si="0"/>
        <v>15282713.993984122</v>
      </c>
      <c r="P17" s="453">
        <f t="shared" si="0"/>
        <v>5375315.4096305445</v>
      </c>
      <c r="Q17" s="453">
        <f t="shared" si="0"/>
        <v>4098244.9270101697</v>
      </c>
    </row>
    <row r="18" spans="1:17">
      <c r="B18" s="450" t="s">
        <v>118</v>
      </c>
      <c r="C18" s="451">
        <v>565</v>
      </c>
      <c r="D18" s="451" t="s">
        <v>111</v>
      </c>
      <c r="E18" s="451" t="s">
        <v>112</v>
      </c>
      <c r="F18" s="452">
        <f>'EBA Base'!K19</f>
        <v>17631212.848319001</v>
      </c>
      <c r="G18" s="453">
        <f t="shared" si="0"/>
        <v>6314441.8947441336</v>
      </c>
      <c r="H18" s="453">
        <f t="shared" si="0"/>
        <v>4787323.2610865189</v>
      </c>
      <c r="I18" s="453">
        <f t="shared" si="0"/>
        <v>1406480.7164335703</v>
      </c>
      <c r="J18" s="453">
        <f t="shared" si="0"/>
        <v>18927.327826153851</v>
      </c>
      <c r="K18" s="453">
        <f t="shared" si="0"/>
        <v>3141439.5484214267</v>
      </c>
      <c r="L18" s="453">
        <f t="shared" si="0"/>
        <v>148030.35338967745</v>
      </c>
      <c r="M18" s="453">
        <f t="shared" si="0"/>
        <v>4976.2498017613589</v>
      </c>
      <c r="N18" s="453">
        <f t="shared" si="0"/>
        <v>6413.6883223607001</v>
      </c>
      <c r="O18" s="453">
        <f t="shared" si="0"/>
        <v>1113151.3943430912</v>
      </c>
      <c r="P18" s="453">
        <f t="shared" si="0"/>
        <v>391523.38031186751</v>
      </c>
      <c r="Q18" s="453">
        <f t="shared" si="0"/>
        <v>298505.03363843885</v>
      </c>
    </row>
    <row r="19" spans="1:17">
      <c r="B19" s="450" t="s">
        <v>118</v>
      </c>
      <c r="C19" s="451">
        <v>565</v>
      </c>
      <c r="D19" s="451" t="s">
        <v>113</v>
      </c>
      <c r="E19" s="451" t="s">
        <v>114</v>
      </c>
      <c r="F19" s="452">
        <f>'EBA Base'!K20</f>
        <v>46251366.844748519</v>
      </c>
      <c r="G19" s="453">
        <f t="shared" si="0"/>
        <v>13799780.103111694</v>
      </c>
      <c r="H19" s="453">
        <f t="shared" si="0"/>
        <v>12593536.474465158</v>
      </c>
      <c r="I19" s="453">
        <f t="shared" si="0"/>
        <v>4081787.9357611951</v>
      </c>
      <c r="J19" s="453">
        <f t="shared" si="0"/>
        <v>103649.42730708416</v>
      </c>
      <c r="K19" s="453">
        <f t="shared" si="0"/>
        <v>9679863.1647447012</v>
      </c>
      <c r="L19" s="453">
        <f t="shared" si="0"/>
        <v>468725.60117705434</v>
      </c>
      <c r="M19" s="453">
        <f t="shared" si="0"/>
        <v>15820.759543337956</v>
      </c>
      <c r="N19" s="453">
        <f t="shared" si="0"/>
        <v>32476.484540656042</v>
      </c>
      <c r="O19" s="453">
        <f t="shared" si="0"/>
        <v>2857309.2424247242</v>
      </c>
      <c r="P19" s="453">
        <f t="shared" si="0"/>
        <v>1221744.9271861529</v>
      </c>
      <c r="Q19" s="453">
        <f t="shared" si="0"/>
        <v>1396672.7244867648</v>
      </c>
    </row>
    <row r="20" spans="1:17">
      <c r="B20" s="449" t="s">
        <v>119</v>
      </c>
      <c r="C20" s="444"/>
      <c r="D20" s="444"/>
      <c r="E20" s="444"/>
      <c r="F20" s="454">
        <f>SUM(F12:F19)-SUM(F10:F11)</f>
        <v>622575524.75434208</v>
      </c>
      <c r="G20" s="455">
        <f t="shared" ref="G20:Q20" si="1">SUM(G12:G19)-SUM(G10:G11)</f>
        <v>195408391.38552314</v>
      </c>
      <c r="H20" s="455">
        <f t="shared" si="1"/>
        <v>169395141.86741248</v>
      </c>
      <c r="I20" s="455">
        <f t="shared" si="1"/>
        <v>53574159.874522805</v>
      </c>
      <c r="J20" s="455">
        <f t="shared" si="1"/>
        <v>1206642.1388818941</v>
      </c>
      <c r="K20" s="455">
        <f t="shared" si="1"/>
        <v>125272850.61501405</v>
      </c>
      <c r="L20" s="455">
        <f t="shared" si="1"/>
        <v>6028621.1555585861</v>
      </c>
      <c r="M20" s="455">
        <f t="shared" si="1"/>
        <v>203297.494607295</v>
      </c>
      <c r="N20" s="455">
        <f t="shared" si="1"/>
        <v>382503.26777341624</v>
      </c>
      <c r="O20" s="455">
        <f t="shared" si="1"/>
        <v>38680594.99719017</v>
      </c>
      <c r="P20" s="455">
        <f t="shared" si="1"/>
        <v>15765766.501807125</v>
      </c>
      <c r="Q20" s="455">
        <f t="shared" si="1"/>
        <v>16657555.456051094</v>
      </c>
    </row>
    <row r="21" spans="1:17">
      <c r="B21" s="439" t="s">
        <v>120</v>
      </c>
      <c r="C21" s="451">
        <v>555</v>
      </c>
      <c r="D21" s="451" t="s">
        <v>116</v>
      </c>
      <c r="E21" s="451" t="s">
        <v>114</v>
      </c>
      <c r="F21" s="452">
        <f>'EBA Base'!K23</f>
        <v>1570674.4668279244</v>
      </c>
      <c r="G21" s="453">
        <f t="shared" ref="G21:Q21" si="2">$F21*IF($E21=$E$33,G$33,G$34)</f>
        <v>468633.98283025186</v>
      </c>
      <c r="H21" s="453">
        <f t="shared" si="2"/>
        <v>427670.52169301425</v>
      </c>
      <c r="I21" s="453">
        <f t="shared" si="2"/>
        <v>138615.58105356418</v>
      </c>
      <c r="J21" s="453">
        <f t="shared" si="2"/>
        <v>3519.8853586109472</v>
      </c>
      <c r="K21" s="453">
        <f t="shared" si="2"/>
        <v>328723.5589444841</v>
      </c>
      <c r="L21" s="453">
        <f t="shared" si="2"/>
        <v>15917.698955549022</v>
      </c>
      <c r="M21" s="453">
        <f t="shared" si="2"/>
        <v>537.26548544946581</v>
      </c>
      <c r="N21" s="453">
        <f t="shared" si="2"/>
        <v>1102.8860014356967</v>
      </c>
      <c r="O21" s="453">
        <f t="shared" si="2"/>
        <v>97032.865773944592</v>
      </c>
      <c r="P21" s="453">
        <f t="shared" si="2"/>
        <v>41489.877878619176</v>
      </c>
      <c r="Q21" s="453">
        <f t="shared" si="2"/>
        <v>47430.342853001181</v>
      </c>
    </row>
    <row r="22" spans="1:17">
      <c r="B22" s="449" t="s">
        <v>121</v>
      </c>
      <c r="C22" s="451"/>
      <c r="D22" s="451"/>
      <c r="E22" s="451"/>
      <c r="F22" s="454">
        <f>SUM(F20:F21)</f>
        <v>624146199.22116995</v>
      </c>
      <c r="G22" s="455">
        <f t="shared" ref="G22:Q22" si="3">SUM(G20:G21)</f>
        <v>195877025.3683534</v>
      </c>
      <c r="H22" s="455">
        <f t="shared" si="3"/>
        <v>169822812.3891055</v>
      </c>
      <c r="I22" s="455">
        <f t="shared" si="3"/>
        <v>53712775.455576368</v>
      </c>
      <c r="J22" s="455">
        <f t="shared" si="3"/>
        <v>1210162.024240505</v>
      </c>
      <c r="K22" s="455">
        <f t="shared" si="3"/>
        <v>125601574.17395853</v>
      </c>
      <c r="L22" s="455">
        <f t="shared" si="3"/>
        <v>6044538.854514135</v>
      </c>
      <c r="M22" s="455">
        <f t="shared" si="3"/>
        <v>203834.76009274446</v>
      </c>
      <c r="N22" s="455">
        <f t="shared" si="3"/>
        <v>383606.15377485193</v>
      </c>
      <c r="O22" s="455">
        <f t="shared" si="3"/>
        <v>38777627.862964116</v>
      </c>
      <c r="P22" s="455">
        <f t="shared" si="3"/>
        <v>15807256.379685745</v>
      </c>
      <c r="Q22" s="455">
        <f t="shared" si="3"/>
        <v>16704985.798904095</v>
      </c>
    </row>
    <row r="23" spans="1:17">
      <c r="A23" s="449" t="s">
        <v>122</v>
      </c>
      <c r="B23" s="440"/>
      <c r="C23" s="451"/>
      <c r="D23" s="451"/>
      <c r="E23" s="451"/>
      <c r="F23" s="452"/>
      <c r="G23" s="453"/>
      <c r="H23" s="453"/>
      <c r="I23" s="453"/>
      <c r="J23" s="453"/>
      <c r="K23" s="453"/>
      <c r="L23" s="453"/>
      <c r="M23" s="453"/>
      <c r="N23" s="453"/>
      <c r="O23" s="453"/>
      <c r="P23" s="453"/>
      <c r="Q23" s="453"/>
    </row>
    <row r="24" spans="1:17">
      <c r="B24" s="450" t="s">
        <v>123</v>
      </c>
      <c r="C24" s="451">
        <v>456.1</v>
      </c>
      <c r="D24" s="451" t="s">
        <v>111</v>
      </c>
      <c r="E24" s="451" t="s">
        <v>112</v>
      </c>
      <c r="F24" s="452">
        <f>'EBA Base'!K27</f>
        <v>44320155.402321897</v>
      </c>
      <c r="G24" s="453">
        <f t="shared" ref="G24:Q25" si="4">$F24*IF($E24=$E$33,G$33,G$34)</f>
        <v>15872818.759639336</v>
      </c>
      <c r="H24" s="453">
        <f t="shared" si="4"/>
        <v>12034050.789236214</v>
      </c>
      <c r="I24" s="453">
        <f t="shared" si="4"/>
        <v>3535516.4990052325</v>
      </c>
      <c r="J24" s="453">
        <f t="shared" si="4"/>
        <v>47578.241940730084</v>
      </c>
      <c r="K24" s="453">
        <f t="shared" si="4"/>
        <v>7896739.1620090362</v>
      </c>
      <c r="L24" s="453">
        <f t="shared" si="4"/>
        <v>372108.73256042891</v>
      </c>
      <c r="M24" s="453">
        <f t="shared" si="4"/>
        <v>12508.961603050722</v>
      </c>
      <c r="N24" s="453">
        <f t="shared" si="4"/>
        <v>16122.297745171001</v>
      </c>
      <c r="O24" s="453">
        <f t="shared" si="4"/>
        <v>2798165.004757504</v>
      </c>
      <c r="P24" s="453">
        <f t="shared" si="4"/>
        <v>984185.10447049362</v>
      </c>
      <c r="Q24" s="453">
        <f t="shared" si="4"/>
        <v>750361.84935469669</v>
      </c>
    </row>
    <row r="25" spans="1:17">
      <c r="B25" s="450" t="s">
        <v>123</v>
      </c>
      <c r="C25" s="451">
        <v>456.1</v>
      </c>
      <c r="D25" s="451" t="s">
        <v>113</v>
      </c>
      <c r="E25" s="451" t="s">
        <v>114</v>
      </c>
      <c r="F25" s="452">
        <f>'EBA Base'!K28</f>
        <v>6312007.8808473432</v>
      </c>
      <c r="G25" s="453">
        <f t="shared" si="4"/>
        <v>1883281.0078280182</v>
      </c>
      <c r="H25" s="453">
        <f t="shared" si="4"/>
        <v>1718662.7530681954</v>
      </c>
      <c r="I25" s="453">
        <f t="shared" si="4"/>
        <v>557048.9993291432</v>
      </c>
      <c r="J25" s="453">
        <f t="shared" si="4"/>
        <v>14145.225247152071</v>
      </c>
      <c r="K25" s="453">
        <f t="shared" si="4"/>
        <v>1321028.4743904776</v>
      </c>
      <c r="L25" s="453">
        <f t="shared" si="4"/>
        <v>63967.832529481268</v>
      </c>
      <c r="M25" s="453">
        <f t="shared" si="4"/>
        <v>2159.0877358012262</v>
      </c>
      <c r="N25" s="453">
        <f t="shared" si="4"/>
        <v>4432.1247207878587</v>
      </c>
      <c r="O25" s="453">
        <f t="shared" si="4"/>
        <v>389942.17223335069</v>
      </c>
      <c r="P25" s="453">
        <f t="shared" si="4"/>
        <v>166733.74507330608</v>
      </c>
      <c r="Q25" s="453">
        <f t="shared" si="4"/>
        <v>190606.45869163011</v>
      </c>
    </row>
    <row r="26" spans="1:17">
      <c r="B26" s="450" t="s">
        <v>124</v>
      </c>
      <c r="C26" s="451"/>
      <c r="D26" s="451"/>
      <c r="E26" s="451"/>
      <c r="F26" s="454">
        <f>SUM(F24:F25)</f>
        <v>50632163.28316924</v>
      </c>
      <c r="G26" s="455">
        <f t="shared" ref="G26:Q26" si="5">SUM(G24:G25)</f>
        <v>17756099.767467353</v>
      </c>
      <c r="H26" s="455">
        <f t="shared" si="5"/>
        <v>13752713.54230441</v>
      </c>
      <c r="I26" s="455">
        <f t="shared" si="5"/>
        <v>4092565.4983343757</v>
      </c>
      <c r="J26" s="455">
        <f t="shared" si="5"/>
        <v>61723.467187882154</v>
      </c>
      <c r="K26" s="455">
        <f t="shared" si="5"/>
        <v>9217767.6363995131</v>
      </c>
      <c r="L26" s="455">
        <f t="shared" si="5"/>
        <v>436076.56508991017</v>
      </c>
      <c r="M26" s="455">
        <f t="shared" si="5"/>
        <v>14668.049338851948</v>
      </c>
      <c r="N26" s="455">
        <f t="shared" si="5"/>
        <v>20554.422465958858</v>
      </c>
      <c r="O26" s="455">
        <f t="shared" si="5"/>
        <v>3188107.1769908546</v>
      </c>
      <c r="P26" s="455">
        <f t="shared" si="5"/>
        <v>1150918.8495437996</v>
      </c>
      <c r="Q26" s="455">
        <f t="shared" si="5"/>
        <v>940968.30804632674</v>
      </c>
    </row>
    <row r="27" spans="1:17">
      <c r="A27" s="449" t="s">
        <v>125</v>
      </c>
      <c r="B27" s="450"/>
      <c r="C27" s="451"/>
      <c r="D27" s="451"/>
      <c r="E27" s="451"/>
      <c r="F27" s="454"/>
      <c r="G27" s="455"/>
      <c r="H27" s="455"/>
      <c r="I27" s="455"/>
      <c r="J27" s="455"/>
      <c r="K27" s="455"/>
      <c r="L27" s="455"/>
      <c r="M27" s="455"/>
      <c r="N27" s="455"/>
      <c r="O27" s="455"/>
      <c r="P27" s="455"/>
      <c r="Q27" s="455"/>
    </row>
    <row r="28" spans="1:17">
      <c r="A28" s="449"/>
      <c r="B28" s="450" t="s">
        <v>125</v>
      </c>
      <c r="C28" s="451">
        <v>40910</v>
      </c>
      <c r="D28" s="452" t="s">
        <v>111</v>
      </c>
      <c r="E28" s="451" t="s">
        <v>112</v>
      </c>
      <c r="F28" s="452">
        <f>'EBA Base'!K32</f>
        <v>-80109857.044022962</v>
      </c>
      <c r="G28" s="452">
        <f t="shared" ref="G28:Q29" si="6">$F28*IF($E28=$E$33,G$33,G$34)</f>
        <v>-28690541.13591345</v>
      </c>
      <c r="H28" s="452">
        <f t="shared" si="6"/>
        <v>-21751866.157394368</v>
      </c>
      <c r="I28" s="452">
        <f t="shared" si="6"/>
        <v>-6390539.8963753534</v>
      </c>
      <c r="J28" s="452">
        <f t="shared" si="6"/>
        <v>-85998.93492427023</v>
      </c>
      <c r="K28" s="452">
        <f t="shared" si="6"/>
        <v>-14273565.596508261</v>
      </c>
      <c r="L28" s="452">
        <f t="shared" si="6"/>
        <v>-672596.40900733008</v>
      </c>
      <c r="M28" s="452">
        <f t="shared" si="6"/>
        <v>-22610.280056397703</v>
      </c>
      <c r="N28" s="452">
        <f t="shared" si="6"/>
        <v>-29141.481022856686</v>
      </c>
      <c r="O28" s="452">
        <f t="shared" si="6"/>
        <v>-5057757.5029208465</v>
      </c>
      <c r="P28" s="452">
        <f t="shared" si="6"/>
        <v>-1778940.6943247661</v>
      </c>
      <c r="Q28" s="452">
        <f t="shared" si="6"/>
        <v>-1356298.9555750578</v>
      </c>
    </row>
    <row r="29" spans="1:17">
      <c r="B29" s="450" t="s">
        <v>126</v>
      </c>
      <c r="C29" s="451"/>
      <c r="D29" s="451"/>
      <c r="E29" s="451" t="s">
        <v>112</v>
      </c>
      <c r="F29" s="452">
        <f>'EBA Base'!K33</f>
        <v>-26117759.061368078</v>
      </c>
      <c r="G29" s="452">
        <f t="shared" si="6"/>
        <v>-9353813.2307023667</v>
      </c>
      <c r="H29" s="452">
        <f t="shared" si="6"/>
        <v>-7091636.6649082592</v>
      </c>
      <c r="I29" s="452">
        <f t="shared" si="6"/>
        <v>-2083471.2162059036</v>
      </c>
      <c r="J29" s="452">
        <f t="shared" si="6"/>
        <v>-28037.741481077141</v>
      </c>
      <c r="K29" s="452">
        <f t="shared" si="6"/>
        <v>-4653529.0531272972</v>
      </c>
      <c r="L29" s="452">
        <f t="shared" si="6"/>
        <v>-219282.76499534069</v>
      </c>
      <c r="M29" s="452">
        <f t="shared" si="6"/>
        <v>-7371.500444677311</v>
      </c>
      <c r="N29" s="452">
        <f t="shared" si="6"/>
        <v>-9500.83058603071</v>
      </c>
      <c r="O29" s="452">
        <f t="shared" si="6"/>
        <v>-1648951.7860395329</v>
      </c>
      <c r="P29" s="452">
        <f t="shared" si="6"/>
        <v>-579977.87230234023</v>
      </c>
      <c r="Q29" s="452">
        <f t="shared" si="6"/>
        <v>-442186.40057525219</v>
      </c>
    </row>
    <row r="30" spans="1:17">
      <c r="B30" s="450" t="s">
        <v>124</v>
      </c>
      <c r="C30" s="451"/>
      <c r="D30" s="451"/>
      <c r="E30" s="451"/>
      <c r="F30" s="454">
        <f>SUM(F28:F29)</f>
        <v>-106227616.10539104</v>
      </c>
      <c r="G30" s="455">
        <f t="shared" ref="G30:Q30" si="7">SUM(G28:G29)</f>
        <v>-38044354.366615817</v>
      </c>
      <c r="H30" s="455">
        <f t="shared" si="7"/>
        <v>-28843502.822302628</v>
      </c>
      <c r="I30" s="455">
        <f t="shared" si="7"/>
        <v>-8474011.1125812568</v>
      </c>
      <c r="J30" s="455">
        <f t="shared" si="7"/>
        <v>-114036.67640534737</v>
      </c>
      <c r="K30" s="455">
        <f t="shared" si="7"/>
        <v>-18927094.649635557</v>
      </c>
      <c r="L30" s="455">
        <f t="shared" si="7"/>
        <v>-891879.1740026708</v>
      </c>
      <c r="M30" s="455">
        <f t="shared" si="7"/>
        <v>-29981.780501075016</v>
      </c>
      <c r="N30" s="455">
        <f t="shared" si="7"/>
        <v>-38642.311608887394</v>
      </c>
      <c r="O30" s="455">
        <f t="shared" si="7"/>
        <v>-6706709.2889603795</v>
      </c>
      <c r="P30" s="455">
        <f t="shared" si="7"/>
        <v>-2358918.5666271062</v>
      </c>
      <c r="Q30" s="455">
        <f t="shared" si="7"/>
        <v>-1798485.35615031</v>
      </c>
    </row>
    <row r="31" spans="1:17">
      <c r="A31" s="449" t="s">
        <v>127</v>
      </c>
      <c r="B31" s="440"/>
      <c r="C31" s="451"/>
      <c r="D31" s="451"/>
      <c r="E31" s="451"/>
      <c r="F31" s="454">
        <f>F22-F26+F30</f>
        <v>467286419.83260965</v>
      </c>
      <c r="G31" s="454">
        <f t="shared" ref="G31:Q31" si="8">G22-G26+G30</f>
        <v>140076571.23427022</v>
      </c>
      <c r="H31" s="454">
        <f t="shared" si="8"/>
        <v>127226596.02449848</v>
      </c>
      <c r="I31" s="454">
        <f t="shared" si="8"/>
        <v>41146198.844660729</v>
      </c>
      <c r="J31" s="454">
        <f t="shared" si="8"/>
        <v>1034401.8806472754</v>
      </c>
      <c r="K31" s="454">
        <f t="shared" si="8"/>
        <v>97456711.887923464</v>
      </c>
      <c r="L31" s="454">
        <f t="shared" si="8"/>
        <v>4716583.1154215541</v>
      </c>
      <c r="M31" s="454">
        <f t="shared" si="8"/>
        <v>159184.93025281752</v>
      </c>
      <c r="N31" s="454">
        <f t="shared" si="8"/>
        <v>324409.41970000567</v>
      </c>
      <c r="O31" s="454">
        <f t="shared" si="8"/>
        <v>28882811.397012886</v>
      </c>
      <c r="P31" s="454">
        <f t="shared" si="8"/>
        <v>12297418.96351484</v>
      </c>
      <c r="Q31" s="454">
        <f t="shared" si="8"/>
        <v>13965532.134707458</v>
      </c>
    </row>
    <row r="32" spans="1:17">
      <c r="B32" s="440"/>
      <c r="C32" s="451"/>
      <c r="D32" s="451"/>
      <c r="E32" s="451"/>
      <c r="F32" s="451"/>
    </row>
    <row r="33" spans="2:17">
      <c r="B33" s="440"/>
      <c r="C33" s="451"/>
      <c r="D33" s="460" t="s">
        <v>128</v>
      </c>
      <c r="E33" s="451" t="s">
        <v>112</v>
      </c>
      <c r="F33" s="456">
        <f>SUM(G33:Q33)</f>
        <v>1</v>
      </c>
      <c r="G33" s="456">
        <f>'Cost Factor'!F15</f>
        <v>0.35813996172964169</v>
      </c>
      <c r="H33" s="456">
        <f>'Cost Factor'!G15</f>
        <v>0.2715254646558789</v>
      </c>
      <c r="I33" s="456">
        <f>'Cost Factor'!H15</f>
        <v>7.9772204472460168E-2</v>
      </c>
      <c r="J33" s="456">
        <f>'Cost Factor'!I15</f>
        <v>1.0735125251442033E-3</v>
      </c>
      <c r="K33" s="456">
        <f>'Cost Factor'!J15</f>
        <v>0.17817489786137647</v>
      </c>
      <c r="L33" s="456">
        <f>'Cost Factor'!K15</f>
        <v>8.3959257178266664E-3</v>
      </c>
      <c r="M33" s="456">
        <f>'Cost Factor'!L15</f>
        <v>2.8224092378510452E-4</v>
      </c>
      <c r="N33" s="456">
        <f>'Cost Factor'!M15</f>
        <v>3.6376898047443145E-4</v>
      </c>
      <c r="O33" s="456">
        <f>'Cost Factor'!N15</f>
        <v>6.3135270608976932E-2</v>
      </c>
      <c r="P33" s="456">
        <f>'Cost Factor'!O15</f>
        <v>2.2206264746511536E-2</v>
      </c>
      <c r="Q33" s="456">
        <f>'Cost Factor'!P15</f>
        <v>1.6930487777923851E-2</v>
      </c>
    </row>
    <row r="34" spans="2:17">
      <c r="B34" s="440"/>
      <c r="C34" s="451"/>
      <c r="D34" s="460" t="s">
        <v>128</v>
      </c>
      <c r="E34" s="451" t="s">
        <v>114</v>
      </c>
      <c r="F34" s="456">
        <f>SUM(G34:Q34)</f>
        <v>1.0000000000000002</v>
      </c>
      <c r="G34" s="456">
        <f>'Cost Factor'!F21</f>
        <v>0.29836480615661093</v>
      </c>
      <c r="H34" s="456">
        <f>'Cost Factor'!G21</f>
        <v>0.27228463359229471</v>
      </c>
      <c r="I34" s="456">
        <f>'Cost Factor'!H21</f>
        <v>8.8252266132209461E-2</v>
      </c>
      <c r="J34" s="456">
        <f>'Cost Factor'!I21</f>
        <v>2.2410024692892452E-3</v>
      </c>
      <c r="K34" s="456">
        <f>'Cost Factor'!J21</f>
        <v>0.20928815352067318</v>
      </c>
      <c r="L34" s="456">
        <f>'Cost Factor'!K21</f>
        <v>1.0134308089757016E-2</v>
      </c>
      <c r="M34" s="456">
        <f>'Cost Factor'!L21</f>
        <v>3.420603675658567E-4</v>
      </c>
      <c r="N34" s="456">
        <f>'Cost Factor'!M21</f>
        <v>7.0217350872395874E-4</v>
      </c>
      <c r="O34" s="456">
        <f>'Cost Factor'!N21</f>
        <v>6.1777833550645637E-2</v>
      </c>
      <c r="P34" s="456">
        <f>'Cost Factor'!O21</f>
        <v>2.6415325871063905E-2</v>
      </c>
      <c r="Q34" s="456">
        <f>'Cost Factor'!P21</f>
        <v>3.0197436741166192E-2</v>
      </c>
    </row>
    <row r="35" spans="2:17">
      <c r="B35" s="440"/>
      <c r="C35" s="451"/>
      <c r="D35" s="451"/>
      <c r="E35" s="451"/>
      <c r="F35" s="451"/>
    </row>
    <row r="36" spans="2:17">
      <c r="B36" s="440"/>
      <c r="C36" s="451"/>
      <c r="D36" s="451"/>
      <c r="E36" s="451"/>
      <c r="F36" s="451"/>
    </row>
    <row r="37" spans="2:17">
      <c r="B37" s="440"/>
      <c r="C37" s="451"/>
      <c r="D37" s="451"/>
      <c r="E37" s="451"/>
      <c r="F37" s="451"/>
    </row>
    <row r="38" spans="2:17">
      <c r="B38" s="440"/>
      <c r="C38" s="451"/>
      <c r="D38" s="451"/>
      <c r="E38" s="451"/>
      <c r="F38" s="451"/>
    </row>
    <row r="39" spans="2:17">
      <c r="B39" s="440"/>
      <c r="C39" s="451"/>
      <c r="D39" s="451"/>
      <c r="E39" s="451"/>
      <c r="F39" s="451"/>
    </row>
    <row r="40" spans="2:17">
      <c r="B40" s="440"/>
      <c r="C40" s="451"/>
      <c r="D40" s="451"/>
      <c r="E40" s="451"/>
      <c r="F40" s="451"/>
    </row>
    <row r="41" spans="2:17">
      <c r="B41" s="440"/>
      <c r="C41" s="451"/>
      <c r="D41" s="451"/>
      <c r="E41" s="451"/>
      <c r="F41" s="451"/>
    </row>
    <row r="42" spans="2:17">
      <c r="B42" s="440"/>
      <c r="C42" s="451"/>
      <c r="D42" s="451"/>
      <c r="E42" s="451"/>
      <c r="F42" s="451"/>
    </row>
    <row r="43" spans="2:17">
      <c r="B43" s="440"/>
      <c r="C43" s="451"/>
      <c r="D43" s="451"/>
      <c r="E43" s="451"/>
      <c r="F43" s="451"/>
    </row>
    <row r="44" spans="2:17">
      <c r="B44" s="440"/>
      <c r="C44" s="451"/>
      <c r="D44" s="451"/>
      <c r="E44" s="451"/>
      <c r="F44" s="451"/>
    </row>
    <row r="45" spans="2:17">
      <c r="B45" s="440"/>
      <c r="C45" s="451"/>
      <c r="D45" s="451"/>
      <c r="E45" s="451"/>
      <c r="F45" s="451"/>
    </row>
    <row r="46" spans="2:17">
      <c r="B46" s="440"/>
      <c r="C46" s="451"/>
      <c r="D46" s="451"/>
      <c r="E46" s="451"/>
      <c r="F46" s="451"/>
    </row>
    <row r="47" spans="2:17">
      <c r="B47" s="440"/>
      <c r="C47" s="451"/>
      <c r="D47" s="451"/>
      <c r="E47" s="451"/>
      <c r="F47" s="451"/>
    </row>
    <row r="48" spans="2:17">
      <c r="B48" s="440"/>
      <c r="C48" s="451"/>
      <c r="D48" s="451"/>
      <c r="E48" s="451"/>
      <c r="F48" s="451"/>
    </row>
    <row r="49" spans="2:6">
      <c r="B49" s="440"/>
      <c r="C49" s="451"/>
      <c r="D49" s="451"/>
      <c r="E49" s="451"/>
      <c r="F49" s="451"/>
    </row>
    <row r="50" spans="2:6">
      <c r="B50" s="440"/>
      <c r="C50" s="451"/>
      <c r="D50" s="451"/>
      <c r="E50" s="451"/>
      <c r="F50" s="451"/>
    </row>
    <row r="51" spans="2:6">
      <c r="B51" s="440"/>
      <c r="C51" s="451"/>
      <c r="D51" s="451"/>
      <c r="E51" s="451"/>
      <c r="F51" s="451"/>
    </row>
    <row r="52" spans="2:6">
      <c r="B52" s="440"/>
      <c r="C52" s="451"/>
      <c r="D52" s="451"/>
      <c r="E52" s="451"/>
      <c r="F52" s="451"/>
    </row>
    <row r="53" spans="2:6">
      <c r="B53" s="440"/>
      <c r="C53" s="451"/>
      <c r="D53" s="451"/>
      <c r="E53" s="451"/>
      <c r="F53" s="451"/>
    </row>
    <row r="54" spans="2:6">
      <c r="B54" s="440"/>
      <c r="C54" s="451"/>
      <c r="D54" s="451"/>
      <c r="E54" s="451"/>
      <c r="F54" s="451"/>
    </row>
    <row r="55" spans="2:6">
      <c r="B55" s="440"/>
      <c r="C55" s="451"/>
      <c r="D55" s="451"/>
      <c r="E55" s="451"/>
      <c r="F55" s="451"/>
    </row>
    <row r="56" spans="2:6">
      <c r="B56" s="440"/>
      <c r="C56" s="451"/>
      <c r="D56" s="451"/>
      <c r="E56" s="451"/>
      <c r="F56" s="451"/>
    </row>
    <row r="57" spans="2:6">
      <c r="B57" s="440"/>
      <c r="C57" s="451"/>
      <c r="D57" s="451"/>
      <c r="E57" s="451"/>
      <c r="F57" s="451"/>
    </row>
    <row r="58" spans="2:6">
      <c r="B58" s="440"/>
      <c r="C58" s="451"/>
      <c r="D58" s="451"/>
      <c r="E58" s="451"/>
      <c r="F58" s="451"/>
    </row>
    <row r="59" spans="2:6">
      <c r="B59" s="440"/>
      <c r="C59" s="451"/>
      <c r="D59" s="451"/>
      <c r="E59" s="451"/>
      <c r="F59" s="451"/>
    </row>
    <row r="60" spans="2:6">
      <c r="B60" s="440"/>
      <c r="C60" s="451"/>
      <c r="D60" s="451"/>
      <c r="E60" s="451"/>
      <c r="F60" s="451"/>
    </row>
    <row r="61" spans="2:6">
      <c r="B61" s="440"/>
      <c r="C61" s="451"/>
      <c r="D61" s="451"/>
      <c r="E61" s="451"/>
      <c r="F61" s="451"/>
    </row>
    <row r="62" spans="2:6">
      <c r="B62" s="440"/>
      <c r="C62" s="451"/>
      <c r="D62" s="451"/>
      <c r="E62" s="451"/>
      <c r="F62" s="451"/>
    </row>
    <row r="63" spans="2:6">
      <c r="B63" s="440"/>
      <c r="C63" s="451"/>
      <c r="D63" s="451"/>
      <c r="E63" s="451"/>
      <c r="F63" s="451"/>
    </row>
    <row r="64" spans="2:6">
      <c r="B64" s="440"/>
      <c r="C64" s="451"/>
      <c r="D64" s="451"/>
      <c r="E64" s="451"/>
      <c r="F64" s="451"/>
    </row>
    <row r="65" spans="2:6">
      <c r="B65" s="440"/>
      <c r="C65" s="451"/>
      <c r="D65" s="451"/>
      <c r="E65" s="451"/>
      <c r="F65" s="451"/>
    </row>
    <row r="66" spans="2:6">
      <c r="B66" s="440"/>
      <c r="C66" s="451"/>
      <c r="D66" s="451"/>
      <c r="E66" s="451"/>
      <c r="F66" s="451"/>
    </row>
    <row r="67" spans="2:6">
      <c r="B67" s="440"/>
      <c r="C67" s="451"/>
      <c r="D67" s="451"/>
      <c r="E67" s="451"/>
      <c r="F67" s="451"/>
    </row>
    <row r="68" spans="2:6">
      <c r="B68" s="440"/>
      <c r="C68" s="451"/>
      <c r="D68" s="451"/>
      <c r="E68" s="451"/>
      <c r="F68" s="451"/>
    </row>
    <row r="69" spans="2:6">
      <c r="B69" s="440"/>
      <c r="C69" s="451"/>
      <c r="D69" s="451"/>
      <c r="E69" s="451"/>
      <c r="F69" s="451"/>
    </row>
    <row r="70" spans="2:6">
      <c r="B70" s="440"/>
      <c r="C70" s="451"/>
      <c r="D70" s="451"/>
      <c r="E70" s="451"/>
      <c r="F70" s="451"/>
    </row>
    <row r="71" spans="2:6">
      <c r="B71" s="440"/>
      <c r="C71" s="451"/>
      <c r="D71" s="451"/>
      <c r="E71" s="451"/>
      <c r="F71" s="451"/>
    </row>
    <row r="72" spans="2:6">
      <c r="B72" s="440"/>
      <c r="C72" s="451"/>
      <c r="D72" s="451"/>
      <c r="E72" s="451"/>
      <c r="F72" s="451"/>
    </row>
    <row r="73" spans="2:6">
      <c r="B73" s="440"/>
      <c r="C73" s="451"/>
      <c r="D73" s="451"/>
      <c r="E73" s="451"/>
      <c r="F73" s="451"/>
    </row>
    <row r="74" spans="2:6">
      <c r="B74" s="457"/>
      <c r="C74" s="458"/>
      <c r="D74" s="458"/>
      <c r="E74" s="458"/>
      <c r="F74" s="458"/>
    </row>
    <row r="75" spans="2:6">
      <c r="B75" s="459"/>
      <c r="C75" s="458"/>
      <c r="D75" s="458"/>
      <c r="E75" s="458"/>
      <c r="F75" s="458"/>
    </row>
    <row r="77" spans="2:6">
      <c r="C77" s="440"/>
      <c r="D77" s="440"/>
      <c r="E77" s="440"/>
      <c r="F77" s="440"/>
    </row>
  </sheetData>
  <phoneticPr fontId="99" type="noConversion"/>
  <pageMargins left="0.7" right="0.7" top="0.75" bottom="0.75" header="0.3" footer="0.3"/>
  <pageSetup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F364B-6E4D-485B-A9A8-46A41247D4F8}">
  <dimension ref="A1:R772"/>
  <sheetViews>
    <sheetView view="pageBreakPreview" topLeftCell="A7" zoomScale="80" zoomScaleNormal="90" zoomScaleSheetLayoutView="80" workbookViewId="0">
      <pane xSplit="2" ySplit="2" topLeftCell="C746" activePane="bottomRight" state="frozen"/>
      <selection pane="topRight" activeCell="C7" sqref="C7"/>
      <selection pane="bottomLeft" activeCell="A9" sqref="A9"/>
      <selection pane="bottomRight" activeCell="K769" sqref="K769"/>
    </sheetView>
  </sheetViews>
  <sheetFormatPr defaultColWidth="9" defaultRowHeight="15.75"/>
  <cols>
    <col min="1" max="1" width="33.375" style="3" customWidth="1"/>
    <col min="2" max="2" width="0.75" style="3" customWidth="1"/>
    <col min="3" max="3" width="14.25" style="227" bestFit="1" customWidth="1"/>
    <col min="4" max="4" width="0.75" style="3" customWidth="1"/>
    <col min="5" max="5" width="8.125" style="3" bestFit="1" customWidth="1"/>
    <col min="6" max="6" width="1.875" style="3" bestFit="1" customWidth="1"/>
    <col min="7" max="7" width="14.25" style="6" bestFit="1" customWidth="1"/>
    <col min="8" max="8" width="0.75" style="3" customWidth="1"/>
    <col min="9" max="9" width="7.125" style="40" bestFit="1" customWidth="1"/>
    <col min="10" max="10" width="0.75" style="3" customWidth="1"/>
    <col min="11" max="11" width="12.625" style="6" bestFit="1" customWidth="1"/>
    <col min="12" max="12" width="0.75" style="3" customWidth="1"/>
    <col min="13" max="13" width="7.125" style="40" bestFit="1" customWidth="1"/>
    <col min="14" max="14" width="0.75" style="3" customWidth="1"/>
    <col min="15" max="15" width="12.625" style="6" bestFit="1" customWidth="1"/>
    <col min="16" max="16" width="1.75" style="3" customWidth="1"/>
    <col min="17" max="17" width="13.75" style="2" customWidth="1"/>
    <col min="18" max="18" width="12.625" style="2" bestFit="1" customWidth="1"/>
    <col min="19" max="16384" width="9" style="3"/>
  </cols>
  <sheetData>
    <row r="1" spans="1:18" ht="18.75">
      <c r="A1" s="197" t="s">
        <v>129</v>
      </c>
      <c r="B1" s="1"/>
      <c r="C1" s="225"/>
      <c r="D1" s="1"/>
      <c r="E1" s="1"/>
      <c r="F1" s="1"/>
      <c r="G1" s="226"/>
      <c r="H1" s="83"/>
      <c r="I1" s="38"/>
      <c r="J1" s="1"/>
      <c r="K1" s="39"/>
      <c r="L1" s="1"/>
      <c r="M1" s="38"/>
      <c r="N1" s="1"/>
      <c r="O1" s="39"/>
    </row>
    <row r="2" spans="1:18" ht="18.75">
      <c r="A2" s="197" t="s">
        <v>130</v>
      </c>
      <c r="B2" s="1"/>
      <c r="C2" s="225"/>
      <c r="D2" s="1"/>
      <c r="E2" s="1"/>
      <c r="F2" s="1"/>
      <c r="G2" s="226"/>
      <c r="H2" s="83"/>
      <c r="I2" s="38"/>
      <c r="J2" s="1"/>
      <c r="K2" s="39"/>
      <c r="L2" s="1"/>
      <c r="M2" s="38"/>
      <c r="N2" s="1"/>
      <c r="O2" s="39"/>
    </row>
    <row r="3" spans="1:18" ht="18.75">
      <c r="A3" s="197" t="s">
        <v>4</v>
      </c>
      <c r="B3" s="1"/>
      <c r="C3" s="225"/>
      <c r="D3" s="1"/>
      <c r="E3" s="1"/>
      <c r="F3" s="1"/>
      <c r="G3" s="226"/>
      <c r="H3" s="83"/>
      <c r="I3" s="38"/>
      <c r="J3" s="1"/>
      <c r="K3" s="39"/>
      <c r="L3" s="1"/>
      <c r="M3" s="38"/>
      <c r="N3" s="1"/>
      <c r="O3" s="39"/>
    </row>
    <row r="4" spans="1:18" ht="18.75">
      <c r="A4" s="197" t="s">
        <v>5</v>
      </c>
      <c r="B4" s="1"/>
      <c r="C4" s="225"/>
      <c r="D4" s="1"/>
      <c r="E4" s="1"/>
      <c r="F4" s="1"/>
      <c r="G4" s="226"/>
      <c r="H4" s="83"/>
      <c r="I4" s="38"/>
      <c r="J4" s="1"/>
      <c r="K4" s="39"/>
      <c r="L4" s="1"/>
      <c r="M4" s="38"/>
      <c r="N4" s="1"/>
      <c r="O4" s="39"/>
    </row>
    <row r="5" spans="1:18" ht="18.75">
      <c r="I5" s="38"/>
      <c r="J5" s="1"/>
      <c r="K5" s="39"/>
      <c r="L5" s="1"/>
      <c r="M5" s="38"/>
      <c r="N5" s="1"/>
      <c r="O5" s="39"/>
    </row>
    <row r="7" spans="1:18">
      <c r="C7" s="5" t="s">
        <v>131</v>
      </c>
      <c r="E7" s="41" t="s">
        <v>64</v>
      </c>
      <c r="F7" s="41"/>
      <c r="G7" s="41" t="s">
        <v>132</v>
      </c>
      <c r="I7" s="532" t="s">
        <v>133</v>
      </c>
      <c r="J7" s="533"/>
      <c r="K7" s="534"/>
      <c r="M7" s="532" t="s">
        <v>134</v>
      </c>
      <c r="N7" s="533"/>
      <c r="O7" s="534"/>
    </row>
    <row r="8" spans="1:18">
      <c r="C8" s="535" t="s">
        <v>135</v>
      </c>
      <c r="E8" s="149" t="s">
        <v>136</v>
      </c>
      <c r="F8" s="41"/>
      <c r="G8" s="66" t="s">
        <v>137</v>
      </c>
      <c r="I8" s="43" t="s">
        <v>136</v>
      </c>
      <c r="J8" s="41"/>
      <c r="K8" s="66" t="s">
        <v>137</v>
      </c>
      <c r="M8" s="43" t="s">
        <v>136</v>
      </c>
      <c r="N8" s="41"/>
      <c r="O8" s="66" t="s">
        <v>137</v>
      </c>
    </row>
    <row r="9" spans="1:18">
      <c r="A9" s="228" t="s">
        <v>138</v>
      </c>
      <c r="Q9" s="56" t="s">
        <v>139</v>
      </c>
      <c r="R9" s="57">
        <v>8</v>
      </c>
    </row>
    <row r="10" spans="1:18">
      <c r="A10" s="84" t="s">
        <v>140</v>
      </c>
      <c r="C10" s="227">
        <v>9344849.0845141169</v>
      </c>
      <c r="E10" s="44"/>
      <c r="F10" s="44"/>
      <c r="Q10" s="4"/>
    </row>
    <row r="11" spans="1:18">
      <c r="A11" s="84" t="s">
        <v>141</v>
      </c>
      <c r="C11" s="227">
        <v>9329308</v>
      </c>
      <c r="E11" s="44"/>
      <c r="F11" s="44"/>
      <c r="K11" s="3"/>
      <c r="O11" s="3"/>
    </row>
    <row r="12" spans="1:18">
      <c r="A12" s="84" t="s">
        <v>142</v>
      </c>
      <c r="C12" s="227">
        <v>7140845</v>
      </c>
      <c r="E12" s="44">
        <v>10</v>
      </c>
      <c r="F12" s="44"/>
      <c r="G12" s="6">
        <f>ROUND($C12*E12,0)</f>
        <v>71408450</v>
      </c>
      <c r="I12" s="14"/>
      <c r="J12" s="44"/>
      <c r="M12" s="14"/>
      <c r="N12" s="44"/>
      <c r="Q12" s="30" t="s">
        <v>143</v>
      </c>
      <c r="R12" s="229"/>
    </row>
    <row r="13" spans="1:18">
      <c r="A13" s="84" t="s">
        <v>144</v>
      </c>
      <c r="C13" s="227">
        <v>2188463</v>
      </c>
      <c r="E13" s="44">
        <v>6</v>
      </c>
      <c r="F13" s="44"/>
      <c r="G13" s="6">
        <f>ROUND($C13*E13,0)</f>
        <v>13130778</v>
      </c>
      <c r="I13" s="14"/>
      <c r="J13" s="44"/>
      <c r="M13" s="14"/>
      <c r="N13" s="44"/>
      <c r="Q13" s="230" t="s">
        <v>145</v>
      </c>
      <c r="R13" s="8">
        <f>SUM(O28,O49,O69,O90,O111,O132)</f>
        <v>144836755.58500332</v>
      </c>
    </row>
    <row r="14" spans="1:18">
      <c r="A14" s="84" t="s">
        <v>146</v>
      </c>
      <c r="C14" s="227">
        <v>15541.084514116868</v>
      </c>
      <c r="E14" s="44"/>
      <c r="F14" s="44"/>
      <c r="I14" s="14"/>
      <c r="J14" s="44"/>
      <c r="M14" s="14"/>
      <c r="N14" s="44"/>
      <c r="Q14" s="230" t="s">
        <v>147</v>
      </c>
      <c r="R14" s="8">
        <f>'Exhibit-RMP(RMM-1) page 2'!K18*1000</f>
        <v>144836758.12330425</v>
      </c>
    </row>
    <row r="15" spans="1:18">
      <c r="A15" s="84" t="s">
        <v>142</v>
      </c>
      <c r="C15" s="227">
        <v>3325.0845141168684</v>
      </c>
      <c r="E15" s="44">
        <v>20</v>
      </c>
      <c r="F15" s="44"/>
      <c r="G15" s="6">
        <f t="shared" ref="G15:G18" si="0">ROUND($C15*E15,0)</f>
        <v>66502</v>
      </c>
      <c r="I15" s="14"/>
      <c r="J15" s="44"/>
      <c r="M15" s="14"/>
      <c r="N15" s="44"/>
      <c r="Q15" s="231" t="s">
        <v>148</v>
      </c>
      <c r="R15" s="9">
        <f>R14-R13</f>
        <v>2.5383009314537048</v>
      </c>
    </row>
    <row r="16" spans="1:18">
      <c r="A16" s="84" t="s">
        <v>144</v>
      </c>
      <c r="C16" s="227">
        <v>12216</v>
      </c>
      <c r="E16" s="44">
        <v>12</v>
      </c>
      <c r="F16" s="44"/>
      <c r="G16" s="6">
        <f t="shared" si="0"/>
        <v>146592</v>
      </c>
      <c r="I16" s="47"/>
      <c r="J16" s="232"/>
      <c r="M16" s="47"/>
      <c r="N16" s="232"/>
      <c r="Q16" s="31" t="s">
        <v>149</v>
      </c>
      <c r="R16" s="233">
        <f>ROUND(R14/SUM(G21:G25,G42:G46,G62:G66,G83:G87,G104:G108,G125:G129),$R$9)</f>
        <v>0.22135184999999999</v>
      </c>
    </row>
    <row r="17" spans="1:17">
      <c r="A17" s="84" t="s">
        <v>150</v>
      </c>
      <c r="C17" s="227">
        <v>0</v>
      </c>
      <c r="E17" s="44">
        <v>2</v>
      </c>
      <c r="F17" s="44"/>
      <c r="G17" s="6">
        <f t="shared" si="0"/>
        <v>0</v>
      </c>
      <c r="I17" s="47"/>
      <c r="J17" s="232"/>
      <c r="M17" s="47"/>
      <c r="N17" s="232"/>
    </row>
    <row r="18" spans="1:17">
      <c r="A18" s="84" t="s">
        <v>151</v>
      </c>
      <c r="C18" s="227">
        <v>253</v>
      </c>
      <c r="E18" s="44">
        <v>22</v>
      </c>
      <c r="F18" s="44"/>
      <c r="G18" s="6">
        <f t="shared" si="0"/>
        <v>5566</v>
      </c>
      <c r="I18" s="47"/>
      <c r="J18" s="232"/>
      <c r="M18" s="47"/>
      <c r="N18" s="232"/>
    </row>
    <row r="19" spans="1:17">
      <c r="A19" s="84" t="s">
        <v>152</v>
      </c>
      <c r="C19" s="227">
        <v>0</v>
      </c>
      <c r="E19" s="234">
        <v>4.3559999999999999</v>
      </c>
      <c r="F19" s="232" t="s">
        <v>153</v>
      </c>
      <c r="G19" s="6">
        <f>ROUND($C19*E19/100,0)</f>
        <v>0</v>
      </c>
      <c r="J19" s="232"/>
      <c r="N19" s="232"/>
    </row>
    <row r="20" spans="1:17">
      <c r="A20" s="84" t="s">
        <v>154</v>
      </c>
      <c r="C20" s="227">
        <v>0</v>
      </c>
      <c r="E20" s="234">
        <v>-1.6334</v>
      </c>
      <c r="F20" s="232" t="s">
        <v>153</v>
      </c>
      <c r="G20" s="6">
        <f t="shared" ref="G20:G26" si="1">ROUND($C20*E20/100,0)</f>
        <v>0</v>
      </c>
      <c r="J20" s="232"/>
      <c r="K20" s="85"/>
      <c r="N20" s="232"/>
      <c r="O20" s="85"/>
    </row>
    <row r="21" spans="1:17">
      <c r="A21" s="84" t="s">
        <v>155</v>
      </c>
      <c r="C21" s="227">
        <v>1080475944.5283775</v>
      </c>
      <c r="E21" s="235">
        <v>9.0279000000000007</v>
      </c>
      <c r="F21" s="232" t="s">
        <v>153</v>
      </c>
      <c r="G21" s="6">
        <f t="shared" si="1"/>
        <v>97544288</v>
      </c>
      <c r="I21" s="236">
        <v>0.19879865999999999</v>
      </c>
      <c r="J21" s="232"/>
      <c r="K21" s="6">
        <f t="shared" ref="K21:K25" si="2">$G21*I21</f>
        <v>19391673.745054077</v>
      </c>
      <c r="M21" s="236">
        <f>$R$16</f>
        <v>0.22135184999999999</v>
      </c>
      <c r="N21" s="232"/>
      <c r="O21" s="6">
        <f t="shared" ref="O21:O25" si="3">$G21*M21</f>
        <v>21591608.605732799</v>
      </c>
    </row>
    <row r="22" spans="1:17">
      <c r="A22" s="84" t="s">
        <v>156</v>
      </c>
      <c r="C22" s="227">
        <v>960049471</v>
      </c>
      <c r="E22" s="235">
        <v>11.721</v>
      </c>
      <c r="F22" s="232" t="s">
        <v>153</v>
      </c>
      <c r="G22" s="6">
        <f t="shared" si="1"/>
        <v>112527398</v>
      </c>
      <c r="I22" s="47">
        <v>0.19879865999999999</v>
      </c>
      <c r="J22" s="232"/>
      <c r="K22" s="6">
        <f t="shared" si="2"/>
        <v>22370295.935686678</v>
      </c>
      <c r="M22" s="47">
        <f>M$21</f>
        <v>0.22135184999999999</v>
      </c>
      <c r="N22" s="232"/>
      <c r="O22" s="6">
        <f t="shared" si="3"/>
        <v>24908147.7229863</v>
      </c>
    </row>
    <row r="23" spans="1:17">
      <c r="A23" s="84" t="s">
        <v>157</v>
      </c>
      <c r="C23" s="227">
        <v>527790900</v>
      </c>
      <c r="E23" s="235">
        <v>11.721</v>
      </c>
      <c r="F23" s="232" t="s">
        <v>153</v>
      </c>
      <c r="G23" s="6">
        <f t="shared" si="1"/>
        <v>61862371</v>
      </c>
      <c r="I23" s="47">
        <v>0.19879865999999999</v>
      </c>
      <c r="J23" s="232"/>
      <c r="K23" s="6">
        <f t="shared" si="2"/>
        <v>12298156.459222859</v>
      </c>
      <c r="M23" s="47">
        <f>M$21</f>
        <v>0.22135184999999999</v>
      </c>
      <c r="N23" s="232"/>
      <c r="O23" s="6">
        <f t="shared" si="3"/>
        <v>13693350.26623635</v>
      </c>
    </row>
    <row r="24" spans="1:17">
      <c r="A24" s="84" t="s">
        <v>158</v>
      </c>
      <c r="B24" s="237"/>
      <c r="C24" s="227">
        <v>2051977461</v>
      </c>
      <c r="D24" s="237"/>
      <c r="E24" s="238">
        <v>7.9893000000000001</v>
      </c>
      <c r="F24" s="232" t="s">
        <v>153</v>
      </c>
      <c r="G24" s="6">
        <f t="shared" si="1"/>
        <v>163938635</v>
      </c>
      <c r="I24" s="47">
        <v>0.19879865999999999</v>
      </c>
      <c r="J24" s="232"/>
      <c r="K24" s="6">
        <f t="shared" si="2"/>
        <v>32590780.960229099</v>
      </c>
      <c r="M24" s="47">
        <f>M$21</f>
        <v>0.22135184999999999</v>
      </c>
      <c r="N24" s="232"/>
      <c r="O24" s="6">
        <f t="shared" si="3"/>
        <v>36288120.143724747</v>
      </c>
    </row>
    <row r="25" spans="1:17">
      <c r="A25" s="84" t="s">
        <v>159</v>
      </c>
      <c r="B25" s="237"/>
      <c r="C25" s="227">
        <v>1671527763</v>
      </c>
      <c r="D25" s="237"/>
      <c r="E25" s="238">
        <v>10.3725</v>
      </c>
      <c r="F25" s="232" t="s">
        <v>153</v>
      </c>
      <c r="G25" s="6">
        <f t="shared" si="1"/>
        <v>173379217</v>
      </c>
      <c r="I25" s="47">
        <v>0.19879865999999999</v>
      </c>
      <c r="J25" s="232"/>
      <c r="K25" s="6">
        <f t="shared" si="2"/>
        <v>34467556.011449218</v>
      </c>
      <c r="M25" s="47">
        <f>M$21</f>
        <v>0.22135184999999999</v>
      </c>
      <c r="N25" s="232"/>
      <c r="O25" s="6">
        <f t="shared" si="3"/>
        <v>38377810.434501447</v>
      </c>
    </row>
    <row r="26" spans="1:17">
      <c r="A26" s="239" t="s">
        <v>160</v>
      </c>
      <c r="B26" s="240"/>
      <c r="C26" s="227">
        <v>15864580</v>
      </c>
      <c r="D26" s="240"/>
      <c r="E26" s="241">
        <v>11.912599999999999</v>
      </c>
      <c r="F26" s="242" t="s">
        <v>153</v>
      </c>
      <c r="G26" s="6">
        <f t="shared" si="1"/>
        <v>1889884</v>
      </c>
      <c r="I26" s="14"/>
      <c r="J26" s="232"/>
      <c r="M26" s="14"/>
      <c r="N26" s="232"/>
    </row>
    <row r="27" spans="1:17">
      <c r="A27" s="239" t="s">
        <v>161</v>
      </c>
      <c r="C27" s="227">
        <v>-316213</v>
      </c>
      <c r="E27" s="40"/>
      <c r="F27" s="10"/>
      <c r="I27" s="14"/>
      <c r="J27" s="232"/>
      <c r="M27" s="14"/>
      <c r="N27" s="232"/>
    </row>
    <row r="28" spans="1:17" ht="16.5" thickBot="1">
      <c r="A28" s="84" t="s">
        <v>162</v>
      </c>
      <c r="C28" s="243">
        <v>6307369906.5283775</v>
      </c>
      <c r="E28" s="67"/>
      <c r="G28" s="12">
        <f>SUM(G12:G27)</f>
        <v>695899681</v>
      </c>
      <c r="I28" s="45"/>
      <c r="K28" s="12">
        <f>SUM(K12:K27)</f>
        <v>121118463.11164194</v>
      </c>
      <c r="M28" s="45"/>
      <c r="O28" s="12">
        <f>SUM(O12:O27)</f>
        <v>134859037.17318162</v>
      </c>
      <c r="Q28" s="47"/>
    </row>
    <row r="29" spans="1:17" ht="16.5" thickTop="1">
      <c r="Q29" s="47"/>
    </row>
    <row r="30" spans="1:17">
      <c r="A30" s="228" t="s">
        <v>163</v>
      </c>
      <c r="I30" s="47"/>
      <c r="J30" s="47"/>
      <c r="M30" s="47"/>
      <c r="N30" s="47"/>
    </row>
    <row r="31" spans="1:17">
      <c r="A31" s="84" t="s">
        <v>140</v>
      </c>
      <c r="C31" s="227">
        <v>4350</v>
      </c>
      <c r="E31" s="44"/>
      <c r="F31" s="44"/>
    </row>
    <row r="32" spans="1:17">
      <c r="A32" s="84" t="s">
        <v>141</v>
      </c>
      <c r="C32" s="227">
        <v>4339</v>
      </c>
      <c r="E32" s="44"/>
      <c r="F32" s="44"/>
    </row>
    <row r="33" spans="1:18">
      <c r="A33" s="84" t="s">
        <v>142</v>
      </c>
      <c r="C33" s="227">
        <v>3371</v>
      </c>
      <c r="E33" s="44">
        <v>10</v>
      </c>
      <c r="F33" s="44"/>
      <c r="G33" s="6">
        <f>ROUND($C33*E33,0)</f>
        <v>33710</v>
      </c>
      <c r="I33" s="14"/>
      <c r="J33" s="44"/>
      <c r="M33" s="14"/>
      <c r="N33" s="44"/>
    </row>
    <row r="34" spans="1:18">
      <c r="A34" s="84" t="s">
        <v>144</v>
      </c>
      <c r="C34" s="227">
        <v>968</v>
      </c>
      <c r="E34" s="44">
        <v>6</v>
      </c>
      <c r="F34" s="44"/>
      <c r="G34" s="6">
        <f>ROUND($C34*E34,0)</f>
        <v>5808</v>
      </c>
      <c r="I34" s="14"/>
      <c r="J34" s="44"/>
      <c r="M34" s="14"/>
      <c r="N34" s="44"/>
    </row>
    <row r="35" spans="1:18">
      <c r="A35" s="84" t="s">
        <v>146</v>
      </c>
      <c r="C35" s="227">
        <v>11</v>
      </c>
      <c r="E35" s="44"/>
      <c r="F35" s="44"/>
      <c r="I35" s="14"/>
      <c r="J35" s="44"/>
      <c r="M35" s="14"/>
      <c r="N35" s="44"/>
    </row>
    <row r="36" spans="1:18">
      <c r="A36" s="84" t="s">
        <v>142</v>
      </c>
      <c r="C36" s="227">
        <v>11</v>
      </c>
      <c r="E36" s="44">
        <v>20</v>
      </c>
      <c r="F36" s="44"/>
      <c r="G36" s="6">
        <f t="shared" ref="G36:G39" si="4">ROUND($C36*E36,0)</f>
        <v>220</v>
      </c>
      <c r="I36" s="47"/>
      <c r="J36" s="232"/>
      <c r="M36" s="47"/>
      <c r="N36" s="232"/>
    </row>
    <row r="37" spans="1:18">
      <c r="A37" s="84" t="s">
        <v>144</v>
      </c>
      <c r="C37" s="227">
        <v>0</v>
      </c>
      <c r="E37" s="44">
        <v>12</v>
      </c>
      <c r="F37" s="44"/>
      <c r="G37" s="6">
        <f t="shared" si="4"/>
        <v>0</v>
      </c>
      <c r="I37" s="47"/>
      <c r="J37" s="232"/>
      <c r="M37" s="47"/>
      <c r="N37" s="232"/>
    </row>
    <row r="38" spans="1:18">
      <c r="A38" s="84" t="s">
        <v>150</v>
      </c>
      <c r="C38" s="227">
        <v>0</v>
      </c>
      <c r="E38" s="44">
        <v>2</v>
      </c>
      <c r="F38" s="44"/>
      <c r="G38" s="6">
        <f t="shared" si="4"/>
        <v>0</v>
      </c>
      <c r="I38" s="47"/>
      <c r="J38" s="232"/>
      <c r="M38" s="47"/>
      <c r="N38" s="232"/>
    </row>
    <row r="39" spans="1:18">
      <c r="A39" s="84" t="s">
        <v>151</v>
      </c>
      <c r="C39" s="227">
        <v>0</v>
      </c>
      <c r="E39" s="44">
        <v>22</v>
      </c>
      <c r="F39" s="44"/>
      <c r="G39" s="6">
        <f t="shared" si="4"/>
        <v>0</v>
      </c>
      <c r="J39" s="232"/>
      <c r="N39" s="232"/>
    </row>
    <row r="40" spans="1:18">
      <c r="A40" s="84" t="s">
        <v>152</v>
      </c>
      <c r="C40" s="227">
        <v>258230</v>
      </c>
      <c r="E40" s="234">
        <v>4.3559999999999999</v>
      </c>
      <c r="F40" s="232" t="s">
        <v>153</v>
      </c>
      <c r="G40" s="6">
        <f>ROUND($C40*E40/100,0)</f>
        <v>11248</v>
      </c>
      <c r="I40" s="47"/>
      <c r="J40" s="232"/>
      <c r="K40" s="85"/>
      <c r="M40" s="47"/>
      <c r="N40" s="232"/>
      <c r="O40" s="85"/>
      <c r="Q40" s="244"/>
      <c r="R40" s="244"/>
    </row>
    <row r="41" spans="1:18">
      <c r="A41" s="84" t="s">
        <v>154</v>
      </c>
      <c r="C41" s="227">
        <v>825288</v>
      </c>
      <c r="E41" s="234">
        <v>-1.6334</v>
      </c>
      <c r="F41" s="232" t="s">
        <v>153</v>
      </c>
      <c r="G41" s="6">
        <f t="shared" ref="G41:G47" si="5">ROUND($C41*E41/100,0)</f>
        <v>-13480</v>
      </c>
      <c r="I41" s="47"/>
      <c r="J41" s="232"/>
      <c r="K41" s="85"/>
      <c r="M41" s="47"/>
      <c r="N41" s="232"/>
      <c r="O41" s="85"/>
      <c r="Q41" s="244"/>
      <c r="R41" s="244"/>
    </row>
    <row r="42" spans="1:18">
      <c r="A42" s="84" t="s">
        <v>155</v>
      </c>
      <c r="C42" s="227">
        <v>495959</v>
      </c>
      <c r="E42" s="235">
        <v>9.0279000000000007</v>
      </c>
      <c r="F42" s="232" t="s">
        <v>153</v>
      </c>
      <c r="G42" s="6">
        <f t="shared" si="5"/>
        <v>44775</v>
      </c>
      <c r="I42" s="47">
        <v>0.19879865999999999</v>
      </c>
      <c r="J42" s="232"/>
      <c r="K42" s="6">
        <f t="shared" ref="K42:K46" si="6">$G42*I42</f>
        <v>8901.2100014999996</v>
      </c>
      <c r="M42" s="47">
        <f>M$21</f>
        <v>0.22135184999999999</v>
      </c>
      <c r="N42" s="232"/>
      <c r="O42" s="6">
        <f t="shared" ref="O42:O46" si="7">$G42*M42</f>
        <v>9911.0290837499997</v>
      </c>
    </row>
    <row r="43" spans="1:18">
      <c r="A43" s="84" t="s">
        <v>156</v>
      </c>
      <c r="C43" s="227">
        <v>407470</v>
      </c>
      <c r="E43" s="235">
        <v>11.721</v>
      </c>
      <c r="F43" s="232" t="s">
        <v>153</v>
      </c>
      <c r="G43" s="6">
        <f t="shared" si="5"/>
        <v>47760</v>
      </c>
      <c r="I43" s="47">
        <v>0.19879865999999999</v>
      </c>
      <c r="J43" s="232"/>
      <c r="K43" s="6">
        <f t="shared" si="6"/>
        <v>9494.6240015999992</v>
      </c>
      <c r="M43" s="47">
        <f>M$21</f>
        <v>0.22135184999999999</v>
      </c>
      <c r="N43" s="232"/>
      <c r="O43" s="6">
        <f t="shared" si="7"/>
        <v>10571.764356</v>
      </c>
    </row>
    <row r="44" spans="1:18">
      <c r="A44" s="84" t="s">
        <v>157</v>
      </c>
      <c r="C44" s="227">
        <v>186496</v>
      </c>
      <c r="E44" s="235">
        <v>11.721</v>
      </c>
      <c r="F44" s="232" t="s">
        <v>153</v>
      </c>
      <c r="G44" s="6">
        <f t="shared" si="5"/>
        <v>21859</v>
      </c>
      <c r="I44" s="47">
        <v>0.19879865999999999</v>
      </c>
      <c r="J44" s="232"/>
      <c r="K44" s="6">
        <f t="shared" si="6"/>
        <v>4345.5399089399998</v>
      </c>
      <c r="M44" s="47">
        <f>M$21</f>
        <v>0.22135184999999999</v>
      </c>
      <c r="N44" s="232"/>
      <c r="O44" s="6">
        <f t="shared" si="7"/>
        <v>4838.5300891500001</v>
      </c>
    </row>
    <row r="45" spans="1:18">
      <c r="A45" s="84" t="s">
        <v>158</v>
      </c>
      <c r="B45" s="237"/>
      <c r="C45" s="227">
        <v>919695</v>
      </c>
      <c r="D45" s="237"/>
      <c r="E45" s="238">
        <v>7.9893000000000001</v>
      </c>
      <c r="F45" s="232" t="s">
        <v>153</v>
      </c>
      <c r="G45" s="6">
        <f t="shared" si="5"/>
        <v>73477</v>
      </c>
      <c r="I45" s="47">
        <v>0.19879865999999999</v>
      </c>
      <c r="J45" s="232"/>
      <c r="K45" s="6">
        <f t="shared" si="6"/>
        <v>14607.12914082</v>
      </c>
      <c r="M45" s="47">
        <f>M$21</f>
        <v>0.22135184999999999</v>
      </c>
      <c r="N45" s="232"/>
      <c r="O45" s="6">
        <f t="shared" si="7"/>
        <v>16264.269882449998</v>
      </c>
    </row>
    <row r="46" spans="1:18">
      <c r="A46" s="84" t="s">
        <v>159</v>
      </c>
      <c r="B46" s="237"/>
      <c r="C46" s="227">
        <v>734416</v>
      </c>
      <c r="D46" s="237"/>
      <c r="E46" s="238">
        <v>10.3725</v>
      </c>
      <c r="F46" s="232" t="s">
        <v>153</v>
      </c>
      <c r="G46" s="6">
        <f t="shared" si="5"/>
        <v>76177</v>
      </c>
      <c r="I46" s="47">
        <v>0.19879865999999999</v>
      </c>
      <c r="J46" s="232"/>
      <c r="K46" s="6">
        <f t="shared" si="6"/>
        <v>15143.885522819999</v>
      </c>
      <c r="M46" s="47">
        <f>M$21</f>
        <v>0.22135184999999999</v>
      </c>
      <c r="N46" s="232"/>
      <c r="O46" s="6">
        <f t="shared" si="7"/>
        <v>16861.91987745</v>
      </c>
    </row>
    <row r="47" spans="1:18">
      <c r="A47" s="239" t="s">
        <v>160</v>
      </c>
      <c r="B47" s="240"/>
      <c r="C47" s="227">
        <v>0</v>
      </c>
      <c r="D47" s="240"/>
      <c r="E47" s="241">
        <v>11.912599999999999</v>
      </c>
      <c r="F47" s="242" t="s">
        <v>153</v>
      </c>
      <c r="G47" s="6">
        <f t="shared" si="5"/>
        <v>0</v>
      </c>
      <c r="I47" s="14"/>
      <c r="J47" s="232"/>
      <c r="M47" s="14"/>
      <c r="N47" s="232"/>
    </row>
    <row r="48" spans="1:18">
      <c r="A48" s="239" t="s">
        <v>161</v>
      </c>
      <c r="C48" s="227">
        <v>0</v>
      </c>
      <c r="E48" s="40"/>
      <c r="F48" s="10"/>
      <c r="I48" s="14"/>
      <c r="J48" s="232"/>
      <c r="K48" s="11"/>
      <c r="M48" s="14"/>
      <c r="N48" s="232"/>
      <c r="O48" s="11"/>
    </row>
    <row r="49" spans="1:18" ht="16.5" thickBot="1">
      <c r="A49" s="84" t="s">
        <v>162</v>
      </c>
      <c r="C49" s="243">
        <v>2744036</v>
      </c>
      <c r="E49" s="68"/>
      <c r="G49" s="12">
        <f>SUM(G33:G48)</f>
        <v>301554</v>
      </c>
      <c r="I49" s="45"/>
      <c r="K49" s="12">
        <f>SUM(K33:K48)</f>
        <v>52492.388575679994</v>
      </c>
      <c r="M49" s="45"/>
      <c r="O49" s="12">
        <f>SUM(O33:O48)</f>
        <v>58447.513288799993</v>
      </c>
    </row>
    <row r="50" spans="1:18" ht="16.5" thickTop="1">
      <c r="I50" s="46"/>
      <c r="J50" s="47"/>
      <c r="M50" s="46"/>
      <c r="N50" s="47"/>
    </row>
    <row r="51" spans="1:18" s="246" customFormat="1">
      <c r="A51" s="245" t="s">
        <v>164</v>
      </c>
      <c r="C51" s="247"/>
      <c r="G51" s="248"/>
      <c r="I51" s="40"/>
      <c r="J51" s="3"/>
      <c r="K51" s="6"/>
      <c r="L51" s="3"/>
      <c r="M51" s="40"/>
      <c r="N51" s="3"/>
      <c r="O51" s="6"/>
      <c r="Q51" s="2"/>
      <c r="R51" s="2"/>
    </row>
    <row r="52" spans="1:18" s="246" customFormat="1">
      <c r="A52" s="239" t="s">
        <v>140</v>
      </c>
      <c r="C52" s="247">
        <v>3114</v>
      </c>
      <c r="E52" s="249"/>
      <c r="F52" s="249"/>
      <c r="G52" s="248"/>
      <c r="I52" s="40"/>
      <c r="J52" s="3"/>
      <c r="K52" s="6"/>
      <c r="L52" s="3"/>
      <c r="M52" s="40"/>
      <c r="N52" s="3"/>
      <c r="O52" s="6"/>
      <c r="Q52" s="2"/>
      <c r="R52" s="2"/>
    </row>
    <row r="53" spans="1:18" s="246" customFormat="1">
      <c r="A53" s="239" t="s">
        <v>141</v>
      </c>
      <c r="C53" s="227">
        <v>3114</v>
      </c>
      <c r="E53" s="249"/>
      <c r="F53" s="249"/>
      <c r="G53" s="248"/>
      <c r="I53" s="40"/>
      <c r="J53" s="3"/>
      <c r="K53" s="6"/>
      <c r="L53" s="3"/>
      <c r="M53" s="40"/>
      <c r="N53" s="3"/>
      <c r="O53" s="6"/>
      <c r="Q53" s="2"/>
      <c r="R53" s="2"/>
    </row>
    <row r="54" spans="1:18">
      <c r="A54" s="84" t="s">
        <v>142</v>
      </c>
      <c r="C54" s="227">
        <v>2923</v>
      </c>
      <c r="E54" s="44">
        <f>E12</f>
        <v>10</v>
      </c>
      <c r="F54" s="44"/>
      <c r="G54" s="248">
        <f t="shared" ref="G54:G55" si="8">ROUND($C54*E54,0)</f>
        <v>29230</v>
      </c>
      <c r="I54" s="14"/>
      <c r="J54" s="44"/>
      <c r="M54" s="14"/>
      <c r="N54" s="44"/>
    </row>
    <row r="55" spans="1:18">
      <c r="A55" s="84" t="s">
        <v>144</v>
      </c>
      <c r="C55" s="227">
        <v>191</v>
      </c>
      <c r="E55" s="44">
        <f>E13</f>
        <v>6</v>
      </c>
      <c r="F55" s="44"/>
      <c r="G55" s="248">
        <f t="shared" si="8"/>
        <v>1146</v>
      </c>
      <c r="I55" s="14"/>
      <c r="J55" s="44"/>
      <c r="M55" s="14"/>
      <c r="N55" s="44"/>
    </row>
    <row r="56" spans="1:18" s="246" customFormat="1">
      <c r="A56" s="239" t="s">
        <v>146</v>
      </c>
      <c r="C56" s="227">
        <v>0</v>
      </c>
      <c r="E56" s="249"/>
      <c r="F56" s="249"/>
      <c r="G56" s="248"/>
      <c r="I56" s="14"/>
      <c r="J56" s="44"/>
      <c r="K56" s="6"/>
      <c r="L56" s="3"/>
      <c r="M56" s="14"/>
      <c r="N56" s="44"/>
      <c r="O56" s="6"/>
      <c r="Q56" s="2"/>
      <c r="R56" s="2"/>
    </row>
    <row r="57" spans="1:18">
      <c r="A57" s="84" t="s">
        <v>142</v>
      </c>
      <c r="E57" s="44">
        <f t="shared" ref="E57:E60" si="9">E15</f>
        <v>20</v>
      </c>
      <c r="F57" s="44"/>
      <c r="G57" s="248">
        <f t="shared" ref="G57:G60" si="10">ROUND($C57*E57,0)</f>
        <v>0</v>
      </c>
      <c r="I57" s="14"/>
      <c r="J57" s="44"/>
      <c r="M57" s="14"/>
      <c r="N57" s="44"/>
    </row>
    <row r="58" spans="1:18">
      <c r="A58" s="84" t="s">
        <v>144</v>
      </c>
      <c r="E58" s="44">
        <f t="shared" si="9"/>
        <v>12</v>
      </c>
      <c r="F58" s="44"/>
      <c r="G58" s="248">
        <f t="shared" si="10"/>
        <v>0</v>
      </c>
      <c r="I58" s="47"/>
      <c r="J58" s="232"/>
      <c r="M58" s="47"/>
      <c r="N58" s="232"/>
    </row>
    <row r="59" spans="1:18">
      <c r="A59" s="84" t="s">
        <v>150</v>
      </c>
      <c r="C59" s="227">
        <v>0</v>
      </c>
      <c r="E59" s="44">
        <f t="shared" si="9"/>
        <v>2</v>
      </c>
      <c r="F59" s="44"/>
      <c r="G59" s="248">
        <f t="shared" si="10"/>
        <v>0</v>
      </c>
      <c r="I59" s="47"/>
      <c r="J59" s="232"/>
      <c r="M59" s="47"/>
      <c r="N59" s="232"/>
    </row>
    <row r="60" spans="1:18">
      <c r="A60" s="84" t="s">
        <v>151</v>
      </c>
      <c r="C60" s="227">
        <v>0</v>
      </c>
      <c r="E60" s="44">
        <f t="shared" si="9"/>
        <v>22</v>
      </c>
      <c r="F60" s="44"/>
      <c r="G60" s="248">
        <f t="shared" si="10"/>
        <v>0</v>
      </c>
      <c r="I60" s="47"/>
      <c r="J60" s="232"/>
      <c r="M60" s="47"/>
      <c r="N60" s="232"/>
    </row>
    <row r="61" spans="1:18" s="246" customFormat="1">
      <c r="A61" s="239" t="s">
        <v>165</v>
      </c>
      <c r="C61" s="247"/>
      <c r="E61" s="249"/>
      <c r="F61" s="249"/>
      <c r="G61" s="248"/>
      <c r="I61" s="40"/>
      <c r="J61" s="232"/>
      <c r="K61" s="6"/>
      <c r="L61" s="3"/>
      <c r="M61" s="40"/>
      <c r="N61" s="232"/>
      <c r="O61" s="6"/>
      <c r="Q61" s="2"/>
      <c r="R61" s="2"/>
    </row>
    <row r="62" spans="1:18" s="246" customFormat="1">
      <c r="A62" s="239" t="s">
        <v>166</v>
      </c>
      <c r="C62" s="227">
        <v>206699.0452160826</v>
      </c>
      <c r="E62" s="250">
        <v>21.033899999999999</v>
      </c>
      <c r="F62" s="242" t="s">
        <v>153</v>
      </c>
      <c r="G62" s="248">
        <f t="shared" ref="G62:G63" si="11">ROUND($C62*E62/100,0)</f>
        <v>43477</v>
      </c>
      <c r="I62" s="47">
        <v>0.19879865999999999</v>
      </c>
      <c r="J62" s="232"/>
      <c r="K62" s="6">
        <f t="shared" ref="K62:K63" si="12">$G62*I62</f>
        <v>8643.169340819999</v>
      </c>
      <c r="L62" s="3"/>
      <c r="M62" s="47">
        <f>M$21</f>
        <v>0.22135184999999999</v>
      </c>
      <c r="N62" s="232"/>
      <c r="O62" s="6">
        <f t="shared" ref="O62:O63" si="13">$G62*M62</f>
        <v>9623.7143824499999</v>
      </c>
      <c r="Q62" s="2"/>
      <c r="R62" s="2"/>
    </row>
    <row r="63" spans="1:18" s="246" customFormat="1">
      <c r="A63" s="239" t="s">
        <v>167</v>
      </c>
      <c r="C63" s="227">
        <v>963611</v>
      </c>
      <c r="E63" s="250">
        <v>6.4097</v>
      </c>
      <c r="F63" s="242" t="s">
        <v>153</v>
      </c>
      <c r="G63" s="248">
        <f t="shared" si="11"/>
        <v>61765</v>
      </c>
      <c r="I63" s="47">
        <v>0.19879865999999999</v>
      </c>
      <c r="J63" s="232"/>
      <c r="K63" s="6">
        <f t="shared" si="12"/>
        <v>12278.7992349</v>
      </c>
      <c r="L63" s="3"/>
      <c r="M63" s="47">
        <f>M$21</f>
        <v>0.22135184999999999</v>
      </c>
      <c r="N63" s="232"/>
      <c r="O63" s="6">
        <f t="shared" si="13"/>
        <v>13671.79701525</v>
      </c>
      <c r="Q63" s="2"/>
      <c r="R63" s="2"/>
    </row>
    <row r="64" spans="1:18" s="246" customFormat="1">
      <c r="A64" s="239" t="s">
        <v>168</v>
      </c>
      <c r="C64" s="247"/>
      <c r="E64" s="249"/>
      <c r="F64" s="249"/>
      <c r="G64" s="248"/>
      <c r="I64" s="14"/>
      <c r="J64" s="44"/>
      <c r="K64" s="6"/>
      <c r="L64" s="3"/>
      <c r="M64" s="14"/>
      <c r="N64" s="44"/>
      <c r="O64" s="6"/>
      <c r="Q64" s="2"/>
      <c r="R64" s="2"/>
    </row>
    <row r="65" spans="1:18" s="246" customFormat="1">
      <c r="A65" s="239" t="s">
        <v>166</v>
      </c>
      <c r="C65" s="227">
        <v>347186</v>
      </c>
      <c r="E65" s="250">
        <v>32.459299999999999</v>
      </c>
      <c r="F65" s="242" t="s">
        <v>153</v>
      </c>
      <c r="G65" s="248">
        <f t="shared" ref="G65:G67" si="14">ROUND($C65*E65/100,0)</f>
        <v>112694</v>
      </c>
      <c r="I65" s="47">
        <v>0.19879865999999999</v>
      </c>
      <c r="J65" s="232"/>
      <c r="K65" s="6">
        <f t="shared" ref="K65:K66" si="15">$G65*I65</f>
        <v>22403.416190039999</v>
      </c>
      <c r="L65" s="3"/>
      <c r="M65" s="47">
        <f>M$21</f>
        <v>0.22135184999999999</v>
      </c>
      <c r="N65" s="232"/>
      <c r="O65" s="6">
        <f t="shared" ref="O65:O66" si="16">$G65*M65</f>
        <v>24945.0253839</v>
      </c>
      <c r="Q65" s="2"/>
      <c r="R65" s="2"/>
    </row>
    <row r="66" spans="1:18" s="246" customFormat="1">
      <c r="A66" s="239" t="s">
        <v>167</v>
      </c>
      <c r="C66" s="227">
        <v>2130652</v>
      </c>
      <c r="E66" s="250">
        <v>3.2107999999999999</v>
      </c>
      <c r="F66" s="242" t="s">
        <v>153</v>
      </c>
      <c r="G66" s="248">
        <f t="shared" si="14"/>
        <v>68411</v>
      </c>
      <c r="I66" s="47">
        <v>0.19879865999999999</v>
      </c>
      <c r="J66" s="232"/>
      <c r="K66" s="6">
        <f t="shared" si="15"/>
        <v>13600.015129259999</v>
      </c>
      <c r="L66" s="3"/>
      <c r="M66" s="47">
        <f>M$21</f>
        <v>0.22135184999999999</v>
      </c>
      <c r="N66" s="232"/>
      <c r="O66" s="6">
        <f t="shared" si="16"/>
        <v>15142.901410349999</v>
      </c>
      <c r="Q66" s="2"/>
      <c r="R66" s="2"/>
    </row>
    <row r="67" spans="1:18" s="246" customFormat="1">
      <c r="A67" s="239" t="s">
        <v>169</v>
      </c>
      <c r="B67" s="240"/>
      <c r="C67" s="227">
        <v>0</v>
      </c>
      <c r="D67" s="240"/>
      <c r="E67" s="241">
        <f>E26</f>
        <v>11.912599999999999</v>
      </c>
      <c r="F67" s="242" t="s">
        <v>153</v>
      </c>
      <c r="G67" s="248">
        <f t="shared" si="14"/>
        <v>0</v>
      </c>
      <c r="I67" s="14"/>
      <c r="J67" s="232"/>
      <c r="K67" s="6"/>
      <c r="L67" s="3"/>
      <c r="M67" s="14"/>
      <c r="N67" s="232"/>
      <c r="O67" s="6"/>
      <c r="Q67" s="2"/>
      <c r="R67" s="2"/>
    </row>
    <row r="68" spans="1:18">
      <c r="A68" s="239" t="s">
        <v>161</v>
      </c>
      <c r="C68" s="227">
        <v>0</v>
      </c>
      <c r="E68" s="40"/>
      <c r="F68" s="10"/>
      <c r="I68" s="14"/>
      <c r="J68" s="232"/>
      <c r="M68" s="14"/>
      <c r="N68" s="232"/>
    </row>
    <row r="69" spans="1:18" s="246" customFormat="1" ht="16.5" thickBot="1">
      <c r="A69" s="239" t="s">
        <v>162</v>
      </c>
      <c r="C69" s="251">
        <v>3648148.0452160826</v>
      </c>
      <c r="E69" s="68"/>
      <c r="F69" s="3"/>
      <c r="G69" s="12">
        <f>SUM(G54:G68)</f>
        <v>316723</v>
      </c>
      <c r="I69" s="68"/>
      <c r="J69" s="232"/>
      <c r="K69" s="13">
        <f>SUM(K54:K68)</f>
        <v>56925.399895019997</v>
      </c>
      <c r="L69" s="3"/>
      <c r="M69" s="68"/>
      <c r="N69" s="232"/>
      <c r="O69" s="13">
        <f>SUM(O54:O68)</f>
        <v>63383.438191950001</v>
      </c>
      <c r="Q69" s="2"/>
      <c r="R69" s="2"/>
    </row>
    <row r="70" spans="1:18" s="246" customFormat="1" ht="16.5" thickTop="1">
      <c r="C70" s="247"/>
      <c r="G70" s="248"/>
      <c r="I70" s="14"/>
      <c r="J70" s="232"/>
      <c r="K70" s="11"/>
      <c r="L70" s="3"/>
      <c r="M70" s="14"/>
      <c r="N70" s="232"/>
      <c r="O70" s="11"/>
      <c r="Q70" s="2"/>
      <c r="R70" s="2"/>
    </row>
    <row r="71" spans="1:18">
      <c r="A71" s="228" t="s">
        <v>170</v>
      </c>
    </row>
    <row r="72" spans="1:18">
      <c r="A72" s="84" t="s">
        <v>140</v>
      </c>
      <c r="C72" s="227">
        <v>216323</v>
      </c>
      <c r="E72" s="44"/>
      <c r="F72" s="44"/>
      <c r="I72" s="47"/>
      <c r="M72" s="47"/>
    </row>
    <row r="73" spans="1:18">
      <c r="A73" s="84" t="s">
        <v>141</v>
      </c>
      <c r="C73" s="227">
        <v>216152</v>
      </c>
      <c r="E73" s="44"/>
      <c r="F73" s="44"/>
      <c r="I73" s="47"/>
      <c r="M73" s="47"/>
    </row>
    <row r="74" spans="1:18">
      <c r="A74" s="84" t="s">
        <v>142</v>
      </c>
      <c r="C74" s="227">
        <v>113309</v>
      </c>
      <c r="E74" s="44">
        <v>10</v>
      </c>
      <c r="F74" s="44"/>
      <c r="G74" s="6">
        <f>ROUND($C74*E74,0)</f>
        <v>1133090</v>
      </c>
      <c r="I74" s="14"/>
      <c r="J74" s="47"/>
      <c r="M74" s="14"/>
      <c r="N74" s="47"/>
    </row>
    <row r="75" spans="1:18">
      <c r="A75" s="84" t="s">
        <v>144</v>
      </c>
      <c r="C75" s="227">
        <v>102843</v>
      </c>
      <c r="E75" s="44">
        <v>6</v>
      </c>
      <c r="F75" s="44"/>
      <c r="G75" s="6">
        <f>ROUND($C75*E75,0)</f>
        <v>617058</v>
      </c>
      <c r="I75" s="14"/>
      <c r="J75" s="44"/>
      <c r="M75" s="14"/>
      <c r="N75" s="44"/>
    </row>
    <row r="76" spans="1:18">
      <c r="A76" s="84" t="s">
        <v>146</v>
      </c>
      <c r="C76" s="227">
        <v>171</v>
      </c>
      <c r="E76" s="44"/>
      <c r="F76" s="44"/>
      <c r="I76" s="14"/>
      <c r="J76" s="44"/>
      <c r="M76" s="14"/>
      <c r="N76" s="44"/>
    </row>
    <row r="77" spans="1:18">
      <c r="A77" s="84" t="s">
        <v>142</v>
      </c>
      <c r="C77" s="227">
        <v>27</v>
      </c>
      <c r="E77" s="44">
        <v>20</v>
      </c>
      <c r="F77" s="44"/>
      <c r="G77" s="6">
        <f t="shared" ref="G77:G80" si="17">ROUND($C77*E77,0)</f>
        <v>540</v>
      </c>
      <c r="I77" s="14"/>
      <c r="J77" s="44"/>
      <c r="M77" s="14"/>
      <c r="N77" s="44"/>
    </row>
    <row r="78" spans="1:18">
      <c r="A78" s="84" t="s">
        <v>144</v>
      </c>
      <c r="C78" s="227">
        <v>144</v>
      </c>
      <c r="E78" s="44">
        <v>12</v>
      </c>
      <c r="F78" s="44"/>
      <c r="G78" s="6">
        <f t="shared" si="17"/>
        <v>1728</v>
      </c>
      <c r="I78" s="14"/>
      <c r="J78" s="44"/>
      <c r="M78" s="14"/>
      <c r="N78" s="44"/>
    </row>
    <row r="79" spans="1:18">
      <c r="A79" s="84" t="s">
        <v>150</v>
      </c>
      <c r="C79" s="227">
        <v>0</v>
      </c>
      <c r="E79" s="44">
        <v>2</v>
      </c>
      <c r="F79" s="44"/>
      <c r="G79" s="6">
        <f t="shared" si="17"/>
        <v>0</v>
      </c>
      <c r="I79" s="47"/>
      <c r="J79" s="44"/>
      <c r="M79" s="14"/>
      <c r="N79" s="44"/>
    </row>
    <row r="80" spans="1:18">
      <c r="A80" s="84" t="s">
        <v>151</v>
      </c>
      <c r="C80" s="227">
        <v>0</v>
      </c>
      <c r="E80" s="44">
        <v>22</v>
      </c>
      <c r="F80" s="44"/>
      <c r="G80" s="6">
        <f t="shared" si="17"/>
        <v>0</v>
      </c>
      <c r="I80" s="47"/>
      <c r="J80" s="44"/>
      <c r="M80" s="14"/>
      <c r="N80" s="44"/>
    </row>
    <row r="81" spans="1:15">
      <c r="A81" s="84" t="s">
        <v>152</v>
      </c>
      <c r="C81" s="227">
        <v>5354</v>
      </c>
      <c r="E81" s="234">
        <v>4.3559999999999999</v>
      </c>
      <c r="F81" s="232" t="s">
        <v>153</v>
      </c>
      <c r="G81" s="6">
        <f>ROUND($C81*E81/100,0)</f>
        <v>233</v>
      </c>
      <c r="I81" s="14"/>
      <c r="J81" s="44"/>
      <c r="M81" s="14"/>
      <c r="N81" s="44"/>
    </row>
    <row r="82" spans="1:15">
      <c r="A82" s="84" t="s">
        <v>154</v>
      </c>
      <c r="C82" s="227">
        <v>15633</v>
      </c>
      <c r="E82" s="234">
        <v>-1.6334</v>
      </c>
      <c r="F82" s="232" t="s">
        <v>153</v>
      </c>
      <c r="G82" s="6">
        <f t="shared" ref="G82:G88" si="18">ROUND($C82*E82/100,0)</f>
        <v>-255</v>
      </c>
      <c r="I82" s="47"/>
      <c r="J82" s="44"/>
      <c r="M82" s="14"/>
      <c r="N82" s="44"/>
    </row>
    <row r="83" spans="1:15">
      <c r="A83" s="84" t="s">
        <v>155</v>
      </c>
      <c r="C83" s="227">
        <v>26384767.707057878</v>
      </c>
      <c r="E83" s="235">
        <v>9.0279000000000007</v>
      </c>
      <c r="F83" s="232" t="s">
        <v>153</v>
      </c>
      <c r="G83" s="6">
        <f t="shared" si="18"/>
        <v>2381990</v>
      </c>
      <c r="I83" s="47">
        <v>0.19879865999999999</v>
      </c>
      <c r="J83" s="232"/>
      <c r="K83" s="6">
        <f t="shared" ref="K83:K87" si="19">$G83*I83</f>
        <v>473536.42013339995</v>
      </c>
      <c r="M83" s="47">
        <f>M$21</f>
        <v>0.22135184999999999</v>
      </c>
      <c r="N83" s="232"/>
      <c r="O83" s="6">
        <f t="shared" ref="O83:O87" si="20">$G83*M83</f>
        <v>527257.89318150003</v>
      </c>
    </row>
    <row r="84" spans="1:15">
      <c r="A84" s="84" t="s">
        <v>156</v>
      </c>
      <c r="C84" s="227">
        <v>17765859</v>
      </c>
      <c r="E84" s="235">
        <v>11.721</v>
      </c>
      <c r="F84" s="232" t="s">
        <v>153</v>
      </c>
      <c r="G84" s="6">
        <f t="shared" si="18"/>
        <v>2082336</v>
      </c>
      <c r="I84" s="47">
        <v>0.19879865999999999</v>
      </c>
      <c r="J84" s="232"/>
      <c r="K84" s="6">
        <f t="shared" si="19"/>
        <v>413965.60646975995</v>
      </c>
      <c r="M84" s="47">
        <f>M$21</f>
        <v>0.22135184999999999</v>
      </c>
      <c r="N84" s="232"/>
      <c r="O84" s="6">
        <f t="shared" si="20"/>
        <v>460928.92592159996</v>
      </c>
    </row>
    <row r="85" spans="1:15">
      <c r="A85" s="84" t="s">
        <v>157</v>
      </c>
      <c r="C85" s="227">
        <v>5668613</v>
      </c>
      <c r="E85" s="235">
        <v>11.721</v>
      </c>
      <c r="F85" s="232" t="s">
        <v>153</v>
      </c>
      <c r="G85" s="6">
        <f t="shared" si="18"/>
        <v>664418</v>
      </c>
      <c r="I85" s="47">
        <v>0.19879865999999999</v>
      </c>
      <c r="J85" s="232"/>
      <c r="K85" s="6">
        <f t="shared" si="19"/>
        <v>132085.40807988</v>
      </c>
      <c r="M85" s="47">
        <f>M$21</f>
        <v>0.22135184999999999</v>
      </c>
      <c r="N85" s="232"/>
      <c r="O85" s="6">
        <f t="shared" si="20"/>
        <v>147070.15347329999</v>
      </c>
    </row>
    <row r="86" spans="1:15">
      <c r="A86" s="84" t="s">
        <v>158</v>
      </c>
      <c r="B86" s="237"/>
      <c r="C86" s="227">
        <v>51185664</v>
      </c>
      <c r="D86" s="237"/>
      <c r="E86" s="238">
        <v>7.9893000000000001</v>
      </c>
      <c r="F86" s="232" t="s">
        <v>153</v>
      </c>
      <c r="G86" s="6">
        <f t="shared" si="18"/>
        <v>4089376</v>
      </c>
      <c r="I86" s="47">
        <v>0.19879865999999999</v>
      </c>
      <c r="J86" s="232"/>
      <c r="K86" s="6">
        <f t="shared" si="19"/>
        <v>812962.46903615992</v>
      </c>
      <c r="M86" s="47">
        <f>M$21</f>
        <v>0.22135184999999999</v>
      </c>
      <c r="N86" s="232"/>
      <c r="O86" s="6">
        <f t="shared" si="20"/>
        <v>905190.94294559991</v>
      </c>
    </row>
    <row r="87" spans="1:15">
      <c r="A87" s="84" t="s">
        <v>159</v>
      </c>
      <c r="B87" s="237"/>
      <c r="C87" s="227">
        <v>32983258</v>
      </c>
      <c r="D87" s="237"/>
      <c r="E87" s="238">
        <v>10.3725</v>
      </c>
      <c r="F87" s="232" t="s">
        <v>153</v>
      </c>
      <c r="G87" s="6">
        <f t="shared" si="18"/>
        <v>3421188</v>
      </c>
      <c r="I87" s="47">
        <v>0.19879865999999999</v>
      </c>
      <c r="J87" s="232"/>
      <c r="K87" s="6">
        <f t="shared" si="19"/>
        <v>680127.59000808001</v>
      </c>
      <c r="M87" s="47">
        <f>M$21</f>
        <v>0.22135184999999999</v>
      </c>
      <c r="N87" s="232"/>
      <c r="O87" s="6">
        <f t="shared" si="20"/>
        <v>757286.29299779993</v>
      </c>
    </row>
    <row r="88" spans="1:15">
      <c r="A88" s="239" t="s">
        <v>160</v>
      </c>
      <c r="B88" s="240"/>
      <c r="C88" s="227">
        <v>108762</v>
      </c>
      <c r="D88" s="240"/>
      <c r="E88" s="241">
        <v>11.912599999999999</v>
      </c>
      <c r="F88" s="242" t="s">
        <v>153</v>
      </c>
      <c r="G88" s="6">
        <f t="shared" si="18"/>
        <v>12956</v>
      </c>
      <c r="J88" s="49"/>
      <c r="N88" s="49"/>
    </row>
    <row r="89" spans="1:15">
      <c r="A89" s="239" t="s">
        <v>161</v>
      </c>
      <c r="C89" s="227">
        <v>-3852</v>
      </c>
      <c r="E89" s="40"/>
      <c r="F89" s="10"/>
    </row>
    <row r="90" spans="1:15" ht="16.5" thickBot="1">
      <c r="A90" s="84" t="s">
        <v>162</v>
      </c>
      <c r="C90" s="243">
        <v>134093071.70705788</v>
      </c>
      <c r="E90" s="68"/>
      <c r="G90" s="12">
        <f>SUM(G74:G89)</f>
        <v>14404658</v>
      </c>
      <c r="I90" s="68"/>
      <c r="J90" s="232"/>
      <c r="K90" s="13">
        <f>SUM(K74:K89)</f>
        <v>2512677.4937272798</v>
      </c>
      <c r="M90" s="68"/>
      <c r="N90" s="232"/>
      <c r="O90" s="13">
        <f>SUM(O74:O89)</f>
        <v>2797734.2085197996</v>
      </c>
    </row>
    <row r="91" spans="1:15" ht="16.5" thickTop="1">
      <c r="I91" s="14"/>
      <c r="J91" s="44"/>
      <c r="M91" s="14"/>
      <c r="N91" s="44"/>
    </row>
    <row r="92" spans="1:15">
      <c r="A92" s="228" t="s">
        <v>171</v>
      </c>
      <c r="I92" s="14"/>
      <c r="J92" s="44"/>
      <c r="M92" s="14"/>
      <c r="N92" s="44"/>
    </row>
    <row r="93" spans="1:15">
      <c r="A93" s="84" t="s">
        <v>140</v>
      </c>
      <c r="C93" s="227">
        <v>418416</v>
      </c>
      <c r="E93" s="44"/>
      <c r="F93" s="44"/>
      <c r="I93" s="14"/>
      <c r="J93" s="44"/>
      <c r="M93" s="14"/>
      <c r="N93" s="44"/>
    </row>
    <row r="94" spans="1:15">
      <c r="A94" s="84" t="s">
        <v>141</v>
      </c>
      <c r="C94" s="227">
        <v>418038</v>
      </c>
      <c r="E94" s="44"/>
      <c r="F94" s="44"/>
      <c r="I94" s="47"/>
      <c r="J94" s="44"/>
      <c r="M94" s="14"/>
      <c r="N94" s="44"/>
    </row>
    <row r="95" spans="1:15">
      <c r="A95" s="84" t="s">
        <v>142</v>
      </c>
      <c r="C95" s="227">
        <v>405641</v>
      </c>
      <c r="E95" s="44">
        <v>10</v>
      </c>
      <c r="F95" s="44"/>
      <c r="G95" s="6">
        <f>ROUND($C95*E95,0)</f>
        <v>4056410</v>
      </c>
      <c r="I95" s="47"/>
      <c r="J95" s="44"/>
      <c r="M95" s="14"/>
      <c r="N95" s="44"/>
    </row>
    <row r="96" spans="1:15">
      <c r="A96" s="84" t="s">
        <v>144</v>
      </c>
      <c r="C96" s="227">
        <v>12397</v>
      </c>
      <c r="E96" s="44">
        <v>6</v>
      </c>
      <c r="F96" s="44"/>
      <c r="G96" s="6">
        <f>ROUND($C96*E96,0)</f>
        <v>74382</v>
      </c>
      <c r="I96" s="14"/>
      <c r="J96" s="232"/>
      <c r="M96" s="14"/>
      <c r="N96" s="232"/>
    </row>
    <row r="97" spans="1:18">
      <c r="A97" s="84" t="s">
        <v>146</v>
      </c>
      <c r="C97" s="227">
        <v>378</v>
      </c>
      <c r="E97" s="44"/>
      <c r="F97" s="44"/>
      <c r="I97" s="47"/>
      <c r="J97" s="44"/>
      <c r="M97" s="14"/>
      <c r="N97" s="44"/>
    </row>
    <row r="98" spans="1:18">
      <c r="A98" s="84" t="s">
        <v>142</v>
      </c>
      <c r="C98" s="227">
        <v>112</v>
      </c>
      <c r="E98" s="44">
        <v>20</v>
      </c>
      <c r="F98" s="44"/>
      <c r="G98" s="6">
        <f t="shared" ref="G98:G101" si="21">ROUND($C98*E98,0)</f>
        <v>2240</v>
      </c>
      <c r="I98" s="47"/>
      <c r="J98" s="44"/>
      <c r="M98" s="14"/>
      <c r="N98" s="44"/>
    </row>
    <row r="99" spans="1:18">
      <c r="A99" s="84" t="s">
        <v>144</v>
      </c>
      <c r="C99" s="227">
        <v>266</v>
      </c>
      <c r="E99" s="44">
        <v>12</v>
      </c>
      <c r="F99" s="44"/>
      <c r="G99" s="6">
        <f t="shared" si="21"/>
        <v>3192</v>
      </c>
      <c r="I99" s="14"/>
      <c r="J99" s="44"/>
      <c r="M99" s="14"/>
      <c r="N99" s="44"/>
    </row>
    <row r="100" spans="1:18">
      <c r="A100" s="84" t="s">
        <v>150</v>
      </c>
      <c r="C100" s="227">
        <v>0</v>
      </c>
      <c r="E100" s="44">
        <v>2</v>
      </c>
      <c r="F100" s="44"/>
      <c r="G100" s="6">
        <f t="shared" si="21"/>
        <v>0</v>
      </c>
    </row>
    <row r="101" spans="1:18">
      <c r="A101" s="84" t="s">
        <v>151</v>
      </c>
      <c r="C101" s="227">
        <v>14</v>
      </c>
      <c r="E101" s="44">
        <v>22</v>
      </c>
      <c r="F101" s="44"/>
      <c r="G101" s="6">
        <f t="shared" si="21"/>
        <v>308</v>
      </c>
    </row>
    <row r="102" spans="1:18">
      <c r="A102" s="84" t="s">
        <v>152</v>
      </c>
      <c r="C102" s="227">
        <v>7090</v>
      </c>
      <c r="E102" s="234">
        <v>4.3559999999999999</v>
      </c>
      <c r="F102" s="232" t="s">
        <v>153</v>
      </c>
      <c r="G102" s="6">
        <f>ROUND($C102*E102/100,0)</f>
        <v>309</v>
      </c>
    </row>
    <row r="103" spans="1:18">
      <c r="A103" s="84" t="s">
        <v>154</v>
      </c>
      <c r="C103" s="227">
        <v>44469</v>
      </c>
      <c r="E103" s="234">
        <v>-1.6334</v>
      </c>
      <c r="F103" s="232" t="s">
        <v>153</v>
      </c>
      <c r="G103" s="6">
        <f t="shared" ref="G103:G109" si="22">ROUND($C103*E103/100,0)</f>
        <v>-726</v>
      </c>
      <c r="I103" s="14"/>
      <c r="M103" s="14"/>
    </row>
    <row r="104" spans="1:18">
      <c r="A104" s="84" t="s">
        <v>155</v>
      </c>
      <c r="C104" s="227">
        <v>21966173.894598663</v>
      </c>
      <c r="E104" s="235">
        <v>9.0279000000000007</v>
      </c>
      <c r="F104" s="232" t="s">
        <v>153</v>
      </c>
      <c r="G104" s="6">
        <f t="shared" si="22"/>
        <v>1983084</v>
      </c>
      <c r="I104" s="47">
        <v>0.19879865999999999</v>
      </c>
      <c r="J104" s="232"/>
      <c r="K104" s="6">
        <f t="shared" ref="K104:K108" si="23">$G104*I104</f>
        <v>394234.44186743995</v>
      </c>
      <c r="M104" s="47">
        <f>M$21</f>
        <v>0.22135184999999999</v>
      </c>
      <c r="N104" s="232"/>
      <c r="O104" s="6">
        <f t="shared" ref="O104:O108" si="24">$G104*M104</f>
        <v>438959.31210539996</v>
      </c>
      <c r="Q104" s="3"/>
      <c r="R104" s="4"/>
    </row>
    <row r="105" spans="1:18">
      <c r="A105" s="84" t="s">
        <v>156</v>
      </c>
      <c r="C105" s="227">
        <v>14447176</v>
      </c>
      <c r="E105" s="235">
        <v>11.721</v>
      </c>
      <c r="F105" s="232" t="s">
        <v>153</v>
      </c>
      <c r="G105" s="6">
        <f t="shared" si="22"/>
        <v>1693353</v>
      </c>
      <c r="I105" s="47">
        <v>0.19879865999999999</v>
      </c>
      <c r="J105" s="232"/>
      <c r="K105" s="6">
        <f t="shared" si="23"/>
        <v>336636.30730697996</v>
      </c>
      <c r="M105" s="47">
        <f>M$21</f>
        <v>0.22135184999999999</v>
      </c>
      <c r="N105" s="232"/>
      <c r="O105" s="6">
        <f t="shared" si="24"/>
        <v>374826.81925304997</v>
      </c>
      <c r="Q105" s="3"/>
      <c r="R105" s="4"/>
    </row>
    <row r="106" spans="1:18">
      <c r="A106" s="84" t="s">
        <v>157</v>
      </c>
      <c r="C106" s="227">
        <v>7916923</v>
      </c>
      <c r="E106" s="235">
        <v>11.721</v>
      </c>
      <c r="F106" s="232" t="s">
        <v>153</v>
      </c>
      <c r="G106" s="6">
        <f t="shared" si="22"/>
        <v>927943</v>
      </c>
      <c r="I106" s="47">
        <v>0.19879865999999999</v>
      </c>
      <c r="J106" s="232"/>
      <c r="K106" s="6">
        <f t="shared" si="23"/>
        <v>184473.82495637998</v>
      </c>
      <c r="M106" s="47">
        <f>M$21</f>
        <v>0.22135184999999999</v>
      </c>
      <c r="N106" s="232"/>
      <c r="O106" s="6">
        <f t="shared" si="24"/>
        <v>205401.89974455</v>
      </c>
      <c r="Q106" s="252"/>
      <c r="R106" s="4"/>
    </row>
    <row r="107" spans="1:18">
      <c r="A107" s="84" t="s">
        <v>158</v>
      </c>
      <c r="B107" s="237"/>
      <c r="C107" s="227">
        <v>50047131</v>
      </c>
      <c r="D107" s="237"/>
      <c r="E107" s="238">
        <v>7.9893000000000001</v>
      </c>
      <c r="F107" s="232" t="s">
        <v>153</v>
      </c>
      <c r="G107" s="6">
        <f t="shared" si="22"/>
        <v>3998415</v>
      </c>
      <c r="I107" s="47">
        <v>0.19879865999999999</v>
      </c>
      <c r="J107" s="232"/>
      <c r="K107" s="6">
        <f t="shared" si="23"/>
        <v>794879.54412390001</v>
      </c>
      <c r="M107" s="47">
        <f>M$21</f>
        <v>0.22135184999999999</v>
      </c>
      <c r="N107" s="232"/>
      <c r="O107" s="6">
        <f t="shared" si="24"/>
        <v>885056.55731774995</v>
      </c>
      <c r="Q107" s="3"/>
      <c r="R107" s="253"/>
    </row>
    <row r="108" spans="1:18">
      <c r="A108" s="84" t="s">
        <v>159</v>
      </c>
      <c r="B108" s="237"/>
      <c r="C108" s="227">
        <v>47956842</v>
      </c>
      <c r="D108" s="237"/>
      <c r="E108" s="238">
        <v>10.3725</v>
      </c>
      <c r="F108" s="232" t="s">
        <v>153</v>
      </c>
      <c r="G108" s="6">
        <f t="shared" si="22"/>
        <v>4974323</v>
      </c>
      <c r="I108" s="47">
        <v>0.19879865999999999</v>
      </c>
      <c r="J108" s="232"/>
      <c r="K108" s="6">
        <f t="shared" si="23"/>
        <v>988888.74680718</v>
      </c>
      <c r="M108" s="47">
        <f>M$21</f>
        <v>0.22135184999999999</v>
      </c>
      <c r="N108" s="232"/>
      <c r="O108" s="6">
        <f t="shared" si="24"/>
        <v>1101075.5985475499</v>
      </c>
    </row>
    <row r="109" spans="1:18">
      <c r="A109" s="239" t="s">
        <v>160</v>
      </c>
      <c r="B109" s="240"/>
      <c r="C109" s="227">
        <v>0</v>
      </c>
      <c r="D109" s="240"/>
      <c r="E109" s="241">
        <v>11.912599999999999</v>
      </c>
      <c r="F109" s="242" t="s">
        <v>153</v>
      </c>
      <c r="G109" s="6">
        <f t="shared" si="22"/>
        <v>0</v>
      </c>
      <c r="I109" s="47"/>
      <c r="J109" s="232"/>
      <c r="M109" s="14"/>
      <c r="N109" s="232"/>
    </row>
    <row r="110" spans="1:18">
      <c r="A110" s="239" t="s">
        <v>161</v>
      </c>
      <c r="C110" s="227">
        <v>0</v>
      </c>
      <c r="E110" s="40"/>
      <c r="F110" s="10"/>
      <c r="I110" s="47"/>
      <c r="J110" s="232"/>
      <c r="M110" s="14"/>
      <c r="N110" s="232"/>
    </row>
    <row r="111" spans="1:18" ht="16.5" thickBot="1">
      <c r="A111" s="84" t="s">
        <v>162</v>
      </c>
      <c r="C111" s="243">
        <v>142334245.89459866</v>
      </c>
      <c r="E111" s="68"/>
      <c r="G111" s="12">
        <f>SUM(G95:G110)</f>
        <v>17713233</v>
      </c>
      <c r="I111" s="48"/>
      <c r="K111" s="13">
        <f>SUM(K95:K110)</f>
        <v>2699112.8650618796</v>
      </c>
      <c r="M111" s="48"/>
      <c r="O111" s="13">
        <f>SUM(O95:O110)</f>
        <v>3005320.1869682996</v>
      </c>
    </row>
    <row r="112" spans="1:18" ht="16.5" thickTop="1">
      <c r="K112" s="11"/>
      <c r="O112" s="11"/>
    </row>
    <row r="113" spans="1:15">
      <c r="A113" s="228" t="s">
        <v>172</v>
      </c>
    </row>
    <row r="114" spans="1:15">
      <c r="A114" s="84" t="s">
        <v>140</v>
      </c>
      <c r="C114" s="227">
        <v>307354</v>
      </c>
      <c r="E114" s="44"/>
      <c r="F114" s="44"/>
      <c r="I114" s="46"/>
      <c r="J114" s="47"/>
      <c r="M114" s="46"/>
      <c r="N114" s="47"/>
    </row>
    <row r="115" spans="1:15">
      <c r="A115" s="84" t="s">
        <v>141</v>
      </c>
      <c r="C115" s="227">
        <v>307354</v>
      </c>
      <c r="E115" s="44"/>
      <c r="F115" s="44"/>
    </row>
    <row r="116" spans="1:15">
      <c r="A116" s="84" t="s">
        <v>142</v>
      </c>
      <c r="C116" s="227">
        <v>303609</v>
      </c>
      <c r="E116" s="44">
        <v>10</v>
      </c>
      <c r="F116" s="44"/>
      <c r="G116" s="6">
        <f>ROUND($C116*E116,0)</f>
        <v>3036090</v>
      </c>
    </row>
    <row r="117" spans="1:15">
      <c r="A117" s="84" t="s">
        <v>144</v>
      </c>
      <c r="C117" s="227">
        <v>3745</v>
      </c>
      <c r="E117" s="44">
        <v>6</v>
      </c>
      <c r="F117" s="44"/>
      <c r="G117" s="6">
        <f>ROUND($C117*E117,0)</f>
        <v>22470</v>
      </c>
      <c r="I117" s="47"/>
      <c r="J117" s="44"/>
      <c r="M117" s="14"/>
      <c r="N117" s="44"/>
    </row>
    <row r="118" spans="1:15">
      <c r="A118" s="84" t="s">
        <v>146</v>
      </c>
      <c r="C118" s="227">
        <v>0</v>
      </c>
      <c r="E118" s="44"/>
      <c r="F118" s="44"/>
      <c r="I118" s="47"/>
      <c r="J118" s="44"/>
      <c r="M118" s="14"/>
      <c r="N118" s="44"/>
    </row>
    <row r="119" spans="1:15">
      <c r="A119" s="84" t="s">
        <v>142</v>
      </c>
      <c r="E119" s="44">
        <v>20</v>
      </c>
      <c r="F119" s="44"/>
      <c r="G119" s="6">
        <f t="shared" ref="G119:G122" si="25">ROUND($C119*E119,0)</f>
        <v>0</v>
      </c>
      <c r="I119" s="47"/>
      <c r="J119" s="44"/>
      <c r="M119" s="14"/>
      <c r="N119" s="44"/>
    </row>
    <row r="120" spans="1:15">
      <c r="A120" s="84" t="s">
        <v>144</v>
      </c>
      <c r="E120" s="44">
        <v>12</v>
      </c>
      <c r="F120" s="44"/>
      <c r="G120" s="6">
        <f t="shared" si="25"/>
        <v>0</v>
      </c>
      <c r="I120" s="47"/>
      <c r="J120" s="44"/>
      <c r="M120" s="14"/>
      <c r="N120" s="44"/>
    </row>
    <row r="121" spans="1:15">
      <c r="A121" s="84" t="s">
        <v>150</v>
      </c>
      <c r="C121" s="227">
        <v>1646</v>
      </c>
      <c r="E121" s="44">
        <v>2</v>
      </c>
      <c r="F121" s="44"/>
      <c r="G121" s="6">
        <f t="shared" si="25"/>
        <v>3292</v>
      </c>
      <c r="I121" s="14"/>
      <c r="J121" s="44"/>
      <c r="M121" s="14"/>
      <c r="N121" s="44"/>
    </row>
    <row r="122" spans="1:15">
      <c r="A122" s="84" t="s">
        <v>151</v>
      </c>
      <c r="C122" s="227">
        <v>0</v>
      </c>
      <c r="E122" s="44">
        <v>22</v>
      </c>
      <c r="F122" s="44"/>
      <c r="G122" s="6">
        <f t="shared" si="25"/>
        <v>0</v>
      </c>
      <c r="I122" s="47"/>
      <c r="J122" s="44"/>
      <c r="M122" s="14"/>
      <c r="N122" s="44"/>
    </row>
    <row r="123" spans="1:15">
      <c r="A123" s="84" t="s">
        <v>152</v>
      </c>
      <c r="C123" s="227">
        <v>5690</v>
      </c>
      <c r="E123" s="234">
        <v>4.3559999999999999</v>
      </c>
      <c r="F123" s="232" t="s">
        <v>153</v>
      </c>
      <c r="G123" s="6">
        <f>ROUND($C123*E123/100,0)</f>
        <v>248</v>
      </c>
      <c r="I123" s="47"/>
      <c r="J123" s="44"/>
      <c r="M123" s="14"/>
      <c r="N123" s="44"/>
    </row>
    <row r="124" spans="1:15">
      <c r="A124" s="84" t="s">
        <v>154</v>
      </c>
      <c r="C124" s="227">
        <v>35358</v>
      </c>
      <c r="E124" s="234">
        <v>-1.6334</v>
      </c>
      <c r="F124" s="232" t="s">
        <v>153</v>
      </c>
      <c r="G124" s="6">
        <f t="shared" ref="G124:G130" si="26">ROUND($C124*E124/100,0)</f>
        <v>-578</v>
      </c>
      <c r="I124" s="47"/>
      <c r="J124" s="44"/>
      <c r="M124" s="14"/>
      <c r="N124" s="44"/>
    </row>
    <row r="125" spans="1:15">
      <c r="A125" s="84" t="s">
        <v>155</v>
      </c>
      <c r="C125" s="227">
        <v>38703048.189910412</v>
      </c>
      <c r="E125" s="235">
        <v>9.0279000000000007</v>
      </c>
      <c r="F125" s="232" t="s">
        <v>153</v>
      </c>
      <c r="G125" s="6">
        <f t="shared" si="26"/>
        <v>3494072</v>
      </c>
      <c r="I125" s="47">
        <v>0.19879865999999999</v>
      </c>
      <c r="J125" s="232"/>
      <c r="K125" s="6">
        <f t="shared" ref="K125:K129" si="27">$G125*I125</f>
        <v>694616.83154351998</v>
      </c>
      <c r="M125" s="47">
        <f>M$21</f>
        <v>0.22135184999999999</v>
      </c>
      <c r="N125" s="232"/>
      <c r="O125" s="6">
        <f t="shared" ref="O125:O129" si="28">$G125*M125</f>
        <v>773419.30123320001</v>
      </c>
    </row>
    <row r="126" spans="1:15">
      <c r="A126" s="84" t="s">
        <v>156</v>
      </c>
      <c r="C126" s="227">
        <v>26842157</v>
      </c>
      <c r="E126" s="235">
        <v>11.721</v>
      </c>
      <c r="F126" s="232" t="s">
        <v>153</v>
      </c>
      <c r="G126" s="6">
        <f t="shared" si="26"/>
        <v>3146169</v>
      </c>
      <c r="I126" s="47">
        <v>0.19879865999999999</v>
      </c>
      <c r="J126" s="232"/>
      <c r="K126" s="6">
        <f t="shared" si="27"/>
        <v>625454.18133354001</v>
      </c>
      <c r="M126" s="47">
        <f>M$21</f>
        <v>0.22135184999999999</v>
      </c>
      <c r="N126" s="232"/>
      <c r="O126" s="6">
        <f t="shared" si="28"/>
        <v>696410.32856265001</v>
      </c>
    </row>
    <row r="127" spans="1:15">
      <c r="A127" s="84" t="s">
        <v>157</v>
      </c>
      <c r="C127" s="227">
        <v>7600557</v>
      </c>
      <c r="E127" s="235">
        <v>11.721</v>
      </c>
      <c r="F127" s="232" t="s">
        <v>153</v>
      </c>
      <c r="G127" s="6">
        <f t="shared" si="26"/>
        <v>890861</v>
      </c>
      <c r="I127" s="47">
        <v>0.19879865999999999</v>
      </c>
      <c r="J127" s="232"/>
      <c r="K127" s="6">
        <f t="shared" si="27"/>
        <v>177101.97304625998</v>
      </c>
      <c r="M127" s="47">
        <f>M$21</f>
        <v>0.22135184999999999</v>
      </c>
      <c r="N127" s="232"/>
      <c r="O127" s="6">
        <f t="shared" si="28"/>
        <v>197193.73044284998</v>
      </c>
    </row>
    <row r="128" spans="1:15">
      <c r="A128" s="84" t="s">
        <v>158</v>
      </c>
      <c r="B128" s="237"/>
      <c r="C128" s="227">
        <v>68555364</v>
      </c>
      <c r="D128" s="237"/>
      <c r="E128" s="238">
        <v>7.9893000000000001</v>
      </c>
      <c r="F128" s="232" t="s">
        <v>153</v>
      </c>
      <c r="G128" s="6">
        <f t="shared" si="26"/>
        <v>5477094</v>
      </c>
      <c r="I128" s="47">
        <v>0.19879865999999999</v>
      </c>
      <c r="J128" s="232"/>
      <c r="K128" s="6">
        <f t="shared" si="27"/>
        <v>1088838.94789404</v>
      </c>
      <c r="M128" s="47">
        <f>M$21</f>
        <v>0.22135184999999999</v>
      </c>
      <c r="N128" s="232"/>
      <c r="O128" s="6">
        <f t="shared" si="28"/>
        <v>1212364.8895238999</v>
      </c>
    </row>
    <row r="129" spans="1:18">
      <c r="A129" s="84" t="s">
        <v>159</v>
      </c>
      <c r="B129" s="237"/>
      <c r="C129" s="227">
        <v>51108843</v>
      </c>
      <c r="D129" s="237"/>
      <c r="E129" s="238">
        <v>10.3725</v>
      </c>
      <c r="F129" s="232" t="s">
        <v>153</v>
      </c>
      <c r="G129" s="6">
        <f t="shared" si="26"/>
        <v>5301265</v>
      </c>
      <c r="I129" s="47">
        <v>0.19879865999999999</v>
      </c>
      <c r="J129" s="232"/>
      <c r="K129" s="6">
        <f t="shared" si="27"/>
        <v>1053884.3783048999</v>
      </c>
      <c r="M129" s="47">
        <f>M$21</f>
        <v>0.22135184999999999</v>
      </c>
      <c r="N129" s="232"/>
      <c r="O129" s="6">
        <f t="shared" si="28"/>
        <v>1173444.81509025</v>
      </c>
    </row>
    <row r="130" spans="1:18">
      <c r="A130" s="239" t="s">
        <v>160</v>
      </c>
      <c r="B130" s="240"/>
      <c r="C130" s="227">
        <v>0</v>
      </c>
      <c r="D130" s="240"/>
      <c r="E130" s="241">
        <v>11.912599999999999</v>
      </c>
      <c r="F130" s="232" t="s">
        <v>153</v>
      </c>
      <c r="G130" s="6">
        <f t="shared" si="26"/>
        <v>0</v>
      </c>
      <c r="I130" s="47"/>
      <c r="J130" s="44"/>
      <c r="M130" s="14"/>
      <c r="N130" s="44"/>
    </row>
    <row r="131" spans="1:18">
      <c r="A131" s="239" t="s">
        <v>161</v>
      </c>
      <c r="C131" s="227">
        <v>0</v>
      </c>
      <c r="E131" s="40"/>
      <c r="F131" s="10"/>
      <c r="I131" s="47"/>
      <c r="J131" s="44"/>
      <c r="M131" s="14"/>
      <c r="N131" s="44"/>
    </row>
    <row r="132" spans="1:18" ht="16.5" thickBot="1">
      <c r="A132" s="84" t="s">
        <v>162</v>
      </c>
      <c r="C132" s="243">
        <v>192809969.18991041</v>
      </c>
      <c r="E132" s="68"/>
      <c r="G132" s="12">
        <f>SUM(G116:G131)</f>
        <v>21370983</v>
      </c>
      <c r="I132" s="45"/>
      <c r="K132" s="12">
        <f>SUM(K116:K131)</f>
        <v>3639896.3121222602</v>
      </c>
      <c r="L132" s="10"/>
      <c r="M132" s="45"/>
      <c r="O132" s="12">
        <f>SUM(O116:O131)</f>
        <v>4052833.0648528496</v>
      </c>
    </row>
    <row r="133" spans="1:18" ht="16.5" thickTop="1"/>
    <row r="134" spans="1:18">
      <c r="A134" s="228" t="s">
        <v>173</v>
      </c>
      <c r="I134" s="47"/>
      <c r="J134" s="44"/>
      <c r="M134" s="14"/>
      <c r="N134" s="44"/>
      <c r="Q134" s="65"/>
      <c r="R134" s="65"/>
    </row>
    <row r="135" spans="1:18">
      <c r="A135" s="84" t="s">
        <v>174</v>
      </c>
      <c r="C135" s="227">
        <v>157116</v>
      </c>
      <c r="E135" s="44">
        <v>53</v>
      </c>
      <c r="F135" s="44"/>
      <c r="G135" s="6">
        <v>8327148</v>
      </c>
      <c r="J135" s="10"/>
      <c r="N135" s="10"/>
      <c r="Q135" s="32" t="s">
        <v>100</v>
      </c>
      <c r="R135" s="254"/>
    </row>
    <row r="136" spans="1:18">
      <c r="A136" s="84" t="s">
        <v>175</v>
      </c>
      <c r="C136" s="227">
        <v>0</v>
      </c>
      <c r="E136" s="44">
        <v>636</v>
      </c>
      <c r="F136" s="44"/>
      <c r="G136" s="6">
        <v>0</v>
      </c>
      <c r="I136" s="47"/>
      <c r="J136" s="44"/>
      <c r="M136" s="14"/>
      <c r="N136" s="44"/>
      <c r="Q136" s="255" t="s">
        <v>145</v>
      </c>
      <c r="R136" s="7">
        <f>SUM(O146,O158,O170,O181,O195-O207,O221-O232,O246-O257,O271-O281)</f>
        <v>119723263.78886871</v>
      </c>
    </row>
    <row r="137" spans="1:18">
      <c r="A137" s="84" t="s">
        <v>176</v>
      </c>
      <c r="C137" s="227">
        <v>14</v>
      </c>
      <c r="E137" s="44">
        <v>53</v>
      </c>
      <c r="F137" s="10"/>
      <c r="G137" s="6">
        <v>742</v>
      </c>
      <c r="I137" s="47"/>
      <c r="J137" s="44"/>
      <c r="M137" s="14"/>
      <c r="N137" s="44"/>
      <c r="Q137" s="230" t="s">
        <v>147</v>
      </c>
      <c r="R137" s="8">
        <f>('Exhibit-RMP(RMM-1) page 2'!K20)*1000</f>
        <v>119723265.4601467</v>
      </c>
    </row>
    <row r="138" spans="1:18">
      <c r="A138" s="84" t="s">
        <v>177</v>
      </c>
      <c r="C138" s="227">
        <v>15576842</v>
      </c>
      <c r="E138" s="44">
        <v>3.99</v>
      </c>
      <c r="F138" s="44"/>
      <c r="G138" s="6">
        <v>62151600</v>
      </c>
      <c r="I138" s="47"/>
      <c r="J138" s="44"/>
      <c r="M138" s="14"/>
      <c r="N138" s="44"/>
      <c r="Q138" s="231" t="s">
        <v>148</v>
      </c>
      <c r="R138" s="9">
        <f>R137-R136</f>
        <v>1.6712779849767685</v>
      </c>
    </row>
    <row r="139" spans="1:18">
      <c r="A139" s="84" t="s">
        <v>178</v>
      </c>
      <c r="C139" s="227">
        <v>6921590</v>
      </c>
      <c r="E139" s="10">
        <v>13.27</v>
      </c>
      <c r="F139" s="10"/>
      <c r="G139" s="6">
        <v>91849499</v>
      </c>
      <c r="I139" s="236">
        <v>0.26373608999999998</v>
      </c>
      <c r="J139" s="44"/>
      <c r="K139" s="6">
        <f t="shared" ref="K139:K142" si="29">$G139*I139</f>
        <v>24224027.734718908</v>
      </c>
      <c r="M139" s="202">
        <f>R139</f>
        <v>0.29365625000000001</v>
      </c>
      <c r="N139" s="44"/>
      <c r="O139" s="6">
        <f t="shared" ref="O139:O142" si="30">$G139*M139</f>
        <v>26972179.440718751</v>
      </c>
      <c r="Q139" s="31" t="s">
        <v>149</v>
      </c>
      <c r="R139" s="233">
        <f>ROUND(R137/SUM(G139:G142,G153:G156,G165:G168,G176:G179)*R140,$R$9)</f>
        <v>0.29365625000000001</v>
      </c>
    </row>
    <row r="140" spans="1:18">
      <c r="A140" s="84" t="s">
        <v>179</v>
      </c>
      <c r="C140" s="227">
        <v>8655252</v>
      </c>
      <c r="E140" s="10">
        <v>11.74</v>
      </c>
      <c r="F140" s="10"/>
      <c r="G140" s="6">
        <v>101612658</v>
      </c>
      <c r="I140" s="47">
        <v>0.26373608999999998</v>
      </c>
      <c r="J140" s="44"/>
      <c r="K140" s="6">
        <f t="shared" si="29"/>
        <v>26798925.115427218</v>
      </c>
      <c r="M140" s="47">
        <f>M$139</f>
        <v>0.29365625000000001</v>
      </c>
      <c r="N140" s="44"/>
      <c r="O140" s="6">
        <f t="shared" si="30"/>
        <v>29839192.100812502</v>
      </c>
      <c r="Q140" s="15" t="s">
        <v>75</v>
      </c>
      <c r="R140" s="16">
        <v>1.00489962</v>
      </c>
    </row>
    <row r="141" spans="1:18">
      <c r="A141" s="84" t="s">
        <v>180</v>
      </c>
      <c r="C141" s="227">
        <v>2063156225.1889281</v>
      </c>
      <c r="E141" s="49">
        <v>3.8877999999999999</v>
      </c>
      <c r="F141" s="232" t="s">
        <v>153</v>
      </c>
      <c r="G141" s="6">
        <v>80211388</v>
      </c>
      <c r="I141" s="47">
        <v>0.26373608999999998</v>
      </c>
      <c r="J141" s="44"/>
      <c r="K141" s="6">
        <f t="shared" si="29"/>
        <v>21154637.844592918</v>
      </c>
      <c r="M141" s="47">
        <f t="shared" ref="M141:M142" si="31">M$139</f>
        <v>0.29365625000000001</v>
      </c>
      <c r="N141" s="44"/>
      <c r="O141" s="6">
        <f t="shared" si="30"/>
        <v>23554575.407375</v>
      </c>
      <c r="Q141" s="256" t="s">
        <v>181</v>
      </c>
      <c r="R141" s="257"/>
    </row>
    <row r="142" spans="1:18">
      <c r="A142" s="84" t="s">
        <v>182</v>
      </c>
      <c r="C142" s="227">
        <v>3526754594</v>
      </c>
      <c r="E142" s="49">
        <v>3.4405000000000001</v>
      </c>
      <c r="F142" s="232" t="s">
        <v>153</v>
      </c>
      <c r="G142" s="6">
        <v>121337992</v>
      </c>
      <c r="I142" s="47">
        <v>0.26373608999999998</v>
      </c>
      <c r="J142" s="44"/>
      <c r="K142" s="6">
        <f t="shared" si="29"/>
        <v>32001207.578531276</v>
      </c>
      <c r="M142" s="47">
        <f t="shared" si="31"/>
        <v>0.29365625000000001</v>
      </c>
      <c r="N142" s="44"/>
      <c r="O142" s="6">
        <f t="shared" si="30"/>
        <v>35631659.713250004</v>
      </c>
    </row>
    <row r="143" spans="1:18">
      <c r="A143" s="84" t="s">
        <v>183</v>
      </c>
      <c r="C143" s="227">
        <v>569738</v>
      </c>
      <c r="E143" s="44">
        <v>-0.96</v>
      </c>
      <c r="F143" s="44"/>
      <c r="G143" s="6">
        <v>-546948</v>
      </c>
      <c r="I143" s="47"/>
      <c r="J143" s="44"/>
      <c r="M143" s="14"/>
      <c r="N143" s="44"/>
      <c r="Q143" s="65"/>
      <c r="R143" s="65"/>
    </row>
    <row r="144" spans="1:18">
      <c r="A144" s="239" t="s">
        <v>160</v>
      </c>
      <c r="C144" s="227">
        <v>1977670</v>
      </c>
      <c r="E144" s="49">
        <v>7.125</v>
      </c>
      <c r="F144" s="232" t="s">
        <v>153</v>
      </c>
      <c r="G144" s="6">
        <v>140909</v>
      </c>
      <c r="I144" s="47"/>
      <c r="J144" s="44"/>
      <c r="M144" s="14"/>
      <c r="N144" s="44"/>
      <c r="Q144" s="65"/>
      <c r="R144" s="65"/>
    </row>
    <row r="145" spans="1:18">
      <c r="A145" s="239" t="s">
        <v>161</v>
      </c>
      <c r="C145" s="227">
        <v>25489</v>
      </c>
      <c r="E145" s="40"/>
      <c r="F145" s="10"/>
      <c r="I145" s="47"/>
      <c r="J145" s="44"/>
      <c r="M145" s="14"/>
      <c r="N145" s="44"/>
      <c r="Q145" s="65"/>
      <c r="R145" s="65"/>
    </row>
    <row r="146" spans="1:18" ht="16.5" thickBot="1">
      <c r="A146" s="84" t="s">
        <v>162</v>
      </c>
      <c r="C146" s="258">
        <v>5591913978.1889286</v>
      </c>
      <c r="E146" s="68"/>
      <c r="G146" s="12">
        <v>465084988</v>
      </c>
      <c r="I146" s="48"/>
      <c r="K146" s="13">
        <f>SUM(K135:K145)</f>
        <v>104178798.27327032</v>
      </c>
      <c r="M146" s="48"/>
      <c r="O146" s="13">
        <f>SUM(O135:O145)</f>
        <v>115997606.66215625</v>
      </c>
      <c r="Q146" s="65"/>
      <c r="R146" s="65"/>
    </row>
    <row r="147" spans="1:18" ht="16.5" thickTop="1">
      <c r="I147" s="14"/>
      <c r="J147" s="44"/>
      <c r="M147" s="14"/>
      <c r="N147" s="44"/>
      <c r="Q147" s="65"/>
      <c r="R147" s="65"/>
    </row>
    <row r="148" spans="1:18">
      <c r="A148" s="228" t="s">
        <v>184</v>
      </c>
      <c r="I148" s="47"/>
      <c r="J148" s="44"/>
      <c r="M148" s="14"/>
      <c r="N148" s="44"/>
      <c r="Q148" s="65"/>
      <c r="R148" s="65"/>
    </row>
    <row r="149" spans="1:18">
      <c r="A149" s="84" t="s">
        <v>174</v>
      </c>
      <c r="C149" s="227">
        <v>4434</v>
      </c>
      <c r="E149" s="44">
        <v>53</v>
      </c>
      <c r="F149" s="44"/>
      <c r="G149" s="6">
        <v>235002</v>
      </c>
      <c r="I149" s="47"/>
      <c r="J149" s="44"/>
      <c r="M149" s="14"/>
      <c r="N149" s="44"/>
      <c r="Q149" s="65"/>
      <c r="R149" s="65"/>
    </row>
    <row r="150" spans="1:18">
      <c r="A150" s="84" t="s">
        <v>175</v>
      </c>
      <c r="C150" s="227">
        <v>0</v>
      </c>
      <c r="E150" s="44">
        <v>636</v>
      </c>
      <c r="F150" s="44"/>
      <c r="G150" s="6">
        <v>0</v>
      </c>
      <c r="I150" s="47"/>
      <c r="J150" s="44"/>
      <c r="M150" s="14"/>
      <c r="N150" s="44"/>
      <c r="Q150" s="65"/>
      <c r="R150" s="65"/>
    </row>
    <row r="151" spans="1:18">
      <c r="A151" s="84" t="s">
        <v>176</v>
      </c>
      <c r="C151" s="227">
        <v>0</v>
      </c>
      <c r="E151" s="10">
        <v>53</v>
      </c>
      <c r="F151" s="10"/>
      <c r="G151" s="6">
        <v>0</v>
      </c>
      <c r="I151" s="47"/>
      <c r="J151" s="44"/>
      <c r="M151" s="14"/>
      <c r="N151" s="44"/>
      <c r="Q151" s="65"/>
      <c r="R151" s="65"/>
    </row>
    <row r="152" spans="1:18">
      <c r="A152" s="84" t="s">
        <v>177</v>
      </c>
      <c r="C152" s="227">
        <v>505379</v>
      </c>
      <c r="E152" s="44">
        <v>3.99</v>
      </c>
      <c r="F152" s="44"/>
      <c r="G152" s="6">
        <v>2016462</v>
      </c>
      <c r="I152" s="47"/>
      <c r="J152" s="44"/>
      <c r="M152" s="14"/>
      <c r="N152" s="44"/>
      <c r="Q152" s="65"/>
      <c r="R152" s="65"/>
    </row>
    <row r="153" spans="1:18">
      <c r="A153" s="84" t="s">
        <v>178</v>
      </c>
      <c r="C153" s="227">
        <v>206980</v>
      </c>
      <c r="E153" s="10">
        <v>13.27</v>
      </c>
      <c r="F153" s="10"/>
      <c r="G153" s="6">
        <v>2746625</v>
      </c>
      <c r="I153" s="47">
        <v>0.26373608999999998</v>
      </c>
      <c r="J153" s="44"/>
      <c r="K153" s="6">
        <f t="shared" ref="K153:K156" si="32">$G153*I153</f>
        <v>724384.13819624996</v>
      </c>
      <c r="M153" s="47">
        <f t="shared" ref="M153:M156" si="33">M$139</f>
        <v>0.29365625000000001</v>
      </c>
      <c r="N153" s="44"/>
      <c r="O153" s="6">
        <f t="shared" ref="O153:O156" si="34">$G153*M153</f>
        <v>806563.59765625</v>
      </c>
      <c r="Q153" s="65"/>
      <c r="R153" s="65"/>
    </row>
    <row r="154" spans="1:18">
      <c r="A154" s="84" t="s">
        <v>179</v>
      </c>
      <c r="C154" s="227">
        <v>298398</v>
      </c>
      <c r="E154" s="10">
        <v>11.74</v>
      </c>
      <c r="F154" s="10"/>
      <c r="G154" s="6">
        <v>3503193</v>
      </c>
      <c r="I154" s="47">
        <v>0.26373608999999998</v>
      </c>
      <c r="J154" s="44"/>
      <c r="K154" s="6">
        <f t="shared" si="32"/>
        <v>923918.42433536996</v>
      </c>
      <c r="M154" s="47">
        <f t="shared" si="33"/>
        <v>0.29365625000000001</v>
      </c>
      <c r="N154" s="44"/>
      <c r="O154" s="6">
        <f t="shared" si="34"/>
        <v>1028734.51940625</v>
      </c>
      <c r="Q154" s="65"/>
      <c r="R154" s="65"/>
    </row>
    <row r="155" spans="1:18">
      <c r="A155" s="84" t="s">
        <v>180</v>
      </c>
      <c r="C155" s="227">
        <v>60590665.781530641</v>
      </c>
      <c r="E155" s="49">
        <v>3.8877999999999999</v>
      </c>
      <c r="F155" s="232" t="s">
        <v>153</v>
      </c>
      <c r="G155" s="6">
        <v>2355644</v>
      </c>
      <c r="I155" s="47">
        <v>0.26373608999999998</v>
      </c>
      <c r="J155" s="44"/>
      <c r="K155" s="6">
        <f t="shared" si="32"/>
        <v>621268.33799196</v>
      </c>
      <c r="M155" s="47">
        <f t="shared" si="33"/>
        <v>0.29365625000000001</v>
      </c>
      <c r="N155" s="44"/>
      <c r="O155" s="6">
        <f t="shared" si="34"/>
        <v>691749.58337500005</v>
      </c>
      <c r="Q155" s="65"/>
      <c r="R155" s="65"/>
    </row>
    <row r="156" spans="1:18">
      <c r="A156" s="84" t="s">
        <v>182</v>
      </c>
      <c r="C156" s="227">
        <v>109661557.70953687</v>
      </c>
      <c r="E156" s="49">
        <v>3.4405000000000001</v>
      </c>
      <c r="F156" s="232" t="s">
        <v>153</v>
      </c>
      <c r="G156" s="6">
        <v>3772906</v>
      </c>
      <c r="I156" s="47">
        <v>0.26373608999999998</v>
      </c>
      <c r="J156" s="44"/>
      <c r="K156" s="6">
        <f t="shared" si="32"/>
        <v>995051.47637753992</v>
      </c>
      <c r="M156" s="47">
        <f t="shared" si="33"/>
        <v>0.29365625000000001</v>
      </c>
      <c r="N156" s="44"/>
      <c r="O156" s="6">
        <f t="shared" si="34"/>
        <v>1107937.4275625001</v>
      </c>
      <c r="Q156" s="65"/>
      <c r="R156" s="65"/>
    </row>
    <row r="157" spans="1:18">
      <c r="A157" s="84" t="s">
        <v>183</v>
      </c>
      <c r="C157" s="227">
        <v>26614</v>
      </c>
      <c r="E157" s="44">
        <v>-0.96</v>
      </c>
      <c r="F157" s="44"/>
      <c r="G157" s="6">
        <v>-25549</v>
      </c>
      <c r="I157" s="47"/>
      <c r="J157" s="44"/>
      <c r="M157" s="14"/>
      <c r="N157" s="44"/>
      <c r="Q157" s="65"/>
      <c r="R157" s="65"/>
    </row>
    <row r="158" spans="1:18" ht="16.5" thickBot="1">
      <c r="A158" s="84" t="s">
        <v>162</v>
      </c>
      <c r="C158" s="258">
        <v>170252223.49106753</v>
      </c>
      <c r="E158" s="68"/>
      <c r="G158" s="13">
        <v>14604283</v>
      </c>
      <c r="I158" s="48"/>
      <c r="K158" s="13">
        <f>SUM(K149:K157)</f>
        <v>3264622.3769011195</v>
      </c>
      <c r="M158" s="48"/>
      <c r="O158" s="13">
        <f>SUM(O149:O157)</f>
        <v>3634985.1280000005</v>
      </c>
      <c r="Q158" s="65"/>
      <c r="R158" s="65"/>
    </row>
    <row r="159" spans="1:18" ht="16.5" thickTop="1">
      <c r="I159" s="47"/>
      <c r="J159" s="44"/>
      <c r="M159" s="14"/>
      <c r="N159" s="44"/>
      <c r="Q159" s="65"/>
      <c r="R159" s="65"/>
    </row>
    <row r="160" spans="1:18">
      <c r="A160" s="228" t="s">
        <v>185</v>
      </c>
      <c r="I160" s="14"/>
      <c r="J160" s="44"/>
      <c r="M160" s="14"/>
      <c r="N160" s="44"/>
      <c r="Q160" s="65"/>
      <c r="R160" s="65"/>
    </row>
    <row r="161" spans="1:18">
      <c r="A161" s="84" t="s">
        <v>174</v>
      </c>
      <c r="C161" s="227">
        <v>611</v>
      </c>
      <c r="E161" s="10">
        <v>53</v>
      </c>
      <c r="F161" s="10"/>
      <c r="G161" s="6">
        <v>32383</v>
      </c>
      <c r="I161" s="47"/>
      <c r="J161" s="44"/>
      <c r="M161" s="14"/>
      <c r="N161" s="44"/>
      <c r="Q161" s="65"/>
      <c r="R161" s="65"/>
    </row>
    <row r="162" spans="1:18">
      <c r="A162" s="84" t="s">
        <v>175</v>
      </c>
      <c r="C162" s="227">
        <v>0</v>
      </c>
      <c r="E162" s="10">
        <v>636</v>
      </c>
      <c r="F162" s="10"/>
      <c r="G162" s="6">
        <v>0</v>
      </c>
      <c r="I162" s="47"/>
      <c r="J162" s="44"/>
      <c r="M162" s="14"/>
      <c r="N162" s="44"/>
      <c r="Q162" s="65"/>
      <c r="R162" s="65"/>
    </row>
    <row r="163" spans="1:18">
      <c r="A163" s="84" t="s">
        <v>150</v>
      </c>
      <c r="C163" s="227">
        <v>59</v>
      </c>
      <c r="E163" s="10">
        <v>2</v>
      </c>
      <c r="F163" s="10"/>
      <c r="G163" s="6">
        <v>118</v>
      </c>
      <c r="I163" s="47"/>
      <c r="J163" s="44"/>
      <c r="M163" s="14"/>
      <c r="N163" s="44"/>
      <c r="Q163" s="65"/>
      <c r="R163" s="65"/>
    </row>
    <row r="164" spans="1:18">
      <c r="A164" s="84" t="s">
        <v>177</v>
      </c>
      <c r="C164" s="227">
        <v>94165</v>
      </c>
      <c r="E164" s="10">
        <v>3.99</v>
      </c>
      <c r="F164" s="10"/>
      <c r="G164" s="6">
        <v>375718</v>
      </c>
      <c r="I164" s="47"/>
      <c r="J164" s="44"/>
      <c r="M164" s="14"/>
      <c r="N164" s="44"/>
      <c r="Q164" s="65"/>
      <c r="R164" s="65"/>
    </row>
    <row r="165" spans="1:18">
      <c r="A165" s="84" t="s">
        <v>178</v>
      </c>
      <c r="C165" s="227">
        <v>40576</v>
      </c>
      <c r="E165" s="10">
        <v>13.27</v>
      </c>
      <c r="F165" s="10"/>
      <c r="G165" s="6">
        <v>538444</v>
      </c>
      <c r="I165" s="47">
        <v>0.26373608999999998</v>
      </c>
      <c r="J165" s="44"/>
      <c r="K165" s="6">
        <f t="shared" ref="K165:K168" si="35">$G165*I165</f>
        <v>142007.11524396</v>
      </c>
      <c r="M165" s="47">
        <f t="shared" ref="M165:M168" si="36">M$139</f>
        <v>0.29365625000000001</v>
      </c>
      <c r="N165" s="44"/>
      <c r="O165" s="6">
        <f t="shared" ref="O165:O168" si="37">$G165*M165</f>
        <v>158117.445875</v>
      </c>
      <c r="Q165" s="65"/>
      <c r="R165" s="65"/>
    </row>
    <row r="166" spans="1:18">
      <c r="A166" s="84" t="s">
        <v>179</v>
      </c>
      <c r="C166" s="227">
        <v>53589</v>
      </c>
      <c r="E166" s="10">
        <v>11.74</v>
      </c>
      <c r="F166" s="10"/>
      <c r="G166" s="6">
        <v>629135</v>
      </c>
      <c r="I166" s="47">
        <v>0.26373608999999998</v>
      </c>
      <c r="J166" s="44"/>
      <c r="K166" s="6">
        <f t="shared" si="35"/>
        <v>165925.60498214999</v>
      </c>
      <c r="M166" s="47">
        <f t="shared" si="36"/>
        <v>0.29365625000000001</v>
      </c>
      <c r="N166" s="44"/>
      <c r="O166" s="6">
        <f t="shared" si="37"/>
        <v>184749.42484374999</v>
      </c>
      <c r="Q166" s="65"/>
      <c r="R166" s="65"/>
    </row>
    <row r="167" spans="1:18">
      <c r="A167" s="84" t="s">
        <v>180</v>
      </c>
      <c r="C167" s="227">
        <v>8593598.8227068186</v>
      </c>
      <c r="E167" s="49">
        <v>3.8877999999999999</v>
      </c>
      <c r="F167" s="232" t="s">
        <v>153</v>
      </c>
      <c r="G167" s="6">
        <v>334102</v>
      </c>
      <c r="I167" s="47">
        <v>0.26373608999999998</v>
      </c>
      <c r="J167" s="44"/>
      <c r="K167" s="6">
        <f t="shared" si="35"/>
        <v>88114.755141179994</v>
      </c>
      <c r="M167" s="47">
        <f t="shared" si="36"/>
        <v>0.29365625000000001</v>
      </c>
      <c r="N167" s="44"/>
      <c r="O167" s="6">
        <f t="shared" si="37"/>
        <v>98111.140437499998</v>
      </c>
      <c r="Q167" s="65"/>
      <c r="R167" s="65"/>
    </row>
    <row r="168" spans="1:18">
      <c r="A168" s="84" t="s">
        <v>182</v>
      </c>
      <c r="C168" s="227">
        <v>15566357.794983968</v>
      </c>
      <c r="E168" s="49">
        <v>3.4405000000000001</v>
      </c>
      <c r="F168" s="232" t="s">
        <v>153</v>
      </c>
      <c r="G168" s="6">
        <v>535561</v>
      </c>
      <c r="I168" s="47">
        <v>0.26373608999999998</v>
      </c>
      <c r="J168" s="44"/>
      <c r="K168" s="6">
        <f t="shared" si="35"/>
        <v>141246.76409648999</v>
      </c>
      <c r="M168" s="47">
        <f t="shared" si="36"/>
        <v>0.29365625000000001</v>
      </c>
      <c r="N168" s="44"/>
      <c r="O168" s="6">
        <f t="shared" si="37"/>
        <v>157270.83490625001</v>
      </c>
      <c r="Q168" s="65"/>
      <c r="R168" s="65"/>
    </row>
    <row r="169" spans="1:18">
      <c r="A169" s="84" t="s">
        <v>183</v>
      </c>
      <c r="C169" s="227">
        <v>0</v>
      </c>
      <c r="E169" s="10">
        <v>-0.96</v>
      </c>
      <c r="F169" s="10"/>
      <c r="G169" s="6">
        <v>0</v>
      </c>
      <c r="I169" s="47"/>
      <c r="J169" s="44"/>
      <c r="M169" s="14"/>
      <c r="N169" s="44"/>
      <c r="Q169" s="65"/>
      <c r="R169" s="65"/>
    </row>
    <row r="170" spans="1:18" ht="16.5" thickBot="1">
      <c r="A170" s="84" t="s">
        <v>162</v>
      </c>
      <c r="C170" s="258">
        <v>24159956.617690787</v>
      </c>
      <c r="E170" s="68"/>
      <c r="G170" s="13">
        <v>2445461</v>
      </c>
      <c r="I170" s="48"/>
      <c r="K170" s="13">
        <f>SUM(K161:K169)</f>
        <v>537294.23946377996</v>
      </c>
      <c r="M170" s="48"/>
      <c r="O170" s="13">
        <f>SUM(O161:O169)</f>
        <v>598248.84606250003</v>
      </c>
      <c r="Q170" s="65"/>
      <c r="R170" s="65"/>
    </row>
    <row r="171" spans="1:18" ht="16.5" thickTop="1">
      <c r="I171" s="46"/>
      <c r="J171" s="47"/>
      <c r="M171" s="46"/>
      <c r="N171" s="47"/>
      <c r="Q171" s="65"/>
      <c r="R171" s="65"/>
    </row>
    <row r="172" spans="1:18">
      <c r="A172" s="228" t="s">
        <v>186</v>
      </c>
      <c r="D172" s="10"/>
      <c r="Q172" s="65"/>
      <c r="R172" s="65"/>
    </row>
    <row r="173" spans="1:18">
      <c r="A173" s="84" t="s">
        <v>174</v>
      </c>
      <c r="C173" s="227">
        <v>192</v>
      </c>
      <c r="E173" s="44">
        <v>53</v>
      </c>
      <c r="F173" s="44"/>
      <c r="G173" s="6">
        <v>10176</v>
      </c>
      <c r="I173" s="47"/>
      <c r="J173" s="44"/>
      <c r="M173" s="14"/>
      <c r="N173" s="44"/>
      <c r="Q173" s="65"/>
      <c r="R173" s="65"/>
    </row>
    <row r="174" spans="1:18">
      <c r="A174" s="84" t="s">
        <v>175</v>
      </c>
      <c r="C174" s="227">
        <v>0</v>
      </c>
      <c r="D174" s="10"/>
      <c r="E174" s="44">
        <v>636</v>
      </c>
      <c r="F174" s="44"/>
      <c r="G174" s="6">
        <v>0</v>
      </c>
      <c r="I174" s="47"/>
      <c r="J174" s="44"/>
      <c r="M174" s="14"/>
      <c r="N174" s="44"/>
      <c r="Q174" s="65"/>
      <c r="R174" s="65"/>
    </row>
    <row r="175" spans="1:18">
      <c r="A175" s="84" t="s">
        <v>177</v>
      </c>
      <c r="C175" s="227">
        <v>14844</v>
      </c>
      <c r="E175" s="44">
        <v>3.99</v>
      </c>
      <c r="F175" s="44"/>
      <c r="G175" s="6">
        <v>59228</v>
      </c>
      <c r="I175" s="47"/>
      <c r="J175" s="44"/>
      <c r="M175" s="14"/>
      <c r="N175" s="44"/>
      <c r="Q175" s="65"/>
      <c r="R175" s="65"/>
    </row>
    <row r="176" spans="1:18">
      <c r="A176" s="84" t="s">
        <v>187</v>
      </c>
      <c r="C176" s="227">
        <v>4915</v>
      </c>
      <c r="E176" s="10">
        <v>13.27</v>
      </c>
      <c r="F176" s="10"/>
      <c r="G176" s="6">
        <v>65222</v>
      </c>
      <c r="I176" s="47">
        <v>0.26373608999999998</v>
      </c>
      <c r="J176" s="44"/>
      <c r="K176" s="6">
        <f t="shared" ref="K176:K179" si="38">$G176*I176</f>
        <v>17201.39526198</v>
      </c>
      <c r="M176" s="47">
        <f t="shared" ref="M176:M179" si="39">M$139</f>
        <v>0.29365625000000001</v>
      </c>
      <c r="N176" s="44"/>
      <c r="O176" s="6">
        <f t="shared" ref="O176:O179" si="40">$G176*M176</f>
        <v>19152.847937499999</v>
      </c>
      <c r="Q176" s="65"/>
      <c r="R176" s="65"/>
    </row>
    <row r="177" spans="1:18">
      <c r="A177" s="84" t="s">
        <v>188</v>
      </c>
      <c r="C177" s="227">
        <v>6971</v>
      </c>
      <c r="E177" s="10">
        <v>11.74</v>
      </c>
      <c r="F177" s="10"/>
      <c r="G177" s="6">
        <v>81840</v>
      </c>
      <c r="I177" s="47">
        <v>0.26373608999999998</v>
      </c>
      <c r="J177" s="44"/>
      <c r="K177" s="6">
        <f t="shared" si="38"/>
        <v>21584.161605599998</v>
      </c>
      <c r="M177" s="47">
        <f t="shared" si="39"/>
        <v>0.29365625000000001</v>
      </c>
      <c r="N177" s="44"/>
      <c r="O177" s="6">
        <f t="shared" si="40"/>
        <v>24032.827499999999</v>
      </c>
      <c r="Q177" s="65"/>
      <c r="R177" s="65"/>
    </row>
    <row r="178" spans="1:18">
      <c r="A178" s="84" t="s">
        <v>180</v>
      </c>
      <c r="C178" s="227">
        <v>1281170</v>
      </c>
      <c r="E178" s="49">
        <v>3.8877999999999999</v>
      </c>
      <c r="F178" s="232" t="s">
        <v>153</v>
      </c>
      <c r="G178" s="6">
        <v>49809</v>
      </c>
      <c r="I178" s="47">
        <v>0.26373608999999998</v>
      </c>
      <c r="J178" s="44"/>
      <c r="K178" s="6">
        <f t="shared" si="38"/>
        <v>13136.430906809999</v>
      </c>
      <c r="M178" s="47">
        <f t="shared" si="39"/>
        <v>0.29365625000000001</v>
      </c>
      <c r="N178" s="44"/>
      <c r="O178" s="6">
        <f t="shared" si="40"/>
        <v>14626.72415625</v>
      </c>
      <c r="Q178" s="65"/>
      <c r="R178" s="65"/>
    </row>
    <row r="179" spans="1:18">
      <c r="A179" s="84" t="s">
        <v>182</v>
      </c>
      <c r="C179" s="227">
        <v>2099521</v>
      </c>
      <c r="E179" s="49">
        <v>3.4405000000000001</v>
      </c>
      <c r="F179" s="232" t="s">
        <v>153</v>
      </c>
      <c r="G179" s="6">
        <v>72234</v>
      </c>
      <c r="I179" s="47">
        <v>0.26373608999999998</v>
      </c>
      <c r="J179" s="44"/>
      <c r="K179" s="6">
        <f t="shared" si="38"/>
        <v>19050.712725059999</v>
      </c>
      <c r="M179" s="47">
        <f t="shared" si="39"/>
        <v>0.29365625000000001</v>
      </c>
      <c r="N179" s="44"/>
      <c r="O179" s="6">
        <f t="shared" si="40"/>
        <v>21211.965562500001</v>
      </c>
      <c r="Q179" s="65"/>
      <c r="R179" s="65"/>
    </row>
    <row r="180" spans="1:18">
      <c r="A180" s="84" t="s">
        <v>183</v>
      </c>
      <c r="C180" s="227">
        <v>0</v>
      </c>
      <c r="E180" s="44">
        <v>-0.96</v>
      </c>
      <c r="F180" s="44"/>
      <c r="G180" s="6">
        <v>0</v>
      </c>
      <c r="I180" s="47"/>
      <c r="J180" s="44"/>
      <c r="M180" s="14"/>
      <c r="N180" s="44"/>
      <c r="Q180" s="65"/>
      <c r="R180" s="65"/>
    </row>
    <row r="181" spans="1:18" ht="16.5" thickBot="1">
      <c r="A181" s="84" t="s">
        <v>162</v>
      </c>
      <c r="C181" s="258">
        <v>3380691</v>
      </c>
      <c r="E181" s="68"/>
      <c r="G181" s="13">
        <v>338509</v>
      </c>
      <c r="I181" s="48"/>
      <c r="K181" s="13">
        <f>SUM(K172:K180)</f>
        <v>70972.700499450002</v>
      </c>
      <c r="M181" s="48"/>
      <c r="O181" s="13">
        <f>SUM(O172:O180)</f>
        <v>79024.365156250002</v>
      </c>
      <c r="Q181" s="65"/>
      <c r="R181" s="65"/>
    </row>
    <row r="182" spans="1:18" ht="16.5" thickTop="1">
      <c r="I182" s="47"/>
      <c r="J182" s="44"/>
      <c r="M182" s="14"/>
      <c r="N182" s="44"/>
      <c r="Q182" s="65"/>
      <c r="R182" s="65"/>
    </row>
    <row r="183" spans="1:18">
      <c r="A183" s="228" t="s">
        <v>189</v>
      </c>
      <c r="I183" s="47"/>
      <c r="J183" s="44"/>
      <c r="M183" s="14"/>
      <c r="N183" s="44"/>
    </row>
    <row r="184" spans="1:18">
      <c r="A184" s="84" t="s">
        <v>174</v>
      </c>
      <c r="C184" s="227">
        <v>16184.594130320329</v>
      </c>
      <c r="E184" s="44">
        <v>53</v>
      </c>
      <c r="F184" s="44"/>
      <c r="G184" s="6">
        <v>857783</v>
      </c>
      <c r="I184" s="47"/>
      <c r="J184" s="44"/>
      <c r="M184" s="14"/>
      <c r="N184" s="44"/>
    </row>
    <row r="185" spans="1:18">
      <c r="A185" s="84" t="s">
        <v>190</v>
      </c>
      <c r="C185" s="227">
        <v>22837905.528605085</v>
      </c>
      <c r="D185" s="10"/>
      <c r="E185" s="259">
        <v>22.156199999999998</v>
      </c>
      <c r="F185" s="232" t="s">
        <v>153</v>
      </c>
      <c r="G185" s="6">
        <v>5060012</v>
      </c>
      <c r="I185" s="47">
        <v>0.24504975000000001</v>
      </c>
      <c r="J185" s="44"/>
      <c r="K185" s="6">
        <f t="shared" ref="K185:K192" si="41">$G185*I185</f>
        <v>1239954.6755970002</v>
      </c>
      <c r="M185" s="47">
        <f t="shared" ref="M185:M192" si="42">M$284</f>
        <v>0.27285002000000003</v>
      </c>
      <c r="N185" s="44"/>
      <c r="O185" s="6">
        <f t="shared" ref="O185:O192" si="43">$G185*M185</f>
        <v>1380624.3754002401</v>
      </c>
    </row>
    <row r="186" spans="1:18">
      <c r="A186" s="84" t="s">
        <v>191</v>
      </c>
      <c r="C186" s="227">
        <v>52553411.422486275</v>
      </c>
      <c r="D186" s="10"/>
      <c r="E186" s="259">
        <v>4.309899999999999</v>
      </c>
      <c r="F186" s="232" t="s">
        <v>153</v>
      </c>
      <c r="G186" s="6">
        <v>2264999</v>
      </c>
      <c r="I186" s="47">
        <v>0.24504975000000001</v>
      </c>
      <c r="J186" s="44"/>
      <c r="K186" s="6">
        <f t="shared" si="41"/>
        <v>555037.43870025</v>
      </c>
      <c r="M186" s="47">
        <f t="shared" si="42"/>
        <v>0.27285002000000003</v>
      </c>
      <c r="N186" s="44"/>
      <c r="O186" s="6">
        <f t="shared" si="43"/>
        <v>618005.02244998002</v>
      </c>
    </row>
    <row r="187" spans="1:18">
      <c r="A187" s="84" t="s">
        <v>192</v>
      </c>
      <c r="C187" s="227">
        <v>39702141.256844603</v>
      </c>
      <c r="D187" s="10"/>
      <c r="E187" s="259">
        <v>19.607299999999999</v>
      </c>
      <c r="F187" s="232" t="s">
        <v>153</v>
      </c>
      <c r="G187" s="6">
        <v>7784518</v>
      </c>
      <c r="I187" s="47">
        <v>0.24504975000000001</v>
      </c>
      <c r="J187" s="44"/>
      <c r="K187" s="6">
        <f t="shared" si="41"/>
        <v>1907594.1897705002</v>
      </c>
      <c r="M187" s="47">
        <f t="shared" si="42"/>
        <v>0.27285002000000003</v>
      </c>
      <c r="N187" s="44"/>
      <c r="O187" s="6">
        <f t="shared" si="43"/>
        <v>2124005.8919903603</v>
      </c>
    </row>
    <row r="188" spans="1:18">
      <c r="A188" s="84" t="s">
        <v>193</v>
      </c>
      <c r="C188" s="227">
        <v>93250801.351241559</v>
      </c>
      <c r="D188" s="10"/>
      <c r="E188" s="259">
        <v>3.8140999999999989</v>
      </c>
      <c r="F188" s="232" t="s">
        <v>153</v>
      </c>
      <c r="G188" s="6">
        <v>3556679</v>
      </c>
      <c r="I188" s="47">
        <v>0.24504975000000001</v>
      </c>
      <c r="J188" s="44"/>
      <c r="K188" s="6">
        <f t="shared" si="41"/>
        <v>871563.29978025006</v>
      </c>
      <c r="M188" s="47">
        <f t="shared" si="42"/>
        <v>0.27285002000000003</v>
      </c>
      <c r="N188" s="44"/>
      <c r="O188" s="6">
        <f t="shared" si="43"/>
        <v>970439.93628358014</v>
      </c>
    </row>
    <row r="189" spans="1:18">
      <c r="A189" s="84" t="s">
        <v>194</v>
      </c>
      <c r="C189" s="227">
        <v>41868605.849641204</v>
      </c>
      <c r="D189" s="10"/>
      <c r="E189" s="259">
        <v>6</v>
      </c>
      <c r="F189" s="232" t="s">
        <v>153</v>
      </c>
      <c r="G189" s="6">
        <v>2512116</v>
      </c>
      <c r="I189" s="47">
        <v>0.24504975000000001</v>
      </c>
      <c r="J189" s="44"/>
      <c r="K189" s="6">
        <f t="shared" si="41"/>
        <v>615593.39777100005</v>
      </c>
      <c r="M189" s="47">
        <f t="shared" si="42"/>
        <v>0.27285002000000003</v>
      </c>
      <c r="N189" s="44"/>
      <c r="O189" s="6">
        <f t="shared" si="43"/>
        <v>685430.90084232006</v>
      </c>
    </row>
    <row r="190" spans="1:18">
      <c r="A190" s="84" t="s">
        <v>195</v>
      </c>
      <c r="C190" s="227">
        <v>33522711.101450153</v>
      </c>
      <c r="D190" s="10"/>
      <c r="E190" s="259">
        <v>-2.335799999999999</v>
      </c>
      <c r="F190" s="232" t="s">
        <v>153</v>
      </c>
      <c r="G190" s="6">
        <v>-783023</v>
      </c>
      <c r="I190" s="47">
        <v>0.24504975000000001</v>
      </c>
      <c r="J190" s="44"/>
      <c r="K190" s="6">
        <f t="shared" si="41"/>
        <v>-191879.59039425</v>
      </c>
      <c r="M190" s="47">
        <f t="shared" si="42"/>
        <v>0.27285002000000003</v>
      </c>
      <c r="N190" s="44"/>
      <c r="O190" s="6">
        <f t="shared" si="43"/>
        <v>-213647.84121046003</v>
      </c>
    </row>
    <row r="191" spans="1:18">
      <c r="A191" s="84" t="s">
        <v>196</v>
      </c>
      <c r="C191" s="227">
        <v>73835483.656813219</v>
      </c>
      <c r="D191" s="10"/>
      <c r="E191" s="259">
        <v>5.3097000000000003</v>
      </c>
      <c r="F191" s="232" t="s">
        <v>153</v>
      </c>
      <c r="G191" s="6">
        <v>3920443</v>
      </c>
      <c r="I191" s="47">
        <v>0.24504975000000001</v>
      </c>
      <c r="J191" s="44"/>
      <c r="K191" s="6">
        <f t="shared" si="41"/>
        <v>960703.57703925006</v>
      </c>
      <c r="M191" s="47">
        <f t="shared" si="42"/>
        <v>0.27285002000000003</v>
      </c>
      <c r="N191" s="44"/>
      <c r="O191" s="6">
        <f t="shared" si="43"/>
        <v>1069692.9509588601</v>
      </c>
    </row>
    <row r="192" spans="1:18">
      <c r="A192" s="84" t="s">
        <v>197</v>
      </c>
      <c r="C192" s="227">
        <v>59117458.951272905</v>
      </c>
      <c r="D192" s="10"/>
      <c r="E192" s="259">
        <v>-2.0670999999999999</v>
      </c>
      <c r="F192" s="232" t="s">
        <v>153</v>
      </c>
      <c r="G192" s="6">
        <v>-1222017</v>
      </c>
      <c r="I192" s="47">
        <v>0.24504975000000001</v>
      </c>
      <c r="J192" s="44"/>
      <c r="K192" s="6">
        <f t="shared" si="41"/>
        <v>-299454.96034575003</v>
      </c>
      <c r="M192" s="47">
        <f t="shared" si="42"/>
        <v>0.27285002000000003</v>
      </c>
      <c r="N192" s="44"/>
      <c r="O192" s="6">
        <f t="shared" si="43"/>
        <v>-333427.36289034004</v>
      </c>
    </row>
    <row r="193" spans="1:15">
      <c r="A193" s="84" t="s">
        <v>183</v>
      </c>
      <c r="C193" s="227">
        <v>56872.363899238364</v>
      </c>
      <c r="E193" s="44">
        <v>-0.61</v>
      </c>
      <c r="F193" s="44"/>
      <c r="G193" s="6">
        <v>-34692</v>
      </c>
      <c r="I193" s="47"/>
      <c r="J193" s="44"/>
      <c r="M193" s="14"/>
      <c r="N193" s="44"/>
    </row>
    <row r="194" spans="1:15">
      <c r="A194" s="239" t="s">
        <v>160</v>
      </c>
      <c r="C194" s="227">
        <v>758838.16754595097</v>
      </c>
      <c r="E194" s="49">
        <v>7.125</v>
      </c>
      <c r="F194" s="232" t="s">
        <v>153</v>
      </c>
      <c r="G194" s="6">
        <v>54067</v>
      </c>
      <c r="I194" s="47"/>
      <c r="J194" s="44"/>
      <c r="M194" s="14"/>
      <c r="N194" s="44"/>
    </row>
    <row r="195" spans="1:15">
      <c r="A195" s="84" t="s">
        <v>198</v>
      </c>
      <c r="C195" s="227">
        <v>209103097.7267234</v>
      </c>
      <c r="E195" s="44"/>
      <c r="F195" s="44"/>
      <c r="G195" s="6">
        <v>23970885</v>
      </c>
      <c r="I195" s="260"/>
      <c r="J195" s="44"/>
      <c r="K195" s="205">
        <f>SUM(K185:K194)</f>
        <v>5659112.0279182512</v>
      </c>
      <c r="M195" s="14"/>
      <c r="N195" s="44"/>
      <c r="O195" s="205">
        <f>SUM(O185:O194)</f>
        <v>6301123.8738245405</v>
      </c>
    </row>
    <row r="196" spans="1:15">
      <c r="A196" s="84"/>
      <c r="E196" s="44"/>
      <c r="F196" s="44"/>
      <c r="I196" s="47"/>
      <c r="J196" s="44"/>
      <c r="M196" s="14"/>
      <c r="N196" s="44"/>
    </row>
    <row r="197" spans="1:15">
      <c r="A197" s="84" t="s">
        <v>174</v>
      </c>
      <c r="C197" s="227">
        <v>16184.594130320329</v>
      </c>
      <c r="E197" s="44">
        <v>53</v>
      </c>
      <c r="F197" s="44"/>
      <c r="G197" s="6">
        <v>857783</v>
      </c>
      <c r="I197" s="47"/>
      <c r="J197" s="44"/>
      <c r="M197" s="14"/>
      <c r="N197" s="44"/>
    </row>
    <row r="198" spans="1:15">
      <c r="A198" s="84" t="s">
        <v>175</v>
      </c>
      <c r="C198" s="227">
        <v>0</v>
      </c>
      <c r="E198" s="44">
        <v>636</v>
      </c>
      <c r="F198" s="44"/>
      <c r="G198" s="6">
        <v>0</v>
      </c>
    </row>
    <row r="199" spans="1:15">
      <c r="A199" s="84" t="s">
        <v>176</v>
      </c>
      <c r="C199" s="227">
        <v>0</v>
      </c>
      <c r="E199" s="10">
        <v>53</v>
      </c>
      <c r="F199" s="10"/>
      <c r="G199" s="6">
        <v>0</v>
      </c>
    </row>
    <row r="200" spans="1:15">
      <c r="A200" s="84" t="s">
        <v>177</v>
      </c>
      <c r="C200" s="227">
        <v>1281154</v>
      </c>
      <c r="E200" s="44">
        <v>3.99</v>
      </c>
      <c r="F200" s="44"/>
      <c r="G200" s="6">
        <v>5111804</v>
      </c>
    </row>
    <row r="201" spans="1:15">
      <c r="A201" s="84" t="s">
        <v>178</v>
      </c>
      <c r="C201" s="227">
        <v>467710</v>
      </c>
      <c r="E201" s="10">
        <v>13.27</v>
      </c>
      <c r="F201" s="10"/>
      <c r="G201" s="6">
        <v>6206512</v>
      </c>
      <c r="I201" s="47">
        <v>0.26373608999999998</v>
      </c>
      <c r="J201" s="44"/>
      <c r="K201" s="6">
        <f>$G201*I201</f>
        <v>1636881.20741808</v>
      </c>
      <c r="M201" s="47">
        <f t="shared" ref="M201:M204" si="44">M$139</f>
        <v>0.29365625000000001</v>
      </c>
      <c r="N201" s="44"/>
      <c r="O201" s="6">
        <f>$G201*M201</f>
        <v>1822581.0395</v>
      </c>
    </row>
    <row r="202" spans="1:15">
      <c r="A202" s="84" t="s">
        <v>179</v>
      </c>
      <c r="C202" s="227">
        <v>813444</v>
      </c>
      <c r="E202" s="10">
        <v>11.74</v>
      </c>
      <c r="F202" s="10"/>
      <c r="G202" s="6">
        <v>9549833</v>
      </c>
      <c r="I202" s="47">
        <v>0.26373608999999998</v>
      </c>
      <c r="J202" s="44"/>
      <c r="K202" s="6">
        <f>$G202*I202</f>
        <v>2518635.6155729699</v>
      </c>
      <c r="M202" s="47">
        <f t="shared" si="44"/>
        <v>0.29365625000000001</v>
      </c>
      <c r="N202" s="44"/>
      <c r="O202" s="6">
        <f>$G202*M202</f>
        <v>2804368.1469062502</v>
      </c>
    </row>
    <row r="203" spans="1:15">
      <c r="A203" s="84" t="s">
        <v>180</v>
      </c>
      <c r="C203" s="227">
        <v>75391316.726723433</v>
      </c>
      <c r="E203" s="49">
        <v>3.8877999999999999</v>
      </c>
      <c r="F203" s="232" t="s">
        <v>153</v>
      </c>
      <c r="G203" s="6">
        <v>2931064</v>
      </c>
      <c r="I203" s="47">
        <v>0.26373608999999998</v>
      </c>
      <c r="J203" s="44"/>
      <c r="K203" s="6">
        <f>$G203*I203</f>
        <v>773027.35889975994</v>
      </c>
      <c r="M203" s="47">
        <f t="shared" si="44"/>
        <v>0.29365625000000001</v>
      </c>
      <c r="N203" s="44"/>
      <c r="O203" s="6">
        <f>$G203*M203</f>
        <v>860725.26274999999</v>
      </c>
    </row>
    <row r="204" spans="1:15">
      <c r="A204" s="84" t="s">
        <v>182</v>
      </c>
      <c r="C204" s="227">
        <v>132952943</v>
      </c>
      <c r="E204" s="49">
        <v>3.4405000000000001</v>
      </c>
      <c r="F204" s="232" t="s">
        <v>153</v>
      </c>
      <c r="G204" s="6">
        <v>4574246</v>
      </c>
      <c r="I204" s="47">
        <v>0.26373608999999998</v>
      </c>
      <c r="J204" s="44"/>
      <c r="K204" s="6">
        <f>$G204*I204</f>
        <v>1206393.7547381399</v>
      </c>
      <c r="M204" s="47">
        <f t="shared" si="44"/>
        <v>0.29365625000000001</v>
      </c>
      <c r="N204" s="44"/>
      <c r="O204" s="6">
        <f>$G204*M204</f>
        <v>1343255.9269375</v>
      </c>
    </row>
    <row r="205" spans="1:15">
      <c r="A205" s="84" t="s">
        <v>183</v>
      </c>
      <c r="C205" s="227">
        <v>56872.363899238364</v>
      </c>
      <c r="E205" s="44">
        <v>-0.96</v>
      </c>
      <c r="F205" s="44"/>
      <c r="G205" s="6">
        <v>-54597</v>
      </c>
    </row>
    <row r="206" spans="1:15">
      <c r="A206" s="239" t="s">
        <v>160</v>
      </c>
      <c r="C206" s="227">
        <v>758838</v>
      </c>
      <c r="E206" s="49">
        <v>7.125</v>
      </c>
      <c r="F206" s="232" t="s">
        <v>153</v>
      </c>
      <c r="G206" s="6">
        <v>54067</v>
      </c>
    </row>
    <row r="207" spans="1:15" ht="16.5" thickBot="1">
      <c r="A207" s="84" t="s">
        <v>162</v>
      </c>
      <c r="C207" s="258">
        <v>209103097.72672343</v>
      </c>
      <c r="E207" s="68"/>
      <c r="G207" s="13">
        <v>29230712</v>
      </c>
      <c r="I207" s="48"/>
      <c r="K207" s="13">
        <f>SUM(K201:K206)</f>
        <v>6134937.9366289498</v>
      </c>
      <c r="M207" s="48"/>
      <c r="O207" s="13">
        <f>SUM(O201:O206)</f>
        <v>6830930.3760937499</v>
      </c>
    </row>
    <row r="208" spans="1:15" ht="16.5" thickTop="1">
      <c r="I208" s="47"/>
      <c r="J208" s="44"/>
      <c r="M208" s="14"/>
      <c r="N208" s="44"/>
    </row>
    <row r="209" spans="1:15">
      <c r="A209" s="228" t="s">
        <v>199</v>
      </c>
      <c r="I209" s="14"/>
      <c r="J209" s="44"/>
      <c r="L209" s="10"/>
      <c r="M209" s="14"/>
      <c r="N209" s="44"/>
    </row>
    <row r="210" spans="1:15">
      <c r="A210" s="84" t="s">
        <v>174</v>
      </c>
      <c r="C210" s="227">
        <v>601.96638791828354</v>
      </c>
      <c r="E210" s="44">
        <v>53</v>
      </c>
      <c r="F210" s="44"/>
      <c r="G210" s="6">
        <v>31904</v>
      </c>
      <c r="I210" s="47"/>
      <c r="J210" s="44"/>
      <c r="L210" s="10"/>
      <c r="M210" s="14"/>
      <c r="N210" s="44"/>
    </row>
    <row r="211" spans="1:15">
      <c r="A211" s="84" t="s">
        <v>190</v>
      </c>
      <c r="C211" s="227">
        <v>617625.15581650264</v>
      </c>
      <c r="D211" s="10"/>
      <c r="E211" s="259">
        <v>22.156199999999998</v>
      </c>
      <c r="F211" s="232" t="s">
        <v>153</v>
      </c>
      <c r="G211" s="6">
        <v>136842</v>
      </c>
      <c r="I211" s="47">
        <v>0.24504975000000001</v>
      </c>
      <c r="J211" s="44"/>
      <c r="K211" s="6">
        <f t="shared" ref="K211:K218" si="45">$G211*I211</f>
        <v>33533.097889500001</v>
      </c>
      <c r="M211" s="47">
        <f t="shared" ref="M211:M218" si="46">M$284</f>
        <v>0.27285002000000003</v>
      </c>
      <c r="N211" s="44"/>
      <c r="O211" s="6">
        <f t="shared" ref="O211:O218" si="47">$G211*M211</f>
        <v>37337.342436840001</v>
      </c>
    </row>
    <row r="212" spans="1:15">
      <c r="A212" s="84" t="s">
        <v>191</v>
      </c>
      <c r="C212" s="227">
        <v>1470157.0589540326</v>
      </c>
      <c r="D212" s="10"/>
      <c r="E212" s="259">
        <v>4.309899999999999</v>
      </c>
      <c r="F212" s="232" t="s">
        <v>153</v>
      </c>
      <c r="G212" s="6">
        <v>63362</v>
      </c>
      <c r="I212" s="47">
        <v>0.24504975000000001</v>
      </c>
      <c r="J212" s="44"/>
      <c r="K212" s="6">
        <f t="shared" si="45"/>
        <v>15526.842259500001</v>
      </c>
      <c r="M212" s="47">
        <f t="shared" si="46"/>
        <v>0.27285002000000003</v>
      </c>
      <c r="N212" s="44"/>
      <c r="O212" s="6">
        <f t="shared" si="47"/>
        <v>17288.322967240001</v>
      </c>
    </row>
    <row r="213" spans="1:15">
      <c r="A213" s="84" t="s">
        <v>192</v>
      </c>
      <c r="C213" s="227">
        <v>1069622.9798240834</v>
      </c>
      <c r="D213" s="10"/>
      <c r="E213" s="259">
        <v>19.607299999999999</v>
      </c>
      <c r="F213" s="232" t="s">
        <v>153</v>
      </c>
      <c r="G213" s="6">
        <v>209724</v>
      </c>
      <c r="I213" s="47">
        <v>0.24504975000000001</v>
      </c>
      <c r="J213" s="44"/>
      <c r="K213" s="6">
        <f t="shared" si="45"/>
        <v>51392.813769</v>
      </c>
      <c r="M213" s="47">
        <f t="shared" si="46"/>
        <v>0.27285002000000003</v>
      </c>
      <c r="N213" s="44"/>
      <c r="O213" s="6">
        <f t="shared" si="47"/>
        <v>57223.197594480007</v>
      </c>
    </row>
    <row r="214" spans="1:15">
      <c r="A214" s="84" t="s">
        <v>193</v>
      </c>
      <c r="C214" s="227">
        <v>2803065.8686222499</v>
      </c>
      <c r="D214" s="10"/>
      <c r="E214" s="259">
        <v>3.8140999999999989</v>
      </c>
      <c r="F214" s="232" t="s">
        <v>153</v>
      </c>
      <c r="G214" s="6">
        <v>106912</v>
      </c>
      <c r="I214" s="47">
        <v>0.24504975000000001</v>
      </c>
      <c r="J214" s="44"/>
      <c r="K214" s="6">
        <f t="shared" si="45"/>
        <v>26198.758872000002</v>
      </c>
      <c r="M214" s="47">
        <f t="shared" si="46"/>
        <v>0.27285002000000003</v>
      </c>
      <c r="N214" s="44"/>
      <c r="O214" s="6">
        <f t="shared" si="47"/>
        <v>29170.941338240002</v>
      </c>
    </row>
    <row r="215" spans="1:15">
      <c r="A215" s="84" t="s">
        <v>194</v>
      </c>
      <c r="C215" s="227">
        <v>1159450.9047616925</v>
      </c>
      <c r="D215" s="10"/>
      <c r="E215" s="259">
        <v>6</v>
      </c>
      <c r="F215" s="232" t="s">
        <v>153</v>
      </c>
      <c r="G215" s="6">
        <v>69567</v>
      </c>
      <c r="I215" s="47">
        <v>0.24504975000000001</v>
      </c>
      <c r="J215" s="44"/>
      <c r="K215" s="6">
        <f t="shared" si="45"/>
        <v>17047.375958250002</v>
      </c>
      <c r="M215" s="47">
        <f t="shared" si="46"/>
        <v>0.27285002000000003</v>
      </c>
      <c r="N215" s="44"/>
      <c r="O215" s="6">
        <f t="shared" si="47"/>
        <v>18981.357341340001</v>
      </c>
    </row>
    <row r="216" spans="1:15">
      <c r="A216" s="84" t="s">
        <v>195</v>
      </c>
      <c r="C216" s="227">
        <v>928331.31000884238</v>
      </c>
      <c r="D216" s="10"/>
      <c r="E216" s="259">
        <v>-2.335799999999999</v>
      </c>
      <c r="F216" s="232" t="s">
        <v>153</v>
      </c>
      <c r="G216" s="6">
        <v>-21684</v>
      </c>
      <c r="I216" s="47">
        <v>0.24504975000000001</v>
      </c>
      <c r="J216" s="44"/>
      <c r="K216" s="6">
        <f t="shared" si="45"/>
        <v>-5313.6587790000003</v>
      </c>
      <c r="M216" s="47">
        <f t="shared" si="46"/>
        <v>0.27285002000000003</v>
      </c>
      <c r="N216" s="44"/>
      <c r="O216" s="6">
        <f t="shared" si="47"/>
        <v>-5916.4798336800004</v>
      </c>
    </row>
    <row r="217" spans="1:15">
      <c r="A217" s="84" t="s">
        <v>196</v>
      </c>
      <c r="C217" s="227">
        <v>2150699.7029788997</v>
      </c>
      <c r="D217" s="10"/>
      <c r="E217" s="259">
        <v>5.3097000000000003</v>
      </c>
      <c r="F217" s="232" t="s">
        <v>153</v>
      </c>
      <c r="G217" s="6">
        <v>114196</v>
      </c>
      <c r="I217" s="47">
        <v>0.24504975000000001</v>
      </c>
      <c r="J217" s="44"/>
      <c r="K217" s="6">
        <f t="shared" si="45"/>
        <v>27983.701251000002</v>
      </c>
      <c r="M217" s="47">
        <f t="shared" si="46"/>
        <v>0.27285002000000003</v>
      </c>
      <c r="N217" s="44"/>
      <c r="O217" s="6">
        <f t="shared" si="47"/>
        <v>31158.380883920003</v>
      </c>
    </row>
    <row r="218" spans="1:15">
      <c r="A218" s="84" t="s">
        <v>197</v>
      </c>
      <c r="C218" s="227">
        <v>1721989.1454674334</v>
      </c>
      <c r="D218" s="10"/>
      <c r="E218" s="259">
        <v>-2.0670999999999999</v>
      </c>
      <c r="F218" s="232" t="s">
        <v>153</v>
      </c>
      <c r="G218" s="6">
        <v>-35595</v>
      </c>
      <c r="I218" s="47">
        <v>0.24504975000000001</v>
      </c>
      <c r="J218" s="44"/>
      <c r="K218" s="6">
        <f t="shared" si="45"/>
        <v>-8722.5458512500009</v>
      </c>
      <c r="M218" s="47">
        <f t="shared" si="46"/>
        <v>0.27285002000000003</v>
      </c>
      <c r="N218" s="44"/>
      <c r="O218" s="6">
        <f t="shared" si="47"/>
        <v>-9712.0964619000006</v>
      </c>
    </row>
    <row r="219" spans="1:15">
      <c r="A219" s="84" t="s">
        <v>183</v>
      </c>
      <c r="C219" s="227">
        <v>0</v>
      </c>
      <c r="E219" s="44">
        <v>-0.61</v>
      </c>
      <c r="F219" s="44"/>
      <c r="G219" s="6">
        <v>0</v>
      </c>
      <c r="I219" s="47"/>
      <c r="J219" s="44"/>
      <c r="M219" s="14"/>
      <c r="N219" s="44"/>
    </row>
    <row r="220" spans="1:15">
      <c r="A220" s="239" t="s">
        <v>160</v>
      </c>
      <c r="C220" s="227">
        <v>0</v>
      </c>
      <c r="E220" s="49">
        <v>7.125</v>
      </c>
      <c r="F220" s="232" t="s">
        <v>153</v>
      </c>
      <c r="G220" s="6">
        <v>0</v>
      </c>
      <c r="I220" s="47"/>
      <c r="J220" s="44"/>
      <c r="M220" s="14"/>
      <c r="N220" s="44"/>
    </row>
    <row r="221" spans="1:15">
      <c r="A221" s="84" t="s">
        <v>198</v>
      </c>
      <c r="C221" s="227">
        <v>5960471.0632168679</v>
      </c>
      <c r="E221" s="44"/>
      <c r="F221" s="44"/>
      <c r="G221" s="6">
        <v>675228</v>
      </c>
      <c r="I221" s="260"/>
      <c r="J221" s="44"/>
      <c r="K221" s="205">
        <f>SUM(K211:K220)</f>
        <v>157646.385369</v>
      </c>
      <c r="M221" s="14"/>
      <c r="N221" s="44"/>
      <c r="O221" s="205">
        <f>SUM(O211:O220)</f>
        <v>175530.96626647998</v>
      </c>
    </row>
    <row r="222" spans="1:15">
      <c r="A222" s="84"/>
      <c r="E222" s="44"/>
      <c r="F222" s="44"/>
      <c r="I222" s="47"/>
      <c r="J222" s="44"/>
      <c r="M222" s="14"/>
      <c r="N222" s="44"/>
    </row>
    <row r="223" spans="1:15">
      <c r="A223" s="84" t="s">
        <v>174</v>
      </c>
      <c r="C223" s="227">
        <v>601.96638791828354</v>
      </c>
      <c r="E223" s="44">
        <v>53</v>
      </c>
      <c r="F223" s="44"/>
      <c r="G223" s="6">
        <v>31904</v>
      </c>
      <c r="I223" s="47"/>
      <c r="J223" s="44"/>
      <c r="M223" s="14"/>
      <c r="N223" s="44"/>
    </row>
    <row r="224" spans="1:15">
      <c r="A224" s="84" t="s">
        <v>175</v>
      </c>
      <c r="C224" s="227">
        <v>0</v>
      </c>
      <c r="E224" s="44">
        <v>636</v>
      </c>
      <c r="F224" s="44"/>
      <c r="G224" s="6">
        <v>0</v>
      </c>
    </row>
    <row r="225" spans="1:18">
      <c r="A225" s="84" t="s">
        <v>176</v>
      </c>
      <c r="C225" s="227">
        <v>0</v>
      </c>
      <c r="E225" s="10">
        <v>53</v>
      </c>
      <c r="F225" s="10"/>
      <c r="G225" s="6">
        <v>0</v>
      </c>
    </row>
    <row r="226" spans="1:18">
      <c r="A226" s="84" t="s">
        <v>177</v>
      </c>
      <c r="C226" s="227">
        <v>42952</v>
      </c>
      <c r="E226" s="44">
        <v>3.99</v>
      </c>
      <c r="F226" s="44"/>
      <c r="G226" s="6">
        <v>171378</v>
      </c>
    </row>
    <row r="227" spans="1:18">
      <c r="A227" s="84" t="s">
        <v>178</v>
      </c>
      <c r="C227" s="227">
        <v>16126</v>
      </c>
      <c r="E227" s="10">
        <v>13.27</v>
      </c>
      <c r="F227" s="10"/>
      <c r="G227" s="6">
        <v>213992</v>
      </c>
      <c r="I227" s="47">
        <v>0.26373608999999998</v>
      </c>
      <c r="J227" s="44"/>
      <c r="K227" s="6">
        <f>$G227*I227</f>
        <v>56437.413371279996</v>
      </c>
      <c r="M227" s="47">
        <f>M$139</f>
        <v>0.29365625000000001</v>
      </c>
      <c r="N227" s="44"/>
      <c r="O227" s="6">
        <f>$G227*M227</f>
        <v>62840.088250000001</v>
      </c>
    </row>
    <row r="228" spans="1:18">
      <c r="A228" s="84" t="s">
        <v>179</v>
      </c>
      <c r="C228" s="227">
        <v>26826</v>
      </c>
      <c r="E228" s="10">
        <v>11.74</v>
      </c>
      <c r="F228" s="10"/>
      <c r="G228" s="6">
        <v>314937</v>
      </c>
      <c r="I228" s="47">
        <v>0.26373608999999998</v>
      </c>
      <c r="J228" s="44"/>
      <c r="K228" s="6">
        <f>$G228*I228</f>
        <v>83060.252976329997</v>
      </c>
      <c r="M228" s="47">
        <f t="shared" ref="M228:M230" si="48">M$139</f>
        <v>0.29365625000000001</v>
      </c>
      <c r="N228" s="44"/>
      <c r="O228" s="6">
        <f>$G228*M228</f>
        <v>92483.218406250002</v>
      </c>
      <c r="Q228" s="3"/>
      <c r="R228" s="4"/>
    </row>
    <row r="229" spans="1:18">
      <c r="A229" s="84" t="s">
        <v>180</v>
      </c>
      <c r="C229" s="227">
        <v>2218023.3846987919</v>
      </c>
      <c r="E229" s="49">
        <v>3.8877999999999999</v>
      </c>
      <c r="F229" s="232" t="s">
        <v>153</v>
      </c>
      <c r="G229" s="6">
        <v>86232</v>
      </c>
      <c r="I229" s="47">
        <v>0.26373608999999998</v>
      </c>
      <c r="J229" s="44"/>
      <c r="K229" s="6">
        <f>$G229*I229</f>
        <v>22742.490512879998</v>
      </c>
      <c r="M229" s="47">
        <f t="shared" si="48"/>
        <v>0.29365625000000001</v>
      </c>
      <c r="N229" s="44"/>
      <c r="O229" s="6">
        <f>$G229*M229</f>
        <v>25322.565750000002</v>
      </c>
      <c r="Q229" s="3"/>
      <c r="R229" s="4"/>
    </row>
    <row r="230" spans="1:18">
      <c r="A230" s="84" t="s">
        <v>182</v>
      </c>
      <c r="C230" s="227">
        <v>4105852</v>
      </c>
      <c r="E230" s="49">
        <v>3.4405000000000001</v>
      </c>
      <c r="F230" s="232" t="s">
        <v>153</v>
      </c>
      <c r="G230" s="6">
        <v>141262</v>
      </c>
      <c r="I230" s="47">
        <v>0.26373608999999998</v>
      </c>
      <c r="J230" s="44"/>
      <c r="K230" s="6">
        <f>$G230*I230</f>
        <v>37255.887545579993</v>
      </c>
      <c r="M230" s="47">
        <f t="shared" si="48"/>
        <v>0.29365625000000001</v>
      </c>
      <c r="N230" s="44"/>
      <c r="O230" s="6">
        <f>$G230*M230</f>
        <v>41482.469187499999</v>
      </c>
      <c r="Q230" s="252"/>
      <c r="R230" s="4"/>
    </row>
    <row r="231" spans="1:18">
      <c r="A231" s="84" t="s">
        <v>183</v>
      </c>
      <c r="C231" s="227">
        <v>0</v>
      </c>
      <c r="E231" s="44">
        <v>-0.96</v>
      </c>
      <c r="F231" s="44"/>
      <c r="G231" s="6">
        <v>0</v>
      </c>
      <c r="I231" s="47"/>
      <c r="J231" s="232"/>
      <c r="M231" s="14"/>
      <c r="N231" s="232"/>
      <c r="Q231" s="3"/>
      <c r="R231" s="253"/>
    </row>
    <row r="232" spans="1:18" ht="16.5" thickBot="1">
      <c r="A232" s="84" t="s">
        <v>162</v>
      </c>
      <c r="C232" s="258">
        <v>6323875.3846987914</v>
      </c>
      <c r="E232" s="68"/>
      <c r="G232" s="13">
        <v>959705</v>
      </c>
      <c r="I232" s="48"/>
      <c r="K232" s="13">
        <f>SUM(K227:K231)</f>
        <v>199496.04440607</v>
      </c>
      <c r="M232" s="48"/>
      <c r="O232" s="13">
        <f>SUM(O227:O231)</f>
        <v>222128.34159375</v>
      </c>
    </row>
    <row r="233" spans="1:18" ht="16.5" thickTop="1"/>
    <row r="234" spans="1:18" hidden="1">
      <c r="A234" s="228" t="s">
        <v>200</v>
      </c>
    </row>
    <row r="235" spans="1:18" hidden="1">
      <c r="A235" s="84" t="s">
        <v>174</v>
      </c>
      <c r="C235" s="227">
        <v>157.84953632148375</v>
      </c>
      <c r="E235" s="44">
        <v>53</v>
      </c>
      <c r="F235" s="44"/>
      <c r="G235" s="6">
        <v>8366</v>
      </c>
    </row>
    <row r="236" spans="1:18" hidden="1">
      <c r="A236" s="84" t="s">
        <v>190</v>
      </c>
      <c r="C236" s="227">
        <v>446919.92134186177</v>
      </c>
      <c r="D236" s="10"/>
      <c r="E236" s="259">
        <v>22.156199999999998</v>
      </c>
      <c r="F236" s="232" t="s">
        <v>153</v>
      </c>
      <c r="G236" s="6">
        <v>99020</v>
      </c>
      <c r="I236" s="47">
        <v>0.24504975000000001</v>
      </c>
      <c r="J236" s="44"/>
      <c r="K236" s="6">
        <f t="shared" ref="K236:K243" si="49">$G236*I236</f>
        <v>24264.826245</v>
      </c>
      <c r="M236" s="47">
        <f t="shared" ref="M236:M243" si="50">M$284</f>
        <v>0.27285002000000003</v>
      </c>
      <c r="N236" s="44"/>
      <c r="O236" s="6">
        <f t="shared" ref="O236:O243" si="51">$G236*M236</f>
        <v>27017.608980400004</v>
      </c>
      <c r="Q236" s="3"/>
      <c r="R236" s="4"/>
    </row>
    <row r="237" spans="1:18" hidden="1">
      <c r="A237" s="84" t="s">
        <v>191</v>
      </c>
      <c r="C237" s="227">
        <v>1064811.2609841989</v>
      </c>
      <c r="D237" s="10"/>
      <c r="E237" s="259">
        <v>4.309899999999999</v>
      </c>
      <c r="F237" s="232" t="s">
        <v>153</v>
      </c>
      <c r="G237" s="6">
        <v>45892</v>
      </c>
      <c r="I237" s="47">
        <v>0.24504975000000001</v>
      </c>
      <c r="J237" s="44"/>
      <c r="K237" s="6">
        <f t="shared" si="49"/>
        <v>11245.823127</v>
      </c>
      <c r="M237" s="47">
        <f t="shared" si="50"/>
        <v>0.27285002000000003</v>
      </c>
      <c r="N237" s="44"/>
      <c r="O237" s="6">
        <f t="shared" si="51"/>
        <v>12521.633117840001</v>
      </c>
      <c r="Q237" s="3"/>
      <c r="R237" s="4"/>
    </row>
    <row r="238" spans="1:18" hidden="1">
      <c r="A238" s="84" t="s">
        <v>192</v>
      </c>
      <c r="C238" s="227">
        <v>604584.22636234248</v>
      </c>
      <c r="D238" s="10"/>
      <c r="E238" s="259">
        <v>19.607299999999999</v>
      </c>
      <c r="F238" s="232" t="s">
        <v>153</v>
      </c>
      <c r="G238" s="6">
        <v>118543</v>
      </c>
      <c r="I238" s="47">
        <v>0.24504975000000001</v>
      </c>
      <c r="J238" s="44"/>
      <c r="K238" s="6">
        <f t="shared" si="49"/>
        <v>29048.932514250002</v>
      </c>
      <c r="M238" s="47">
        <f t="shared" si="50"/>
        <v>0.27285002000000003</v>
      </c>
      <c r="N238" s="44"/>
      <c r="O238" s="6">
        <f t="shared" si="51"/>
        <v>32344.459920860005</v>
      </c>
      <c r="Q238" s="252"/>
      <c r="R238" s="4"/>
    </row>
    <row r="239" spans="1:18" hidden="1">
      <c r="A239" s="84" t="s">
        <v>193</v>
      </c>
      <c r="C239" s="227">
        <v>1835924.9717515896</v>
      </c>
      <c r="D239" s="10"/>
      <c r="E239" s="259">
        <v>3.8140999999999989</v>
      </c>
      <c r="F239" s="232" t="s">
        <v>153</v>
      </c>
      <c r="G239" s="6">
        <v>70024</v>
      </c>
      <c r="I239" s="47">
        <v>0.24504975000000001</v>
      </c>
      <c r="J239" s="44"/>
      <c r="K239" s="6">
        <f t="shared" si="49"/>
        <v>17159.363694</v>
      </c>
      <c r="M239" s="47">
        <f t="shared" si="50"/>
        <v>0.27285002000000003</v>
      </c>
      <c r="N239" s="44"/>
      <c r="O239" s="6">
        <f t="shared" si="51"/>
        <v>19106.049800480003</v>
      </c>
      <c r="Q239" s="3"/>
      <c r="R239" s="253"/>
    </row>
    <row r="240" spans="1:18" hidden="1">
      <c r="A240" s="84" t="s">
        <v>194</v>
      </c>
      <c r="C240" s="227">
        <v>839540.67368902243</v>
      </c>
      <c r="D240" s="10"/>
      <c r="E240" s="259">
        <v>6</v>
      </c>
      <c r="F240" s="232" t="s">
        <v>153</v>
      </c>
      <c r="G240" s="6">
        <v>50372</v>
      </c>
      <c r="I240" s="47">
        <v>0.24504975000000001</v>
      </c>
      <c r="J240" s="44"/>
      <c r="K240" s="6">
        <f t="shared" si="49"/>
        <v>12343.646007000001</v>
      </c>
      <c r="M240" s="47">
        <f t="shared" si="50"/>
        <v>0.27285002000000003</v>
      </c>
      <c r="N240" s="44"/>
      <c r="O240" s="6">
        <f t="shared" si="51"/>
        <v>13744.001207440002</v>
      </c>
    </row>
    <row r="241" spans="1:15" hidden="1">
      <c r="A241" s="84" t="s">
        <v>195</v>
      </c>
      <c r="C241" s="227">
        <v>672190.50863703794</v>
      </c>
      <c r="D241" s="10"/>
      <c r="E241" s="259">
        <v>-2.335799999999999</v>
      </c>
      <c r="F241" s="232" t="s">
        <v>153</v>
      </c>
      <c r="G241" s="6">
        <v>-15701</v>
      </c>
      <c r="I241" s="47">
        <v>0.24504975000000001</v>
      </c>
      <c r="J241" s="44"/>
      <c r="K241" s="6">
        <f t="shared" si="49"/>
        <v>-3847.5261247500002</v>
      </c>
      <c r="M241" s="47">
        <f t="shared" si="50"/>
        <v>0.27285002000000003</v>
      </c>
      <c r="N241" s="44"/>
      <c r="O241" s="6">
        <f t="shared" si="51"/>
        <v>-4284.0181640200008</v>
      </c>
    </row>
    <row r="242" spans="1:15" hidden="1">
      <c r="A242" s="84" t="s">
        <v>196</v>
      </c>
      <c r="C242" s="227">
        <v>1355338.0126592533</v>
      </c>
      <c r="D242" s="10"/>
      <c r="E242" s="259">
        <v>5.3097000000000003</v>
      </c>
      <c r="F242" s="232" t="s">
        <v>153</v>
      </c>
      <c r="G242" s="6">
        <v>71964</v>
      </c>
      <c r="I242" s="47">
        <v>0.24504975000000001</v>
      </c>
      <c r="J242" s="44"/>
      <c r="K242" s="6">
        <f t="shared" si="49"/>
        <v>17634.760209</v>
      </c>
      <c r="M242" s="47">
        <f t="shared" si="50"/>
        <v>0.27285002000000003</v>
      </c>
      <c r="N242" s="44"/>
      <c r="O242" s="6">
        <f t="shared" si="51"/>
        <v>19635.378839280002</v>
      </c>
    </row>
    <row r="243" spans="1:15" hidden="1">
      <c r="A243" s="84" t="s">
        <v>197</v>
      </c>
      <c r="C243" s="227">
        <v>1085171.1854546787</v>
      </c>
      <c r="D243" s="10"/>
      <c r="E243" s="259">
        <v>-2.0670999999999999</v>
      </c>
      <c r="F243" s="232" t="s">
        <v>153</v>
      </c>
      <c r="G243" s="6">
        <v>-22432</v>
      </c>
      <c r="I243" s="47">
        <v>0.24504975000000001</v>
      </c>
      <c r="J243" s="44"/>
      <c r="K243" s="6">
        <f t="shared" si="49"/>
        <v>-5496.9559920000002</v>
      </c>
      <c r="M243" s="47">
        <f t="shared" si="50"/>
        <v>0.27285002000000003</v>
      </c>
      <c r="N243" s="44"/>
      <c r="O243" s="6">
        <f t="shared" si="51"/>
        <v>-6120.5716486400006</v>
      </c>
    </row>
    <row r="244" spans="1:15" hidden="1">
      <c r="A244" s="84" t="s">
        <v>183</v>
      </c>
      <c r="C244" s="227">
        <v>0</v>
      </c>
      <c r="E244" s="44">
        <v>-0.61</v>
      </c>
      <c r="F244" s="44"/>
      <c r="G244" s="6">
        <v>0</v>
      </c>
    </row>
    <row r="245" spans="1:15" hidden="1">
      <c r="A245" s="239" t="s">
        <v>160</v>
      </c>
      <c r="C245" s="227">
        <v>0</v>
      </c>
      <c r="E245" s="49">
        <v>7.125</v>
      </c>
      <c r="F245" s="232" t="s">
        <v>153</v>
      </c>
      <c r="G245" s="6">
        <v>0</v>
      </c>
      <c r="J245" s="10"/>
      <c r="N245" s="10"/>
    </row>
    <row r="246" spans="1:15" hidden="1">
      <c r="A246" s="84" t="s">
        <v>198</v>
      </c>
      <c r="C246" s="227">
        <v>3952240.3804399925</v>
      </c>
      <c r="E246" s="44"/>
      <c r="F246" s="44"/>
      <c r="G246" s="6">
        <v>426048</v>
      </c>
      <c r="I246" s="260"/>
      <c r="J246" s="232"/>
      <c r="K246" s="205">
        <f>SUM(K236:K245)</f>
        <v>102352.8696795</v>
      </c>
      <c r="N246" s="232"/>
      <c r="O246" s="205">
        <f>SUM(O236:O245)</f>
        <v>113964.54205364002</v>
      </c>
    </row>
    <row r="247" spans="1:15" hidden="1">
      <c r="A247" s="84"/>
      <c r="E247" s="44"/>
      <c r="F247" s="44"/>
    </row>
    <row r="248" spans="1:15" hidden="1">
      <c r="A248" s="84" t="s">
        <v>174</v>
      </c>
      <c r="C248" s="227">
        <v>157.84953632148375</v>
      </c>
      <c r="E248" s="10">
        <v>53</v>
      </c>
      <c r="F248" s="10"/>
      <c r="G248" s="6">
        <v>8366</v>
      </c>
    </row>
    <row r="249" spans="1:15" hidden="1">
      <c r="A249" s="84" t="s">
        <v>175</v>
      </c>
      <c r="C249" s="227">
        <v>0</v>
      </c>
      <c r="E249" s="10">
        <v>636</v>
      </c>
      <c r="F249" s="10"/>
      <c r="G249" s="6">
        <v>0</v>
      </c>
    </row>
    <row r="250" spans="1:15" hidden="1">
      <c r="A250" s="84" t="s">
        <v>150</v>
      </c>
      <c r="C250" s="227">
        <v>0</v>
      </c>
      <c r="E250" s="10">
        <v>53</v>
      </c>
      <c r="F250" s="10"/>
      <c r="G250" s="6">
        <v>0</v>
      </c>
      <c r="I250" s="47"/>
      <c r="J250" s="47"/>
      <c r="M250" s="47"/>
      <c r="N250" s="47"/>
    </row>
    <row r="251" spans="1:15" hidden="1">
      <c r="A251" s="84" t="s">
        <v>177</v>
      </c>
      <c r="C251" s="227">
        <v>21101</v>
      </c>
      <c r="E251" s="10">
        <v>3.99</v>
      </c>
      <c r="F251" s="10"/>
      <c r="G251" s="6">
        <v>84193</v>
      </c>
    </row>
    <row r="252" spans="1:15" hidden="1">
      <c r="A252" s="84" t="s">
        <v>178</v>
      </c>
      <c r="C252" s="227">
        <v>8990</v>
      </c>
      <c r="E252" s="10">
        <v>13.27</v>
      </c>
      <c r="F252" s="10"/>
      <c r="G252" s="6">
        <v>119297</v>
      </c>
      <c r="I252" s="47">
        <v>0.26373608999999998</v>
      </c>
      <c r="J252" s="44"/>
      <c r="K252" s="6">
        <f>$G252*I252</f>
        <v>31462.924328729998</v>
      </c>
      <c r="M252" s="47">
        <f t="shared" ref="M252:M255" si="52">M$139</f>
        <v>0.29365625000000001</v>
      </c>
      <c r="N252" s="44"/>
      <c r="O252" s="6">
        <f>$G252*M252</f>
        <v>35032.30965625</v>
      </c>
    </row>
    <row r="253" spans="1:15" hidden="1">
      <c r="A253" s="84" t="s">
        <v>179</v>
      </c>
      <c r="C253" s="227">
        <v>12111</v>
      </c>
      <c r="E253" s="10">
        <v>11.74</v>
      </c>
      <c r="F253" s="10"/>
      <c r="G253" s="6">
        <v>142183</v>
      </c>
      <c r="I253" s="47">
        <v>0.26373608999999998</v>
      </c>
      <c r="J253" s="44"/>
      <c r="K253" s="6">
        <f>$G253*I253</f>
        <v>37498.788484469995</v>
      </c>
      <c r="M253" s="47">
        <f t="shared" si="52"/>
        <v>0.29365625000000001</v>
      </c>
      <c r="N253" s="44"/>
      <c r="O253" s="6">
        <f>$G253*M253</f>
        <v>41752.926593750002</v>
      </c>
    </row>
    <row r="254" spans="1:15" hidden="1">
      <c r="A254" s="84" t="s">
        <v>180</v>
      </c>
      <c r="C254" s="227">
        <v>1511731.3804399925</v>
      </c>
      <c r="E254" s="49">
        <v>3.8877999999999999</v>
      </c>
      <c r="F254" s="232" t="s">
        <v>153</v>
      </c>
      <c r="G254" s="6">
        <v>58773</v>
      </c>
      <c r="I254" s="47">
        <v>0.26373608999999998</v>
      </c>
      <c r="J254" s="44"/>
      <c r="K254" s="6">
        <f>$G254*I254</f>
        <v>15500.561217569999</v>
      </c>
      <c r="M254" s="47">
        <f t="shared" si="52"/>
        <v>0.29365625000000001</v>
      </c>
      <c r="N254" s="44"/>
      <c r="O254" s="6">
        <f>$G254*M254</f>
        <v>17259.058781250002</v>
      </c>
    </row>
    <row r="255" spans="1:15" hidden="1">
      <c r="A255" s="84" t="s">
        <v>182</v>
      </c>
      <c r="C255" s="227">
        <v>2440509</v>
      </c>
      <c r="E255" s="49">
        <v>3.4405000000000001</v>
      </c>
      <c r="F255" s="232" t="s">
        <v>153</v>
      </c>
      <c r="G255" s="6">
        <v>83966</v>
      </c>
      <c r="I255" s="47">
        <v>0.26373608999999998</v>
      </c>
      <c r="J255" s="44"/>
      <c r="K255" s="6">
        <f>$G255*I255</f>
        <v>22144.864532939999</v>
      </c>
      <c r="M255" s="47">
        <f t="shared" si="52"/>
        <v>0.29365625000000001</v>
      </c>
      <c r="N255" s="44"/>
      <c r="O255" s="6">
        <f>$G255*M255</f>
        <v>24657.140687499999</v>
      </c>
    </row>
    <row r="256" spans="1:15" hidden="1">
      <c r="A256" s="84" t="s">
        <v>183</v>
      </c>
      <c r="C256" s="227">
        <v>0</v>
      </c>
      <c r="E256" s="10">
        <v>-0.96</v>
      </c>
      <c r="F256" s="10"/>
      <c r="G256" s="6">
        <v>0</v>
      </c>
      <c r="J256" s="10"/>
      <c r="N256" s="10"/>
    </row>
    <row r="257" spans="1:18" ht="16.5" hidden="1" thickBot="1">
      <c r="A257" s="84" t="s">
        <v>162</v>
      </c>
      <c r="C257" s="258">
        <v>3952240.3804399925</v>
      </c>
      <c r="E257" s="68"/>
      <c r="G257" s="13">
        <v>496778</v>
      </c>
      <c r="I257" s="48"/>
      <c r="K257" s="13">
        <f>SUM(K252:K256)</f>
        <v>106607.13856370999</v>
      </c>
      <c r="M257" s="48"/>
      <c r="O257" s="13">
        <f>SUM(O252:O256)</f>
        <v>118701.43571875</v>
      </c>
    </row>
    <row r="258" spans="1:18">
      <c r="I258" s="47"/>
      <c r="J258" s="232"/>
      <c r="N258" s="232"/>
    </row>
    <row r="259" spans="1:18">
      <c r="A259" s="228" t="s">
        <v>201</v>
      </c>
      <c r="D259" s="10"/>
    </row>
    <row r="260" spans="1:18">
      <c r="A260" s="84" t="s">
        <v>174</v>
      </c>
      <c r="C260" s="227">
        <v>69.151622418879057</v>
      </c>
      <c r="E260" s="44">
        <v>53</v>
      </c>
      <c r="F260" s="44"/>
      <c r="G260" s="6">
        <v>3665</v>
      </c>
    </row>
    <row r="261" spans="1:18">
      <c r="A261" s="84" t="s">
        <v>190</v>
      </c>
      <c r="C261" s="227">
        <v>23181.405554894285</v>
      </c>
      <c r="D261" s="10"/>
      <c r="E261" s="259">
        <v>22.156199999999998</v>
      </c>
      <c r="F261" s="232" t="s">
        <v>153</v>
      </c>
      <c r="G261" s="6">
        <v>5136</v>
      </c>
      <c r="I261" s="47">
        <v>0.24504975000000001</v>
      </c>
      <c r="J261" s="44"/>
      <c r="K261" s="6">
        <f t="shared" ref="K261:K268" si="53">$G261*I261</f>
        <v>1258.5755160000001</v>
      </c>
      <c r="M261" s="47">
        <f t="shared" ref="M261:M268" si="54">M$284</f>
        <v>0.27285002000000003</v>
      </c>
      <c r="N261" s="44"/>
      <c r="O261" s="6">
        <f t="shared" ref="O261:O268" si="55">$G261*M261</f>
        <v>1401.3577027200001</v>
      </c>
    </row>
    <row r="262" spans="1:18">
      <c r="A262" s="84" t="s">
        <v>191</v>
      </c>
      <c r="C262" s="227">
        <v>32182.25158153542</v>
      </c>
      <c r="D262" s="10"/>
      <c r="E262" s="259">
        <v>4.309899999999999</v>
      </c>
      <c r="F262" s="232" t="s">
        <v>153</v>
      </c>
      <c r="G262" s="6">
        <v>1387</v>
      </c>
      <c r="I262" s="47">
        <v>0.24504975000000001</v>
      </c>
      <c r="J262" s="44"/>
      <c r="K262" s="6">
        <f t="shared" si="53"/>
        <v>339.88400325000003</v>
      </c>
      <c r="M262" s="47">
        <f t="shared" si="54"/>
        <v>0.27285002000000003</v>
      </c>
      <c r="N262" s="44"/>
      <c r="O262" s="6">
        <f t="shared" si="55"/>
        <v>378.44297774000006</v>
      </c>
    </row>
    <row r="263" spans="1:18">
      <c r="A263" s="84" t="s">
        <v>192</v>
      </c>
      <c r="C263" s="227">
        <v>59234.229549653035</v>
      </c>
      <c r="D263" s="10"/>
      <c r="E263" s="259">
        <v>19.607299999999999</v>
      </c>
      <c r="F263" s="232" t="s">
        <v>153</v>
      </c>
      <c r="G263" s="6">
        <v>11614</v>
      </c>
      <c r="I263" s="47">
        <v>0.24504975000000001</v>
      </c>
      <c r="J263" s="44"/>
      <c r="K263" s="6">
        <f t="shared" si="53"/>
        <v>2846.0077965</v>
      </c>
      <c r="M263" s="47">
        <f t="shared" si="54"/>
        <v>0.27285002000000003</v>
      </c>
      <c r="N263" s="44"/>
      <c r="O263" s="6">
        <f t="shared" si="55"/>
        <v>3168.8801322800005</v>
      </c>
    </row>
    <row r="264" spans="1:18">
      <c r="A264" s="84" t="s">
        <v>193</v>
      </c>
      <c r="C264" s="227">
        <v>26202.396718020587</v>
      </c>
      <c r="D264" s="10"/>
      <c r="E264" s="259">
        <v>3.8140999999999989</v>
      </c>
      <c r="F264" s="232" t="s">
        <v>153</v>
      </c>
      <c r="G264" s="6">
        <v>999</v>
      </c>
      <c r="I264" s="47">
        <v>0.24504975000000001</v>
      </c>
      <c r="J264" s="44"/>
      <c r="K264" s="6">
        <f t="shared" si="53"/>
        <v>244.80470025000002</v>
      </c>
      <c r="M264" s="47">
        <f t="shared" si="54"/>
        <v>0.27285002000000003</v>
      </c>
      <c r="N264" s="44"/>
      <c r="O264" s="6">
        <f t="shared" si="55"/>
        <v>272.57716998000001</v>
      </c>
    </row>
    <row r="265" spans="1:18">
      <c r="A265" s="84" t="s">
        <v>194</v>
      </c>
      <c r="C265" s="227">
        <v>30746.234881977271</v>
      </c>
      <c r="D265" s="10"/>
      <c r="E265" s="259">
        <v>6</v>
      </c>
      <c r="F265" s="232" t="s">
        <v>153</v>
      </c>
      <c r="G265" s="6">
        <v>1845</v>
      </c>
      <c r="I265" s="47">
        <v>0.24504975000000001</v>
      </c>
      <c r="J265" s="44"/>
      <c r="K265" s="6">
        <f t="shared" si="53"/>
        <v>452.11678875000001</v>
      </c>
      <c r="M265" s="47">
        <f t="shared" si="54"/>
        <v>0.27285002000000003</v>
      </c>
      <c r="N265" s="44"/>
      <c r="O265" s="6">
        <f t="shared" si="55"/>
        <v>503.40828690000006</v>
      </c>
    </row>
    <row r="266" spans="1:18">
      <c r="A266" s="84" t="s">
        <v>195</v>
      </c>
      <c r="C266" s="227">
        <v>24617.422254452438</v>
      </c>
      <c r="D266" s="10"/>
      <c r="E266" s="259">
        <v>-2.335799999999999</v>
      </c>
      <c r="F266" s="232" t="s">
        <v>153</v>
      </c>
      <c r="G266" s="6">
        <v>-575</v>
      </c>
      <c r="I266" s="47">
        <v>0.24504975000000001</v>
      </c>
      <c r="J266" s="44"/>
      <c r="K266" s="6">
        <f t="shared" si="53"/>
        <v>-140.90360625</v>
      </c>
      <c r="M266" s="47">
        <f t="shared" si="54"/>
        <v>0.27285002000000003</v>
      </c>
      <c r="N266" s="44"/>
      <c r="O266" s="6">
        <f t="shared" si="55"/>
        <v>-156.88876150000002</v>
      </c>
    </row>
    <row r="267" spans="1:18">
      <c r="A267" s="84" t="s">
        <v>196</v>
      </c>
      <c r="C267" s="227">
        <v>47447.273439259698</v>
      </c>
      <c r="D267" s="10"/>
      <c r="E267" s="259">
        <v>5.3097000000000003</v>
      </c>
      <c r="F267" s="232" t="s">
        <v>153</v>
      </c>
      <c r="G267" s="6">
        <v>2519</v>
      </c>
      <c r="I267" s="47">
        <v>0.24504975000000001</v>
      </c>
      <c r="J267" s="44"/>
      <c r="K267" s="6">
        <f t="shared" si="53"/>
        <v>617.28032025000005</v>
      </c>
      <c r="M267" s="47">
        <f t="shared" si="54"/>
        <v>0.27285002000000003</v>
      </c>
      <c r="N267" s="44"/>
      <c r="O267" s="6">
        <f t="shared" si="55"/>
        <v>687.30920038000011</v>
      </c>
    </row>
    <row r="268" spans="1:18">
      <c r="A268" s="84" t="s">
        <v>197</v>
      </c>
      <c r="C268" s="227">
        <v>37989.352828413917</v>
      </c>
      <c r="D268" s="10"/>
      <c r="E268" s="259">
        <v>-2.0670999999999999</v>
      </c>
      <c r="F268" s="232" t="s">
        <v>153</v>
      </c>
      <c r="G268" s="6">
        <v>-785</v>
      </c>
      <c r="I268" s="47">
        <v>0.24504975000000001</v>
      </c>
      <c r="J268" s="44"/>
      <c r="K268" s="6">
        <f t="shared" si="53"/>
        <v>-192.36405375000001</v>
      </c>
      <c r="M268" s="47">
        <f t="shared" si="54"/>
        <v>0.27285002000000003</v>
      </c>
      <c r="N268" s="44"/>
      <c r="O268" s="6">
        <f t="shared" si="55"/>
        <v>-214.18726570000001</v>
      </c>
    </row>
    <row r="269" spans="1:18">
      <c r="A269" s="84" t="s">
        <v>183</v>
      </c>
      <c r="C269" s="227">
        <v>0</v>
      </c>
      <c r="E269" s="44">
        <v>-0.61</v>
      </c>
      <c r="F269" s="44"/>
      <c r="G269" s="6">
        <v>0</v>
      </c>
      <c r="I269" s="47"/>
      <c r="J269" s="44"/>
      <c r="M269" s="14"/>
      <c r="N269" s="44"/>
    </row>
    <row r="270" spans="1:18">
      <c r="A270" s="239" t="s">
        <v>160</v>
      </c>
      <c r="C270" s="227">
        <v>0</v>
      </c>
      <c r="E270" s="49">
        <v>7.125</v>
      </c>
      <c r="F270" s="232" t="s">
        <v>153</v>
      </c>
      <c r="G270" s="6">
        <v>0</v>
      </c>
      <c r="I270" s="47"/>
      <c r="J270" s="44"/>
      <c r="M270" s="14"/>
      <c r="N270" s="44"/>
      <c r="Q270" s="65"/>
      <c r="R270" s="65"/>
    </row>
    <row r="271" spans="1:18">
      <c r="A271" s="84" t="s">
        <v>198</v>
      </c>
      <c r="C271" s="227">
        <v>140800.28340410333</v>
      </c>
      <c r="E271" s="44"/>
      <c r="F271" s="44"/>
      <c r="G271" s="6">
        <v>25805</v>
      </c>
      <c r="I271" s="260"/>
      <c r="J271" s="44"/>
      <c r="K271" s="205">
        <f>SUM(K261:K270)</f>
        <v>5425.4014649999999</v>
      </c>
      <c r="M271" s="14"/>
      <c r="N271" s="44"/>
      <c r="O271" s="205">
        <f>SUM(O261:O270)</f>
        <v>6040.8994428000005</v>
      </c>
      <c r="Q271" s="65"/>
      <c r="R271" s="65"/>
    </row>
    <row r="272" spans="1:18">
      <c r="A272" s="84"/>
      <c r="E272" s="44"/>
      <c r="F272" s="44"/>
      <c r="I272" s="47"/>
      <c r="J272" s="44"/>
      <c r="M272" s="14"/>
      <c r="N272" s="44"/>
      <c r="Q272" s="65"/>
      <c r="R272" s="65"/>
    </row>
    <row r="273" spans="1:18">
      <c r="A273" s="84" t="s">
        <v>174</v>
      </c>
      <c r="C273" s="227">
        <v>69.151622418879057</v>
      </c>
      <c r="E273" s="44">
        <v>53</v>
      </c>
      <c r="F273" s="44"/>
      <c r="G273" s="6">
        <v>3665</v>
      </c>
      <c r="I273" s="47"/>
      <c r="J273" s="44"/>
      <c r="M273" s="14"/>
      <c r="N273" s="44"/>
      <c r="Q273" s="65"/>
      <c r="R273" s="65"/>
    </row>
    <row r="274" spans="1:18">
      <c r="A274" s="84" t="s">
        <v>175</v>
      </c>
      <c r="C274" s="227">
        <v>0</v>
      </c>
      <c r="D274" s="10"/>
      <c r="E274" s="44">
        <v>636</v>
      </c>
      <c r="F274" s="44"/>
      <c r="G274" s="6">
        <v>0</v>
      </c>
      <c r="I274" s="47"/>
      <c r="J274" s="44"/>
      <c r="M274" s="14"/>
      <c r="N274" s="44"/>
      <c r="Q274" s="65"/>
      <c r="R274" s="65"/>
    </row>
    <row r="275" spans="1:18">
      <c r="A275" s="84" t="s">
        <v>177</v>
      </c>
      <c r="C275" s="227">
        <v>2794</v>
      </c>
      <c r="E275" s="44">
        <v>3.99</v>
      </c>
      <c r="F275" s="44"/>
      <c r="G275" s="6">
        <v>11148</v>
      </c>
      <c r="I275" s="47"/>
      <c r="J275" s="44"/>
      <c r="M275" s="14"/>
      <c r="N275" s="44"/>
      <c r="Q275" s="65"/>
      <c r="R275" s="65"/>
    </row>
    <row r="276" spans="1:18">
      <c r="A276" s="84" t="s">
        <v>187</v>
      </c>
      <c r="C276" s="227">
        <v>832</v>
      </c>
      <c r="E276" s="10">
        <v>13.27</v>
      </c>
      <c r="F276" s="10"/>
      <c r="G276" s="6">
        <v>11041</v>
      </c>
      <c r="I276" s="47">
        <v>0.26373608999999998</v>
      </c>
      <c r="J276" s="44"/>
      <c r="K276" s="6">
        <f>$G276*I276</f>
        <v>2911.9101696899997</v>
      </c>
      <c r="M276" s="47">
        <f t="shared" ref="M276:M279" si="56">M$139</f>
        <v>0.29365625000000001</v>
      </c>
      <c r="N276" s="44"/>
      <c r="O276" s="6">
        <f>$G276*M276</f>
        <v>3242.2586562500001</v>
      </c>
      <c r="Q276" s="65"/>
      <c r="R276" s="65"/>
    </row>
    <row r="277" spans="1:18">
      <c r="A277" s="84" t="s">
        <v>188</v>
      </c>
      <c r="C277" s="227">
        <v>1962</v>
      </c>
      <c r="E277" s="10">
        <v>11.74</v>
      </c>
      <c r="F277" s="10"/>
      <c r="G277" s="6">
        <v>23034</v>
      </c>
      <c r="I277" s="47">
        <v>0.26373608999999998</v>
      </c>
      <c r="J277" s="44"/>
      <c r="K277" s="6">
        <f>$G277*I277</f>
        <v>6074.8970970599994</v>
      </c>
      <c r="M277" s="47">
        <f t="shared" si="56"/>
        <v>0.29365625000000001</v>
      </c>
      <c r="N277" s="44"/>
      <c r="O277" s="6">
        <f>$G277*M277</f>
        <v>6764.0780624999998</v>
      </c>
      <c r="Q277" s="65"/>
      <c r="R277" s="65"/>
    </row>
    <row r="278" spans="1:18">
      <c r="A278" s="84" t="s">
        <v>180</v>
      </c>
      <c r="C278" s="227">
        <v>55363.283404103327</v>
      </c>
      <c r="E278" s="49">
        <v>3.8877999999999999</v>
      </c>
      <c r="F278" s="232" t="s">
        <v>153</v>
      </c>
      <c r="G278" s="6">
        <v>2152</v>
      </c>
      <c r="I278" s="47">
        <v>0.26373608999999998</v>
      </c>
      <c r="J278" s="44"/>
      <c r="K278" s="6">
        <f>$G278*I278</f>
        <v>567.56006567999998</v>
      </c>
      <c r="M278" s="47">
        <f t="shared" si="56"/>
        <v>0.29365625000000001</v>
      </c>
      <c r="N278" s="44"/>
      <c r="O278" s="6">
        <f>$G278*M278</f>
        <v>631.94825000000003</v>
      </c>
      <c r="Q278" s="65"/>
      <c r="R278" s="65"/>
    </row>
    <row r="279" spans="1:18">
      <c r="A279" s="84" t="s">
        <v>182</v>
      </c>
      <c r="C279" s="227">
        <v>85437</v>
      </c>
      <c r="E279" s="49">
        <v>3.4405000000000001</v>
      </c>
      <c r="F279" s="232" t="s">
        <v>153</v>
      </c>
      <c r="G279" s="6">
        <v>2939</v>
      </c>
      <c r="I279" s="47">
        <v>0.26373608999999998</v>
      </c>
      <c r="J279" s="44"/>
      <c r="K279" s="6">
        <f>$G279*I279</f>
        <v>775.12036850999993</v>
      </c>
      <c r="M279" s="47">
        <f t="shared" si="56"/>
        <v>0.29365625000000001</v>
      </c>
      <c r="N279" s="44"/>
      <c r="O279" s="6">
        <f>$G279*M279</f>
        <v>863.05571874999998</v>
      </c>
      <c r="Q279" s="65"/>
      <c r="R279" s="65"/>
    </row>
    <row r="280" spans="1:18">
      <c r="A280" s="84" t="s">
        <v>183</v>
      </c>
      <c r="C280" s="227">
        <v>0</v>
      </c>
      <c r="E280" s="44">
        <v>-0.96</v>
      </c>
      <c r="F280" s="44"/>
      <c r="G280" s="6">
        <v>0</v>
      </c>
      <c r="I280" s="47"/>
      <c r="J280" s="44"/>
      <c r="M280" s="14"/>
      <c r="N280" s="44"/>
      <c r="Q280" s="65"/>
      <c r="R280" s="65"/>
    </row>
    <row r="281" spans="1:18" ht="16.5" thickBot="1">
      <c r="A281" s="84" t="s">
        <v>162</v>
      </c>
      <c r="C281" s="258">
        <v>140800.28340410333</v>
      </c>
      <c r="E281" s="68"/>
      <c r="G281" s="13">
        <v>53979</v>
      </c>
      <c r="I281" s="48"/>
      <c r="K281" s="13">
        <f>SUM(K276:K280)</f>
        <v>10329.487700939997</v>
      </c>
      <c r="M281" s="48"/>
      <c r="O281" s="13">
        <f>SUM(O276:O280)</f>
        <v>11501.3406875</v>
      </c>
      <c r="Q281" s="65"/>
      <c r="R281" s="65"/>
    </row>
    <row r="282" spans="1:18" ht="16.5" thickTop="1">
      <c r="I282" s="47"/>
      <c r="J282" s="44"/>
      <c r="M282" s="14"/>
      <c r="N282" s="44"/>
      <c r="Q282" s="65"/>
      <c r="R282" s="65"/>
    </row>
    <row r="283" spans="1:18">
      <c r="A283" s="228" t="s">
        <v>202</v>
      </c>
      <c r="E283" s="49"/>
      <c r="F283" s="49"/>
      <c r="I283" s="47"/>
      <c r="J283" s="44"/>
      <c r="M283" s="14"/>
      <c r="N283" s="44"/>
      <c r="Q283" s="65"/>
      <c r="R283" s="65"/>
    </row>
    <row r="284" spans="1:18">
      <c r="A284" s="84" t="s">
        <v>190</v>
      </c>
      <c r="C284" s="227">
        <v>44585441.124639124</v>
      </c>
      <c r="D284" s="10"/>
      <c r="E284" s="259">
        <v>22.156199999999998</v>
      </c>
      <c r="F284" s="232" t="s">
        <v>153</v>
      </c>
      <c r="G284" s="6">
        <v>9878440</v>
      </c>
      <c r="I284" s="236">
        <v>0.24504975000000001</v>
      </c>
      <c r="J284" s="44"/>
      <c r="K284" s="6">
        <f>$G284*I284</f>
        <v>2420709.25239</v>
      </c>
      <c r="M284" s="202">
        <f>R288</f>
        <v>0.27285002000000003</v>
      </c>
      <c r="N284" s="44"/>
      <c r="O284" s="6">
        <f>$G284*M284</f>
        <v>2695332.5515688001</v>
      </c>
      <c r="Q284" s="3" t="s">
        <v>203</v>
      </c>
    </row>
    <row r="285" spans="1:18">
      <c r="A285" s="84" t="s">
        <v>191</v>
      </c>
      <c r="C285" s="227">
        <v>80754202</v>
      </c>
      <c r="D285" s="10"/>
      <c r="E285" s="259">
        <v>4.309899999999999</v>
      </c>
      <c r="F285" s="232" t="s">
        <v>153</v>
      </c>
      <c r="G285" s="6">
        <v>3480425</v>
      </c>
      <c r="I285" s="47">
        <v>0.24504975000000001</v>
      </c>
      <c r="J285" s="44"/>
      <c r="K285" s="6">
        <f>$G285*I285</f>
        <v>852877.27614375006</v>
      </c>
      <c r="M285" s="47">
        <f>M$284</f>
        <v>0.27285002000000003</v>
      </c>
      <c r="N285" s="44"/>
      <c r="O285" s="6">
        <f>$G285*M285</f>
        <v>949634.03085850005</v>
      </c>
      <c r="Q285" s="255" t="s">
        <v>145</v>
      </c>
      <c r="R285" s="7">
        <f>SUM(O296,O309,O526)</f>
        <v>11826840.187111437</v>
      </c>
    </row>
    <row r="286" spans="1:18">
      <c r="A286" s="84" t="s">
        <v>192</v>
      </c>
      <c r="C286" s="227">
        <v>73546803</v>
      </c>
      <c r="D286" s="10"/>
      <c r="E286" s="259">
        <v>19.607299999999999</v>
      </c>
      <c r="F286" s="232" t="s">
        <v>153</v>
      </c>
      <c r="G286" s="6">
        <v>14420542</v>
      </c>
      <c r="I286" s="47">
        <v>0.24504975000000001</v>
      </c>
      <c r="J286" s="44"/>
      <c r="K286" s="6">
        <f t="shared" ref="K286:K291" si="57">$G286*I286</f>
        <v>3533750.2119645001</v>
      </c>
      <c r="M286" s="47">
        <f t="shared" ref="M286:M291" si="58">M$284</f>
        <v>0.27285002000000003</v>
      </c>
      <c r="N286" s="44"/>
      <c r="O286" s="6">
        <f t="shared" ref="O286:O291" si="59">$G286*M286</f>
        <v>3934645.1731108404</v>
      </c>
      <c r="Q286" s="230" t="s">
        <v>147</v>
      </c>
      <c r="R286" s="8">
        <f>'Exhibit-RMP(RMM-1) page 2'!K21*1000</f>
        <v>11826839.977780947</v>
      </c>
    </row>
    <row r="287" spans="1:18">
      <c r="A287" s="84" t="s">
        <v>193</v>
      </c>
      <c r="C287" s="227">
        <v>153778261</v>
      </c>
      <c r="D287" s="10"/>
      <c r="E287" s="259">
        <v>3.8140999999999989</v>
      </c>
      <c r="F287" s="232" t="s">
        <v>153</v>
      </c>
      <c r="G287" s="6">
        <v>5865257</v>
      </c>
      <c r="I287" s="47">
        <v>0.24504975000000001</v>
      </c>
      <c r="J287" s="44"/>
      <c r="K287" s="6">
        <f t="shared" si="57"/>
        <v>1437279.76153575</v>
      </c>
      <c r="M287" s="47">
        <f t="shared" si="58"/>
        <v>0.27285002000000003</v>
      </c>
      <c r="N287" s="44"/>
      <c r="O287" s="6">
        <f t="shared" si="59"/>
        <v>1600335.4897551402</v>
      </c>
      <c r="Q287" s="231" t="s">
        <v>148</v>
      </c>
      <c r="R287" s="9">
        <f>R286-R285</f>
        <v>-0.20933048985898495</v>
      </c>
    </row>
    <row r="288" spans="1:18">
      <c r="A288" s="84" t="s">
        <v>194</v>
      </c>
      <c r="C288" s="227">
        <v>65422495.124639124</v>
      </c>
      <c r="D288" s="10"/>
      <c r="E288" s="261">
        <v>6</v>
      </c>
      <c r="F288" s="232" t="s">
        <v>153</v>
      </c>
      <c r="G288" s="6">
        <v>3925350</v>
      </c>
      <c r="I288" s="47">
        <v>0.24504975000000001</v>
      </c>
      <c r="J288" s="44"/>
      <c r="K288" s="6">
        <f t="shared" si="57"/>
        <v>961906.03616250004</v>
      </c>
      <c r="M288" s="47">
        <f t="shared" si="58"/>
        <v>0.27285002000000003</v>
      </c>
      <c r="N288" s="44"/>
      <c r="O288" s="6">
        <f t="shared" si="59"/>
        <v>1071031.8260070002</v>
      </c>
      <c r="Q288" s="31" t="s">
        <v>149</v>
      </c>
      <c r="R288" s="233">
        <f>ROUND(R286/SUM(G284:G291,G299:G306,G518:G525),$R$9)</f>
        <v>0.27285002000000003</v>
      </c>
    </row>
    <row r="289" spans="1:18">
      <c r="A289" s="84" t="s">
        <v>195</v>
      </c>
      <c r="C289" s="227">
        <v>59917149</v>
      </c>
      <c r="D289" s="10"/>
      <c r="E289" s="259">
        <v>-2.335799999999999</v>
      </c>
      <c r="F289" s="232" t="s">
        <v>153</v>
      </c>
      <c r="G289" s="6">
        <v>-1399545</v>
      </c>
      <c r="I289" s="47">
        <v>0.24504975000000001</v>
      </c>
      <c r="J289" s="44"/>
      <c r="K289" s="6">
        <f t="shared" si="57"/>
        <v>-342958.15236375004</v>
      </c>
      <c r="M289" s="47">
        <f t="shared" si="58"/>
        <v>0.27285002000000003</v>
      </c>
      <c r="N289" s="44"/>
      <c r="O289" s="6">
        <f t="shared" si="59"/>
        <v>-381865.88124090002</v>
      </c>
      <c r="Q289" s="65"/>
      <c r="R289" s="65"/>
    </row>
    <row r="290" spans="1:18">
      <c r="A290" s="84" t="s">
        <v>196</v>
      </c>
      <c r="C290" s="227">
        <v>124025012</v>
      </c>
      <c r="D290" s="10"/>
      <c r="E290" s="261">
        <v>5.3097000000000003</v>
      </c>
      <c r="F290" s="232" t="s">
        <v>153</v>
      </c>
      <c r="G290" s="6">
        <v>6585356</v>
      </c>
      <c r="I290" s="47">
        <v>0.24504975000000001</v>
      </c>
      <c r="J290" s="44"/>
      <c r="K290" s="6">
        <f t="shared" si="57"/>
        <v>1613739.841461</v>
      </c>
      <c r="M290" s="47">
        <f t="shared" si="58"/>
        <v>0.27285002000000003</v>
      </c>
      <c r="N290" s="44"/>
      <c r="O290" s="6">
        <f t="shared" si="59"/>
        <v>1796814.5163071202</v>
      </c>
      <c r="Q290" s="65"/>
      <c r="R290" s="65"/>
    </row>
    <row r="291" spans="1:18">
      <c r="A291" s="84" t="s">
        <v>197</v>
      </c>
      <c r="C291" s="227">
        <v>103300051</v>
      </c>
      <c r="D291" s="10"/>
      <c r="E291" s="259">
        <v>-2.0670999999999999</v>
      </c>
      <c r="F291" s="232" t="s">
        <v>153</v>
      </c>
      <c r="G291" s="6">
        <v>-2135315</v>
      </c>
      <c r="I291" s="47">
        <v>0.24504975000000001</v>
      </c>
      <c r="J291" s="44"/>
      <c r="K291" s="6">
        <f t="shared" si="57"/>
        <v>-523258.40692125005</v>
      </c>
      <c r="M291" s="47">
        <f t="shared" si="58"/>
        <v>0.27285002000000003</v>
      </c>
      <c r="N291" s="44"/>
      <c r="O291" s="6">
        <f t="shared" si="59"/>
        <v>-582620.74045630009</v>
      </c>
      <c r="Q291" s="65"/>
      <c r="R291" s="65"/>
    </row>
    <row r="292" spans="1:18">
      <c r="A292" s="84" t="s">
        <v>174</v>
      </c>
      <c r="C292" s="227">
        <v>31870</v>
      </c>
      <c r="E292" s="44">
        <v>53</v>
      </c>
      <c r="F292" s="44"/>
      <c r="G292" s="6">
        <v>1689110</v>
      </c>
      <c r="I292" s="14"/>
      <c r="J292" s="44"/>
      <c r="M292" s="14"/>
      <c r="N292" s="44"/>
      <c r="Q292" s="65"/>
      <c r="R292" s="65"/>
    </row>
    <row r="293" spans="1:18">
      <c r="A293" s="84" t="s">
        <v>183</v>
      </c>
      <c r="C293" s="227">
        <v>203454</v>
      </c>
      <c r="D293" s="10"/>
      <c r="E293" s="44">
        <v>-0.61</v>
      </c>
      <c r="F293" s="44"/>
      <c r="G293" s="6">
        <v>-124107</v>
      </c>
      <c r="I293" s="47"/>
      <c r="J293" s="44"/>
      <c r="M293" s="14"/>
      <c r="N293" s="44"/>
      <c r="Q293" s="65"/>
      <c r="R293" s="65"/>
    </row>
    <row r="294" spans="1:18">
      <c r="A294" s="239" t="s">
        <v>160</v>
      </c>
      <c r="C294" s="227">
        <v>29568815</v>
      </c>
      <c r="E294" s="49">
        <v>7.125</v>
      </c>
      <c r="F294" s="232" t="s">
        <v>153</v>
      </c>
      <c r="G294" s="6">
        <v>2106778</v>
      </c>
      <c r="I294" s="47"/>
      <c r="J294" s="44"/>
      <c r="M294" s="14"/>
      <c r="N294" s="44"/>
      <c r="Q294" s="65"/>
      <c r="R294" s="65"/>
    </row>
    <row r="295" spans="1:18">
      <c r="A295" s="239" t="s">
        <v>161</v>
      </c>
      <c r="C295" s="227">
        <v>-1649518</v>
      </c>
      <c r="E295" s="40"/>
      <c r="F295" s="10"/>
      <c r="I295" s="47"/>
      <c r="J295" s="44"/>
      <c r="M295" s="14"/>
      <c r="N295" s="44"/>
      <c r="Q295" s="65"/>
      <c r="R295" s="65"/>
    </row>
    <row r="296" spans="1:18" ht="16.5" thickBot="1">
      <c r="A296" s="84" t="s">
        <v>162</v>
      </c>
      <c r="C296" s="258">
        <v>380584004.12463915</v>
      </c>
      <c r="E296" s="68"/>
      <c r="G296" s="12">
        <v>44292291</v>
      </c>
      <c r="I296" s="48"/>
      <c r="K296" s="13">
        <f>SUM(K284:K295)</f>
        <v>9954045.8203725014</v>
      </c>
      <c r="M296" s="48"/>
      <c r="O296" s="13">
        <f>SUM(O284:O295)</f>
        <v>11083306.965910198</v>
      </c>
      <c r="Q296" s="65"/>
      <c r="R296" s="65"/>
    </row>
    <row r="297" spans="1:18" ht="16.5" thickTop="1">
      <c r="I297" s="14"/>
      <c r="J297" s="44"/>
      <c r="M297" s="14"/>
      <c r="N297" s="44"/>
      <c r="Q297" s="65"/>
      <c r="R297" s="65"/>
    </row>
    <row r="298" spans="1:18">
      <c r="A298" s="228" t="s">
        <v>204</v>
      </c>
      <c r="E298" s="49"/>
      <c r="F298" s="49"/>
      <c r="I298" s="47"/>
      <c r="J298" s="44"/>
      <c r="M298" s="14"/>
      <c r="N298" s="44"/>
      <c r="Q298" s="65"/>
      <c r="R298" s="65"/>
    </row>
    <row r="299" spans="1:18">
      <c r="A299" s="84" t="s">
        <v>190</v>
      </c>
      <c r="C299" s="227">
        <v>1790597.1011697315</v>
      </c>
      <c r="D299" s="10"/>
      <c r="E299" s="259">
        <v>22.156199999999998</v>
      </c>
      <c r="F299" s="232" t="s">
        <v>153</v>
      </c>
      <c r="G299" s="6">
        <v>396728</v>
      </c>
      <c r="I299" s="47">
        <v>0.24504975000000001</v>
      </c>
      <c r="J299" s="44"/>
      <c r="K299" s="6">
        <f>$G299*I299</f>
        <v>97218.09721800001</v>
      </c>
      <c r="M299" s="47">
        <f>M$284</f>
        <v>0.27285002000000003</v>
      </c>
      <c r="N299" s="44"/>
      <c r="O299" s="6">
        <f>$G299*M299</f>
        <v>108247.24273456002</v>
      </c>
      <c r="Q299" s="65"/>
      <c r="R299" s="65"/>
    </row>
    <row r="300" spans="1:18">
      <c r="A300" s="84" t="s">
        <v>191</v>
      </c>
      <c r="C300" s="227">
        <v>3521773</v>
      </c>
      <c r="D300" s="10"/>
      <c r="E300" s="259">
        <v>4.309899999999999</v>
      </c>
      <c r="F300" s="232" t="s">
        <v>153</v>
      </c>
      <c r="G300" s="6">
        <v>151785</v>
      </c>
      <c r="I300" s="47">
        <v>0.24504975000000001</v>
      </c>
      <c r="J300" s="44"/>
      <c r="K300" s="6">
        <f t="shared" ref="K300:K305" si="60">$G300*I300</f>
        <v>37194.876303750003</v>
      </c>
      <c r="M300" s="47">
        <f t="shared" ref="M300:M306" si="61">M$284</f>
        <v>0.27285002000000003</v>
      </c>
      <c r="N300" s="44"/>
      <c r="O300" s="6">
        <f t="shared" ref="O300:O305" si="62">$G300*M300</f>
        <v>41414.540285700001</v>
      </c>
      <c r="Q300" s="65"/>
      <c r="R300" s="65"/>
    </row>
    <row r="301" spans="1:18">
      <c r="A301" s="84" t="s">
        <v>192</v>
      </c>
      <c r="C301" s="227">
        <v>5330608</v>
      </c>
      <c r="D301" s="10"/>
      <c r="E301" s="259">
        <v>19.607299999999999</v>
      </c>
      <c r="F301" s="232" t="s">
        <v>153</v>
      </c>
      <c r="G301" s="6">
        <v>1045188</v>
      </c>
      <c r="I301" s="47">
        <v>0.24504975000000001</v>
      </c>
      <c r="J301" s="44"/>
      <c r="K301" s="6">
        <f t="shared" si="60"/>
        <v>256123.05810300002</v>
      </c>
      <c r="M301" s="47">
        <f t="shared" si="61"/>
        <v>0.27285002000000003</v>
      </c>
      <c r="N301" s="44"/>
      <c r="O301" s="6">
        <f t="shared" si="62"/>
        <v>285179.56670376001</v>
      </c>
      <c r="Q301" s="65"/>
      <c r="R301" s="65"/>
    </row>
    <row r="302" spans="1:18">
      <c r="A302" s="84" t="s">
        <v>193</v>
      </c>
      <c r="C302" s="227">
        <v>12790668</v>
      </c>
      <c r="D302" s="10"/>
      <c r="E302" s="259">
        <v>3.8140999999999989</v>
      </c>
      <c r="F302" s="232" t="s">
        <v>153</v>
      </c>
      <c r="G302" s="6">
        <v>487849</v>
      </c>
      <c r="I302" s="47">
        <v>0.24504975000000001</v>
      </c>
      <c r="J302" s="44"/>
      <c r="K302" s="6">
        <f t="shared" si="60"/>
        <v>119547.27548775001</v>
      </c>
      <c r="M302" s="47">
        <f t="shared" si="61"/>
        <v>0.27285002000000003</v>
      </c>
      <c r="N302" s="44"/>
      <c r="O302" s="6">
        <f t="shared" si="62"/>
        <v>133109.60940698002</v>
      </c>
      <c r="Q302" s="65"/>
      <c r="R302" s="65"/>
    </row>
    <row r="303" spans="1:18">
      <c r="A303" s="84" t="s">
        <v>194</v>
      </c>
      <c r="C303" s="227">
        <v>3345042.1011697315</v>
      </c>
      <c r="D303" s="10"/>
      <c r="E303" s="259">
        <v>6</v>
      </c>
      <c r="F303" s="232" t="s">
        <v>153</v>
      </c>
      <c r="G303" s="6">
        <v>200703</v>
      </c>
      <c r="I303" s="47">
        <v>0.24504975000000001</v>
      </c>
      <c r="J303" s="44"/>
      <c r="K303" s="6">
        <f t="shared" si="60"/>
        <v>49182.219974250002</v>
      </c>
      <c r="M303" s="47">
        <f t="shared" si="61"/>
        <v>0.27285002000000003</v>
      </c>
      <c r="N303" s="44"/>
      <c r="O303" s="6">
        <f t="shared" si="62"/>
        <v>54761.817564060002</v>
      </c>
      <c r="Q303" s="65"/>
      <c r="R303" s="65"/>
    </row>
    <row r="304" spans="1:18">
      <c r="A304" s="84" t="s">
        <v>195</v>
      </c>
      <c r="C304" s="227">
        <v>1967328</v>
      </c>
      <c r="D304" s="10"/>
      <c r="E304" s="259">
        <v>-2.335799999999999</v>
      </c>
      <c r="F304" s="232" t="s">
        <v>153</v>
      </c>
      <c r="G304" s="6">
        <v>-45953</v>
      </c>
      <c r="I304" s="47">
        <v>0.24504975000000001</v>
      </c>
      <c r="J304" s="44"/>
      <c r="K304" s="6">
        <f t="shared" si="60"/>
        <v>-11260.771161750001</v>
      </c>
      <c r="M304" s="47">
        <f t="shared" si="61"/>
        <v>0.27285002000000003</v>
      </c>
      <c r="N304" s="44"/>
      <c r="O304" s="6">
        <f t="shared" si="62"/>
        <v>-12538.276969060002</v>
      </c>
      <c r="Q304" s="65"/>
      <c r="R304" s="65"/>
    </row>
    <row r="305" spans="1:18">
      <c r="A305" s="84" t="s">
        <v>196</v>
      </c>
      <c r="C305" s="227">
        <v>10972800</v>
      </c>
      <c r="D305" s="10"/>
      <c r="E305" s="259">
        <v>5.3097000000000003</v>
      </c>
      <c r="F305" s="232" t="s">
        <v>153</v>
      </c>
      <c r="G305" s="6">
        <v>582623</v>
      </c>
      <c r="I305" s="47">
        <v>0.24504975000000001</v>
      </c>
      <c r="J305" s="44"/>
      <c r="K305" s="6">
        <f t="shared" si="60"/>
        <v>142771.62049425</v>
      </c>
      <c r="M305" s="47">
        <f t="shared" si="61"/>
        <v>0.27285002000000003</v>
      </c>
      <c r="N305" s="44"/>
      <c r="O305" s="6">
        <f t="shared" si="62"/>
        <v>158968.69720246003</v>
      </c>
      <c r="Q305" s="65"/>
      <c r="R305" s="65"/>
    </row>
    <row r="306" spans="1:18">
      <c r="A306" s="84" t="s">
        <v>197</v>
      </c>
      <c r="C306" s="227">
        <v>7148476</v>
      </c>
      <c r="D306" s="10"/>
      <c r="E306" s="259">
        <v>-2.0670999999999999</v>
      </c>
      <c r="F306" s="232" t="s">
        <v>153</v>
      </c>
      <c r="G306" s="6">
        <v>-147766</v>
      </c>
      <c r="I306" s="47">
        <v>0.24504975000000001</v>
      </c>
      <c r="J306" s="44"/>
      <c r="K306" s="6">
        <f t="shared" ref="K306" si="63">$G306*I306</f>
        <v>-36210.021358500002</v>
      </c>
      <c r="M306" s="47">
        <f t="shared" si="61"/>
        <v>0.27285002000000003</v>
      </c>
      <c r="N306" s="44"/>
      <c r="O306" s="6">
        <f t="shared" ref="O306" si="64">$G306*M306</f>
        <v>-40317.956055320006</v>
      </c>
      <c r="Q306" s="65"/>
      <c r="R306" s="65"/>
    </row>
    <row r="307" spans="1:18">
      <c r="A307" s="84" t="s">
        <v>174</v>
      </c>
      <c r="C307" s="227">
        <v>1797</v>
      </c>
      <c r="E307" s="44">
        <v>53</v>
      </c>
      <c r="F307" s="44"/>
      <c r="G307" s="6">
        <v>95241</v>
      </c>
      <c r="I307" s="47"/>
      <c r="J307" s="44"/>
      <c r="M307" s="14"/>
      <c r="N307" s="44"/>
      <c r="Q307" s="65"/>
      <c r="R307" s="65"/>
    </row>
    <row r="308" spans="1:18">
      <c r="A308" s="84" t="s">
        <v>183</v>
      </c>
      <c r="C308" s="227">
        <v>16106</v>
      </c>
      <c r="D308" s="10"/>
      <c r="E308" s="44">
        <v>-0.61</v>
      </c>
      <c r="F308" s="44"/>
      <c r="G308" s="6">
        <v>-9825</v>
      </c>
      <c r="I308" s="14"/>
      <c r="J308" s="44"/>
      <c r="M308" s="14"/>
      <c r="N308" s="44"/>
      <c r="Q308" s="65"/>
      <c r="R308" s="65"/>
    </row>
    <row r="309" spans="1:18" ht="16.5" thickBot="1">
      <c r="A309" s="84" t="s">
        <v>162</v>
      </c>
      <c r="C309" s="258">
        <v>23433646.101169731</v>
      </c>
      <c r="E309" s="68"/>
      <c r="G309" s="13">
        <v>2756573</v>
      </c>
      <c r="I309" s="48"/>
      <c r="K309" s="13">
        <f>SUM(K299:K308)</f>
        <v>654566.35506075004</v>
      </c>
      <c r="M309" s="48"/>
      <c r="O309" s="13">
        <f>SUM(O299:O308)</f>
        <v>728825.24087314005</v>
      </c>
      <c r="Q309" s="65"/>
      <c r="R309" s="65"/>
    </row>
    <row r="310" spans="1:18" ht="16.5" thickTop="1">
      <c r="I310" s="47"/>
      <c r="J310" s="44"/>
      <c r="M310" s="14"/>
      <c r="N310" s="44"/>
      <c r="Q310" s="65"/>
      <c r="R310" s="65"/>
    </row>
    <row r="311" spans="1:18">
      <c r="A311" s="228" t="s">
        <v>205</v>
      </c>
      <c r="I311" s="47"/>
      <c r="J311" s="44"/>
      <c r="M311" s="14"/>
      <c r="N311" s="44"/>
      <c r="Q311" s="33" t="s">
        <v>206</v>
      </c>
      <c r="R311" s="229"/>
    </row>
    <row r="312" spans="1:18" s="262" customFormat="1">
      <c r="A312" s="84" t="s">
        <v>207</v>
      </c>
      <c r="B312" s="3"/>
      <c r="C312" s="227">
        <v>80036.668179696673</v>
      </c>
      <c r="D312" s="3"/>
      <c r="E312" s="44">
        <v>9.1</v>
      </c>
      <c r="F312" s="44"/>
      <c r="G312" s="6">
        <f>C312*E312</f>
        <v>728333.68043523969</v>
      </c>
      <c r="I312" s="236">
        <v>0.14495702999999999</v>
      </c>
      <c r="J312" s="44"/>
      <c r="K312" s="6">
        <f t="shared" ref="K312:K314" si="65">$G312*I312</f>
        <v>105577.08716486144</v>
      </c>
      <c r="L312" s="3"/>
      <c r="M312" s="202">
        <f>R315</f>
        <v>0.16140203</v>
      </c>
      <c r="N312" s="44"/>
      <c r="O312" s="6">
        <f t="shared" ref="O312:O314" si="66">$G312*M312</f>
        <v>117554.53453961897</v>
      </c>
      <c r="Q312" s="230" t="s">
        <v>145</v>
      </c>
      <c r="R312" s="8">
        <f>O316+O431+O499</f>
        <v>1053559.8588682185</v>
      </c>
    </row>
    <row r="313" spans="1:18" s="262" customFormat="1">
      <c r="A313" s="84" t="s">
        <v>208</v>
      </c>
      <c r="B313" s="3"/>
      <c r="C313" s="227">
        <v>23297.820701740242</v>
      </c>
      <c r="D313" s="3"/>
      <c r="E313" s="44">
        <v>10.61</v>
      </c>
      <c r="F313" s="44"/>
      <c r="G313" s="6">
        <f t="shared" ref="G313:G314" si="67">C313*E313</f>
        <v>247189.87764546394</v>
      </c>
      <c r="I313" s="47">
        <v>0.14495702999999999</v>
      </c>
      <c r="J313" s="44"/>
      <c r="K313" s="6">
        <f t="shared" si="65"/>
        <v>35831.910509549845</v>
      </c>
      <c r="L313" s="3"/>
      <c r="M313" s="47">
        <f>M$312</f>
        <v>0.16140203</v>
      </c>
      <c r="N313" s="44"/>
      <c r="O313" s="6">
        <f t="shared" si="66"/>
        <v>39896.948047429498</v>
      </c>
      <c r="Q313" s="230" t="s">
        <v>147</v>
      </c>
      <c r="R313" s="8">
        <f>SUM('Exhibit-RMP(RMM-1) page 2'!K40:K42)*1000</f>
        <v>1053559.8737694374</v>
      </c>
    </row>
    <row r="314" spans="1:18" s="262" customFormat="1">
      <c r="A314" s="84" t="s">
        <v>209</v>
      </c>
      <c r="B314" s="3"/>
      <c r="C314" s="227">
        <v>31461.675344580435</v>
      </c>
      <c r="D314" s="3"/>
      <c r="E314" s="44">
        <v>12.96</v>
      </c>
      <c r="F314" s="44"/>
      <c r="G314" s="6">
        <f t="shared" si="67"/>
        <v>407743.31246576249</v>
      </c>
      <c r="I314" s="47">
        <v>0.14495702999999999</v>
      </c>
      <c r="J314" s="44"/>
      <c r="K314" s="6">
        <f t="shared" si="65"/>
        <v>59105.259577398901</v>
      </c>
      <c r="L314" s="3"/>
      <c r="M314" s="47">
        <f>M$312</f>
        <v>0.16140203</v>
      </c>
      <c r="N314" s="44"/>
      <c r="O314" s="6">
        <f t="shared" si="66"/>
        <v>65810.598350898377</v>
      </c>
      <c r="Q314" s="231" t="s">
        <v>148</v>
      </c>
      <c r="R314" s="9">
        <f>R313-R312</f>
        <v>1.4901218935847282E-2</v>
      </c>
    </row>
    <row r="315" spans="1:18">
      <c r="A315" s="84" t="s">
        <v>10</v>
      </c>
      <c r="C315" s="227">
        <v>6491</v>
      </c>
      <c r="G315" s="263"/>
      <c r="I315" s="47"/>
      <c r="J315" s="44"/>
      <c r="M315" s="14"/>
      <c r="N315" s="44"/>
      <c r="Q315" s="31" t="s">
        <v>149</v>
      </c>
      <c r="R315" s="233">
        <f>ROUND(R313/SUM(G316,G431,G499),$R$9)</f>
        <v>0.16140203</v>
      </c>
    </row>
    <row r="316" spans="1:18" ht="16.5" thickBot="1">
      <c r="A316" s="84" t="s">
        <v>210</v>
      </c>
      <c r="C316" s="264">
        <v>10497984.469308628</v>
      </c>
      <c r="E316" s="67"/>
      <c r="G316" s="12">
        <v>1383266.8705464662</v>
      </c>
      <c r="I316" s="48"/>
      <c r="K316" s="13">
        <f>SUM(K312:K315)</f>
        <v>200514.25725181017</v>
      </c>
      <c r="M316" s="48"/>
      <c r="O316" s="13">
        <f>SUM(O312:O315)</f>
        <v>223262.08093794686</v>
      </c>
      <c r="Q316" s="65"/>
      <c r="R316" s="65"/>
    </row>
    <row r="317" spans="1:18" ht="16.5" thickTop="1">
      <c r="D317" s="10"/>
      <c r="I317" s="47"/>
      <c r="J317" s="44"/>
      <c r="M317" s="14"/>
      <c r="N317" s="44"/>
      <c r="Q317" s="65"/>
      <c r="R317" s="65"/>
    </row>
    <row r="318" spans="1:18">
      <c r="A318" s="228" t="s">
        <v>211</v>
      </c>
      <c r="I318" s="47"/>
      <c r="J318" s="44"/>
      <c r="M318" s="14"/>
      <c r="N318" s="44"/>
    </row>
    <row r="319" spans="1:18">
      <c r="A319" s="84" t="s">
        <v>174</v>
      </c>
      <c r="C319" s="227">
        <v>2823</v>
      </c>
      <c r="E319" s="44">
        <v>71</v>
      </c>
      <c r="F319" s="44"/>
      <c r="G319" s="6">
        <v>200433</v>
      </c>
      <c r="I319" s="14"/>
      <c r="J319" s="44"/>
      <c r="M319" s="14"/>
      <c r="N319" s="44"/>
      <c r="Q319" s="3" t="s">
        <v>212</v>
      </c>
    </row>
    <row r="320" spans="1:18">
      <c r="A320" s="84" t="s">
        <v>177</v>
      </c>
      <c r="C320" s="227">
        <v>4249794</v>
      </c>
      <c r="E320" s="44">
        <v>4.8099999999999996</v>
      </c>
      <c r="F320" s="44"/>
      <c r="G320" s="6">
        <v>20441509</v>
      </c>
      <c r="I320" s="53"/>
      <c r="J320" s="44"/>
      <c r="M320" s="53"/>
      <c r="N320" s="44"/>
      <c r="Q320" s="255" t="s">
        <v>145</v>
      </c>
      <c r="R320" s="7">
        <f>SUM(O328,O340)</f>
        <v>42544459.410005517</v>
      </c>
    </row>
    <row r="321" spans="1:18">
      <c r="A321" s="84" t="s">
        <v>213</v>
      </c>
      <c r="C321" s="227">
        <v>1442193</v>
      </c>
      <c r="E321" s="10">
        <v>15.73</v>
      </c>
      <c r="F321" s="10"/>
      <c r="G321" s="6">
        <v>22685696</v>
      </c>
      <c r="I321" s="236">
        <v>0.29716491</v>
      </c>
      <c r="J321" s="44"/>
      <c r="K321" s="6">
        <f t="shared" ref="K321:K324" si="68">$G321*I321</f>
        <v>6741392.8101273598</v>
      </c>
      <c r="M321" s="202">
        <f>R323</f>
        <v>0.32985656000000002</v>
      </c>
      <c r="N321" s="44"/>
      <c r="O321" s="6">
        <f t="shared" ref="O321:O324" si="69">$G321*M321</f>
        <v>7483025.6437657606</v>
      </c>
      <c r="Q321" s="230" t="s">
        <v>147</v>
      </c>
      <c r="R321" s="8">
        <f>('Exhibit-RMP(RMM-1) page 2'!K23*1000)</f>
        <v>42544459.771153361</v>
      </c>
    </row>
    <row r="322" spans="1:18">
      <c r="A322" s="84" t="s">
        <v>214</v>
      </c>
      <c r="C322" s="227">
        <v>2597774</v>
      </c>
      <c r="E322" s="10">
        <v>13.92</v>
      </c>
      <c r="F322" s="10"/>
      <c r="G322" s="6">
        <v>36161014</v>
      </c>
      <c r="I322" s="47">
        <v>0.29716491</v>
      </c>
      <c r="J322" s="44"/>
      <c r="K322" s="6">
        <f t="shared" si="68"/>
        <v>10745784.470818739</v>
      </c>
      <c r="M322" s="47">
        <f>M$321</f>
        <v>0.32985656000000002</v>
      </c>
      <c r="N322" s="44"/>
      <c r="O322" s="6">
        <f t="shared" si="69"/>
        <v>11927947.684151841</v>
      </c>
      <c r="Q322" s="231" t="s">
        <v>148</v>
      </c>
      <c r="R322" s="9">
        <f>R321-R320</f>
        <v>0.36114784330129623</v>
      </c>
    </row>
    <row r="323" spans="1:18">
      <c r="A323" s="84" t="s">
        <v>152</v>
      </c>
      <c r="C323" s="227">
        <v>186186148.05356526</v>
      </c>
      <c r="E323" s="49">
        <v>5.8281999999999998</v>
      </c>
      <c r="F323" s="232" t="s">
        <v>153</v>
      </c>
      <c r="G323" s="6">
        <v>10851301</v>
      </c>
      <c r="I323" s="47">
        <v>0.29716491</v>
      </c>
      <c r="J323" s="44"/>
      <c r="K323" s="6">
        <f t="shared" si="68"/>
        <v>3224625.8850479103</v>
      </c>
      <c r="M323" s="47">
        <f t="shared" ref="M323:M326" si="70">M$321</f>
        <v>0.32985656000000002</v>
      </c>
      <c r="N323" s="44"/>
      <c r="O323" s="6">
        <f t="shared" si="69"/>
        <v>3579372.8193845605</v>
      </c>
      <c r="Q323" s="31" t="s">
        <v>149</v>
      </c>
      <c r="R323" s="233">
        <f>ROUND(R321/SUM(G321:G326,G333:G338),$R$9)</f>
        <v>0.32985656000000002</v>
      </c>
    </row>
    <row r="324" spans="1:18">
      <c r="A324" s="84" t="s">
        <v>215</v>
      </c>
      <c r="C324" s="227">
        <v>270238556</v>
      </c>
      <c r="E324" s="49">
        <v>5.1577000000000002</v>
      </c>
      <c r="F324" s="232" t="s">
        <v>153</v>
      </c>
      <c r="G324" s="6">
        <v>13938094</v>
      </c>
      <c r="I324" s="47">
        <v>0.29716491</v>
      </c>
      <c r="J324" s="44"/>
      <c r="K324" s="6">
        <f t="shared" si="68"/>
        <v>4141912.4490815401</v>
      </c>
      <c r="M324" s="47">
        <f t="shared" si="70"/>
        <v>0.32985656000000002</v>
      </c>
      <c r="N324" s="44"/>
      <c r="O324" s="6">
        <f t="shared" si="69"/>
        <v>4597571.7397966404</v>
      </c>
      <c r="Q324" s="65"/>
      <c r="R324" s="65"/>
    </row>
    <row r="325" spans="1:18">
      <c r="A325" s="84" t="s">
        <v>154</v>
      </c>
      <c r="C325" s="227">
        <v>524787623</v>
      </c>
      <c r="E325" s="49">
        <v>2.9624000000000001</v>
      </c>
      <c r="F325" s="232" t="s">
        <v>153</v>
      </c>
      <c r="G325" s="6">
        <v>15546309</v>
      </c>
      <c r="I325" s="47">
        <v>0.29716491</v>
      </c>
      <c r="J325" s="44"/>
      <c r="K325" s="6">
        <f>$G325*I325</f>
        <v>4619817.5148171904</v>
      </c>
      <c r="M325" s="47">
        <f t="shared" si="70"/>
        <v>0.32985656000000002</v>
      </c>
      <c r="N325" s="44"/>
      <c r="O325" s="6">
        <f>$G325*M325</f>
        <v>5128052.0074370401</v>
      </c>
      <c r="Q325" s="65"/>
      <c r="R325" s="65"/>
    </row>
    <row r="326" spans="1:18">
      <c r="A326" s="84" t="s">
        <v>216</v>
      </c>
      <c r="C326" s="227">
        <v>976265495</v>
      </c>
      <c r="E326" s="49">
        <v>2.6215999999999999</v>
      </c>
      <c r="F326" s="232" t="s">
        <v>153</v>
      </c>
      <c r="G326" s="6">
        <v>25593776</v>
      </c>
      <c r="I326" s="47">
        <v>0.29716491</v>
      </c>
      <c r="J326" s="44"/>
      <c r="K326" s="6">
        <f>$G326*I326</f>
        <v>7605572.1416001599</v>
      </c>
      <c r="M326" s="47">
        <f t="shared" si="70"/>
        <v>0.32985656000000002</v>
      </c>
      <c r="N326" s="44"/>
      <c r="O326" s="6">
        <f>$G326*M326</f>
        <v>8442274.9087705612</v>
      </c>
      <c r="Q326" s="65"/>
      <c r="R326" s="65"/>
    </row>
    <row r="327" spans="1:18">
      <c r="A327" s="84" t="s">
        <v>183</v>
      </c>
      <c r="C327" s="227">
        <v>1886120</v>
      </c>
      <c r="E327" s="44">
        <v>-1.1299999999999999</v>
      </c>
      <c r="F327" s="44"/>
      <c r="G327" s="6">
        <v>-2131316</v>
      </c>
      <c r="Q327" s="65"/>
      <c r="R327" s="65"/>
    </row>
    <row r="328" spans="1:18" ht="16.5" thickBot="1">
      <c r="A328" s="84" t="s">
        <v>162</v>
      </c>
      <c r="C328" s="258">
        <v>1957477822.0535653</v>
      </c>
      <c r="E328" s="67"/>
      <c r="G328" s="12">
        <v>143286816</v>
      </c>
      <c r="I328" s="48"/>
      <c r="K328" s="13">
        <f>SUM(K321:K327)</f>
        <v>37079105.271492898</v>
      </c>
      <c r="M328" s="48"/>
      <c r="O328" s="13">
        <f>SUM(O321:O327)</f>
        <v>41158244.803306401</v>
      </c>
      <c r="Q328" s="65"/>
      <c r="R328" s="65"/>
    </row>
    <row r="329" spans="1:18" ht="16.5" thickTop="1">
      <c r="I329" s="47"/>
      <c r="J329" s="44"/>
      <c r="M329" s="14"/>
      <c r="N329" s="44"/>
      <c r="Q329" s="65"/>
      <c r="R329" s="65"/>
    </row>
    <row r="330" spans="1:18">
      <c r="A330" s="228" t="s">
        <v>217</v>
      </c>
      <c r="I330" s="47"/>
      <c r="J330" s="44"/>
      <c r="M330" s="14"/>
      <c r="N330" s="44"/>
      <c r="Q330" s="65"/>
      <c r="R330" s="65"/>
    </row>
    <row r="331" spans="1:18">
      <c r="A331" s="84" t="s">
        <v>174</v>
      </c>
      <c r="C331" s="227">
        <v>168</v>
      </c>
      <c r="E331" s="10">
        <v>71</v>
      </c>
      <c r="F331" s="10"/>
      <c r="G331" s="6">
        <v>11928</v>
      </c>
      <c r="J331" s="10"/>
      <c r="N331" s="10"/>
      <c r="Q331" s="65"/>
      <c r="R331" s="65"/>
    </row>
    <row r="332" spans="1:18">
      <c r="A332" s="84" t="s">
        <v>177</v>
      </c>
      <c r="C332" s="227">
        <v>150062</v>
      </c>
      <c r="E332" s="10">
        <v>4.8099999999999996</v>
      </c>
      <c r="F332" s="10"/>
      <c r="G332" s="6">
        <v>721798</v>
      </c>
      <c r="I332" s="47"/>
      <c r="J332" s="44"/>
      <c r="M332" s="14"/>
      <c r="N332" s="44"/>
      <c r="Q332" s="65"/>
      <c r="R332" s="65"/>
    </row>
    <row r="333" spans="1:18">
      <c r="A333" s="84" t="s">
        <v>213</v>
      </c>
      <c r="C333" s="227">
        <v>50706</v>
      </c>
      <c r="E333" s="10">
        <v>15.73</v>
      </c>
      <c r="F333" s="10"/>
      <c r="G333" s="6">
        <v>797605</v>
      </c>
      <c r="I333" s="47">
        <v>0.29716491</v>
      </c>
      <c r="J333" s="44"/>
      <c r="K333" s="6">
        <f t="shared" ref="K333:K338" si="71">$G333*I333</f>
        <v>237020.21804055001</v>
      </c>
      <c r="M333" s="47">
        <f t="shared" ref="M333:M338" si="72">M$321</f>
        <v>0.32985656000000002</v>
      </c>
      <c r="N333" s="44"/>
      <c r="O333" s="6">
        <f t="shared" ref="O333:O338" si="73">$G333*M333</f>
        <v>263095.24153880001</v>
      </c>
      <c r="Q333" s="65"/>
      <c r="R333" s="65"/>
    </row>
    <row r="334" spans="1:18">
      <c r="A334" s="84" t="s">
        <v>214</v>
      </c>
      <c r="C334" s="227">
        <v>91835</v>
      </c>
      <c r="E334" s="10">
        <v>13.92</v>
      </c>
      <c r="F334" s="10"/>
      <c r="G334" s="6">
        <v>1278343</v>
      </c>
      <c r="I334" s="47">
        <v>0.29716491</v>
      </c>
      <c r="J334" s="44"/>
      <c r="K334" s="6">
        <f t="shared" si="71"/>
        <v>379878.68254413002</v>
      </c>
      <c r="M334" s="47">
        <f t="shared" si="72"/>
        <v>0.32985656000000002</v>
      </c>
      <c r="N334" s="44"/>
      <c r="O334" s="6">
        <f t="shared" si="73"/>
        <v>421669.82448008005</v>
      </c>
      <c r="Q334" s="65"/>
      <c r="R334" s="65"/>
    </row>
    <row r="335" spans="1:18">
      <c r="A335" s="84" t="s">
        <v>152</v>
      </c>
      <c r="C335" s="227">
        <v>5879321.1969696805</v>
      </c>
      <c r="E335" s="49">
        <v>5.8281999999999998</v>
      </c>
      <c r="F335" s="232" t="s">
        <v>153</v>
      </c>
      <c r="G335" s="6">
        <v>342659</v>
      </c>
      <c r="I335" s="47">
        <v>0.29716491</v>
      </c>
      <c r="J335" s="44"/>
      <c r="K335" s="6">
        <f t="shared" si="71"/>
        <v>101826.23089568999</v>
      </c>
      <c r="M335" s="47">
        <f t="shared" si="72"/>
        <v>0.32985656000000002</v>
      </c>
      <c r="N335" s="44"/>
      <c r="O335" s="6">
        <f t="shared" si="73"/>
        <v>113028.31899304001</v>
      </c>
      <c r="Q335" s="65"/>
      <c r="R335" s="65"/>
    </row>
    <row r="336" spans="1:18">
      <c r="A336" s="84" t="s">
        <v>215</v>
      </c>
      <c r="C336" s="227">
        <v>8781642</v>
      </c>
      <c r="E336" s="49">
        <v>5.1577000000000002</v>
      </c>
      <c r="F336" s="232" t="s">
        <v>153</v>
      </c>
      <c r="G336" s="6">
        <v>452931</v>
      </c>
      <c r="I336" s="47">
        <v>0.29716491</v>
      </c>
      <c r="J336" s="44"/>
      <c r="K336" s="6">
        <f t="shared" si="71"/>
        <v>134595.19985121</v>
      </c>
      <c r="M336" s="47">
        <f t="shared" si="72"/>
        <v>0.32985656000000002</v>
      </c>
      <c r="N336" s="44"/>
      <c r="O336" s="6">
        <f t="shared" si="73"/>
        <v>149402.26157736001</v>
      </c>
      <c r="Q336" s="65"/>
      <c r="R336" s="65"/>
    </row>
    <row r="337" spans="1:18">
      <c r="A337" s="84" t="s">
        <v>154</v>
      </c>
      <c r="C337" s="227">
        <v>16950396</v>
      </c>
      <c r="E337" s="49">
        <v>2.9624000000000001</v>
      </c>
      <c r="F337" s="232" t="s">
        <v>153</v>
      </c>
      <c r="G337" s="6">
        <v>502139</v>
      </c>
      <c r="I337" s="47">
        <v>0.29716491</v>
      </c>
      <c r="J337" s="44"/>
      <c r="K337" s="6">
        <f t="shared" si="71"/>
        <v>149218.09074248999</v>
      </c>
      <c r="M337" s="47">
        <f t="shared" si="72"/>
        <v>0.32985656000000002</v>
      </c>
      <c r="N337" s="44"/>
      <c r="O337" s="6">
        <f t="shared" si="73"/>
        <v>165633.84318184</v>
      </c>
      <c r="Q337" s="65"/>
      <c r="R337" s="65"/>
    </row>
    <row r="338" spans="1:18">
      <c r="A338" s="84" t="s">
        <v>216</v>
      </c>
      <c r="C338" s="227">
        <v>31614263</v>
      </c>
      <c r="E338" s="49">
        <v>2.6215999999999999</v>
      </c>
      <c r="F338" s="232" t="s">
        <v>153</v>
      </c>
      <c r="G338" s="6">
        <v>828800</v>
      </c>
      <c r="I338" s="47">
        <v>0.29716491</v>
      </c>
      <c r="J338" s="44"/>
      <c r="K338" s="6">
        <f t="shared" si="71"/>
        <v>246290.27740799999</v>
      </c>
      <c r="M338" s="47">
        <f t="shared" si="72"/>
        <v>0.32985656000000002</v>
      </c>
      <c r="N338" s="44"/>
      <c r="O338" s="6">
        <f t="shared" si="73"/>
        <v>273385.116928</v>
      </c>
      <c r="Q338" s="65"/>
      <c r="R338" s="65"/>
    </row>
    <row r="339" spans="1:18">
      <c r="A339" s="84" t="s">
        <v>183</v>
      </c>
      <c r="C339" s="227">
        <v>85966</v>
      </c>
      <c r="E339" s="10">
        <v>-1.1299999999999999</v>
      </c>
      <c r="F339" s="10"/>
      <c r="G339" s="6">
        <v>-97142</v>
      </c>
      <c r="I339" s="47"/>
      <c r="J339" s="44"/>
      <c r="M339" s="14"/>
      <c r="N339" s="44"/>
      <c r="Q339" s="65"/>
      <c r="R339" s="65"/>
    </row>
    <row r="340" spans="1:18" ht="16.5" thickBot="1">
      <c r="A340" s="84" t="s">
        <v>162</v>
      </c>
      <c r="C340" s="258">
        <v>63225622.19696968</v>
      </c>
      <c r="E340" s="68"/>
      <c r="G340" s="13">
        <v>4839061</v>
      </c>
      <c r="I340" s="48"/>
      <c r="K340" s="13">
        <f>SUM(K333:K339)</f>
        <v>1248828.69948207</v>
      </c>
      <c r="M340" s="48"/>
      <c r="O340" s="13">
        <f>SUM(O333:O339)</f>
        <v>1386214.60669912</v>
      </c>
      <c r="Q340" s="65"/>
      <c r="R340" s="65"/>
    </row>
    <row r="341" spans="1:18" ht="16.5" thickTop="1">
      <c r="A341" s="265"/>
      <c r="B341" s="265"/>
      <c r="C341" s="266"/>
      <c r="D341" s="265"/>
      <c r="E341" s="265"/>
      <c r="F341" s="265"/>
      <c r="G341" s="267"/>
      <c r="I341" s="47"/>
      <c r="J341" s="44"/>
      <c r="M341" s="14"/>
      <c r="N341" s="44"/>
      <c r="Q341" s="65"/>
      <c r="R341" s="65"/>
    </row>
    <row r="342" spans="1:18">
      <c r="A342" s="228" t="s">
        <v>218</v>
      </c>
      <c r="I342" s="47"/>
      <c r="J342" s="44"/>
      <c r="M342" s="14"/>
      <c r="N342" s="44"/>
    </row>
    <row r="343" spans="1:18">
      <c r="A343" s="84" t="s">
        <v>174</v>
      </c>
      <c r="C343" s="227">
        <v>1872</v>
      </c>
      <c r="E343" s="44">
        <v>266</v>
      </c>
      <c r="F343" s="44"/>
      <c r="G343" s="6">
        <v>497952</v>
      </c>
      <c r="I343" s="53"/>
      <c r="J343" s="44"/>
      <c r="M343" s="53"/>
      <c r="N343" s="44"/>
      <c r="Q343" s="2" t="s">
        <v>219</v>
      </c>
    </row>
    <row r="344" spans="1:18">
      <c r="A344" s="84" t="s">
        <v>177</v>
      </c>
      <c r="C344" s="227">
        <v>8792631</v>
      </c>
      <c r="E344" s="44">
        <v>2.2799999999999998</v>
      </c>
      <c r="F344" s="44"/>
      <c r="G344" s="6">
        <v>20047199</v>
      </c>
      <c r="I344" s="53"/>
      <c r="J344" s="44"/>
      <c r="M344" s="53"/>
      <c r="N344" s="44"/>
      <c r="Q344" s="255" t="s">
        <v>145</v>
      </c>
      <c r="R344" s="7">
        <f>SUM(O351,O536)</f>
        <v>96334320.513433665</v>
      </c>
    </row>
    <row r="345" spans="1:18">
      <c r="A345" s="84" t="s">
        <v>213</v>
      </c>
      <c r="C345" s="227">
        <v>2857444</v>
      </c>
      <c r="E345" s="10">
        <v>14.33</v>
      </c>
      <c r="F345" s="10"/>
      <c r="G345" s="6">
        <v>40947173</v>
      </c>
      <c r="I345" s="236">
        <v>0.37140874000000001</v>
      </c>
      <c r="J345" s="44"/>
      <c r="K345" s="6">
        <f t="shared" ref="K345" si="74">$G345*I345</f>
        <v>15208137.930492021</v>
      </c>
      <c r="M345" s="236">
        <f>R347</f>
        <v>0.38116348999999999</v>
      </c>
      <c r="N345" s="44"/>
      <c r="O345" s="6">
        <f t="shared" ref="O345" si="75">$G345*M345</f>
        <v>15607567.36631377</v>
      </c>
      <c r="Q345" s="230" t="s">
        <v>147</v>
      </c>
      <c r="R345" s="8">
        <f>'Exhibit-RMP(RMM-1) page 2'!K24*1000</f>
        <v>96334319.63214311</v>
      </c>
    </row>
    <row r="346" spans="1:18">
      <c r="A346" s="84" t="s">
        <v>214</v>
      </c>
      <c r="C346" s="227">
        <v>5600405</v>
      </c>
      <c r="E346" s="10">
        <v>12.68</v>
      </c>
      <c r="F346" s="10"/>
      <c r="G346" s="6">
        <v>71013135</v>
      </c>
      <c r="I346" s="47">
        <v>0.37140874000000001</v>
      </c>
      <c r="J346" s="44"/>
      <c r="K346" s="6">
        <f t="shared" ref="K346" si="76">$G346*I346</f>
        <v>26374898.993799902</v>
      </c>
      <c r="M346" s="47">
        <f>M$345</f>
        <v>0.38116348999999999</v>
      </c>
      <c r="N346" s="44"/>
      <c r="O346" s="6">
        <f t="shared" ref="O346" si="77">$G346*M346</f>
        <v>27067614.37244115</v>
      </c>
      <c r="Q346" s="231" t="s">
        <v>148</v>
      </c>
      <c r="R346" s="9">
        <f>R345-R344</f>
        <v>-0.88129055500030518</v>
      </c>
    </row>
    <row r="347" spans="1:18">
      <c r="A347" s="84" t="s">
        <v>152</v>
      </c>
      <c r="C347" s="227">
        <v>337257779</v>
      </c>
      <c r="E347" s="49">
        <v>5.1477000000000004</v>
      </c>
      <c r="F347" s="232" t="s">
        <v>153</v>
      </c>
      <c r="G347" s="6">
        <v>17361019</v>
      </c>
      <c r="I347" s="47">
        <v>0.37140874000000001</v>
      </c>
      <c r="J347" s="44"/>
      <c r="K347" s="6">
        <f t="shared" ref="K347:K350" si="78">$G347*I347</f>
        <v>6448034.1919060601</v>
      </c>
      <c r="M347" s="47">
        <f t="shared" ref="M347:M350" si="79">M$345</f>
        <v>0.38116348999999999</v>
      </c>
      <c r="N347" s="44"/>
      <c r="O347" s="6">
        <f t="shared" ref="O347:O350" si="80">$G347*M347</f>
        <v>6617386.5919963103</v>
      </c>
      <c r="Q347" s="31" t="s">
        <v>149</v>
      </c>
      <c r="R347" s="268">
        <f>ROUND(R345/SUM(G345:G350,G530:G535),$R$9)</f>
        <v>0.38116348999999999</v>
      </c>
    </row>
    <row r="348" spans="1:18">
      <c r="A348" s="84" t="s">
        <v>215</v>
      </c>
      <c r="C348" s="227">
        <v>653220065</v>
      </c>
      <c r="E348" s="49">
        <v>4.5555000000000003</v>
      </c>
      <c r="F348" s="232" t="s">
        <v>153</v>
      </c>
      <c r="G348" s="6">
        <v>29757440</v>
      </c>
      <c r="I348" s="47">
        <v>0.37140874000000001</v>
      </c>
      <c r="J348" s="44"/>
      <c r="K348" s="6">
        <f t="shared" si="78"/>
        <v>11052173.2960256</v>
      </c>
      <c r="M348" s="47">
        <f t="shared" si="79"/>
        <v>0.38116348999999999</v>
      </c>
      <c r="N348" s="44"/>
      <c r="O348" s="6">
        <f t="shared" si="80"/>
        <v>11342449.683865599</v>
      </c>
      <c r="Q348" s="269"/>
      <c r="R348" s="257"/>
    </row>
    <row r="349" spans="1:18">
      <c r="A349" s="84" t="s">
        <v>154</v>
      </c>
      <c r="C349" s="227">
        <v>1318310247</v>
      </c>
      <c r="E349" s="49">
        <v>2.6164999999999998</v>
      </c>
      <c r="F349" s="232" t="s">
        <v>153</v>
      </c>
      <c r="G349" s="6">
        <v>34493588</v>
      </c>
      <c r="I349" s="47">
        <v>0.37140874000000001</v>
      </c>
      <c r="J349" s="44"/>
      <c r="K349" s="6">
        <f t="shared" si="78"/>
        <v>12811220.05715912</v>
      </c>
      <c r="M349" s="47">
        <f t="shared" si="79"/>
        <v>0.38116348999999999</v>
      </c>
      <c r="N349" s="44"/>
      <c r="O349" s="6">
        <f t="shared" si="80"/>
        <v>13147696.38470212</v>
      </c>
      <c r="Q349" s="15"/>
      <c r="R349" s="17"/>
    </row>
    <row r="350" spans="1:18">
      <c r="A350" s="84" t="s">
        <v>216</v>
      </c>
      <c r="C350" s="227">
        <v>2538543863.3051271</v>
      </c>
      <c r="E350" s="49">
        <v>2.3155000000000001</v>
      </c>
      <c r="F350" s="232" t="s">
        <v>153</v>
      </c>
      <c r="G350" s="6">
        <v>58779983</v>
      </c>
      <c r="I350" s="47">
        <v>0.37140874000000001</v>
      </c>
      <c r="J350" s="44"/>
      <c r="K350" s="6">
        <f t="shared" si="78"/>
        <v>21831399.42325142</v>
      </c>
      <c r="M350" s="47">
        <f t="shared" si="79"/>
        <v>0.38116348999999999</v>
      </c>
      <c r="N350" s="44"/>
      <c r="O350" s="6">
        <f t="shared" si="80"/>
        <v>22404783.462420668</v>
      </c>
      <c r="Q350" s="65"/>
      <c r="R350" s="65"/>
    </row>
    <row r="351" spans="1:18" ht="16.5" thickBot="1">
      <c r="A351" s="84" t="s">
        <v>162</v>
      </c>
      <c r="C351" s="258">
        <v>4847331954.3051271</v>
      </c>
      <c r="E351" s="68"/>
      <c r="G351" s="13">
        <v>272897489</v>
      </c>
      <c r="I351" s="51"/>
      <c r="J351" s="50"/>
      <c r="K351" s="169">
        <f>SUM(K345:K350)</f>
        <v>93725863.892634124</v>
      </c>
      <c r="M351" s="51"/>
      <c r="N351" s="50"/>
      <c r="O351" s="169">
        <f>SUM(O345:O350)</f>
        <v>96187497.861739621</v>
      </c>
      <c r="Q351" s="65"/>
      <c r="R351" s="65"/>
    </row>
    <row r="352" spans="1:18" ht="16.5" thickTop="1">
      <c r="I352" s="46"/>
      <c r="J352" s="47"/>
      <c r="M352" s="46"/>
      <c r="N352" s="47"/>
      <c r="Q352" s="65"/>
      <c r="R352" s="65"/>
    </row>
    <row r="353" spans="1:18">
      <c r="A353" s="228" t="s">
        <v>220</v>
      </c>
      <c r="E353" s="49"/>
      <c r="F353" s="49"/>
      <c r="Q353" s="65"/>
      <c r="R353" s="65"/>
    </row>
    <row r="354" spans="1:18">
      <c r="A354" s="84" t="s">
        <v>174</v>
      </c>
      <c r="C354" s="227">
        <v>108</v>
      </c>
      <c r="E354" s="44">
        <v>266</v>
      </c>
      <c r="F354" s="44"/>
      <c r="G354" s="6">
        <v>28728</v>
      </c>
      <c r="Q354" s="255" t="s">
        <v>145</v>
      </c>
      <c r="R354" s="7">
        <f>O362</f>
        <v>1091479.4930634799</v>
      </c>
    </row>
    <row r="355" spans="1:18">
      <c r="A355" s="84" t="s">
        <v>221</v>
      </c>
      <c r="C355" s="227">
        <v>243087</v>
      </c>
      <c r="E355" s="44">
        <v>2.2799999999999998</v>
      </c>
      <c r="F355" s="44"/>
      <c r="G355" s="6">
        <v>554238</v>
      </c>
      <c r="I355" s="14"/>
      <c r="J355" s="44"/>
      <c r="M355" s="14"/>
      <c r="N355" s="44"/>
      <c r="Q355" s="230" t="s">
        <v>147</v>
      </c>
      <c r="R355" s="8">
        <f>'Exhibit-RMP(RMM-1) page 2'!K25*1000</f>
        <v>1091479.4845731207</v>
      </c>
    </row>
    <row r="356" spans="1:18">
      <c r="A356" s="84" t="s">
        <v>213</v>
      </c>
      <c r="C356" s="227">
        <v>76062</v>
      </c>
      <c r="E356" s="10">
        <v>4.7300000000000004</v>
      </c>
      <c r="F356" s="10"/>
      <c r="G356" s="6">
        <v>359773</v>
      </c>
      <c r="I356" s="236">
        <v>0.40671371000000001</v>
      </c>
      <c r="J356" s="44"/>
      <c r="K356" s="6">
        <f t="shared" ref="K356:K357" si="81">$G356*I356</f>
        <v>146324.61158783</v>
      </c>
      <c r="M356" s="236">
        <f>R357</f>
        <v>0.45285434000000002</v>
      </c>
      <c r="N356" s="44"/>
      <c r="O356" s="6">
        <f t="shared" ref="O356:O357" si="82">$G356*M356</f>
        <v>162924.76446482001</v>
      </c>
      <c r="Q356" s="231" t="s">
        <v>148</v>
      </c>
      <c r="R356" s="9">
        <f>R355-R354</f>
        <v>-8.4903591778129339E-3</v>
      </c>
    </row>
    <row r="357" spans="1:18">
      <c r="A357" s="84" t="s">
        <v>214</v>
      </c>
      <c r="C357" s="227">
        <v>169650</v>
      </c>
      <c r="E357" s="10">
        <v>4.18</v>
      </c>
      <c r="F357" s="10"/>
      <c r="G357" s="6">
        <v>709137</v>
      </c>
      <c r="I357" s="47">
        <v>0.40671371000000001</v>
      </c>
      <c r="J357" s="44"/>
      <c r="K357" s="6">
        <f t="shared" si="81"/>
        <v>288415.74016827001</v>
      </c>
      <c r="M357" s="47">
        <f>M$356</f>
        <v>0.45285434000000002</v>
      </c>
      <c r="N357" s="44"/>
      <c r="O357" s="6">
        <f t="shared" si="82"/>
        <v>321135.76810458</v>
      </c>
      <c r="Q357" s="31" t="s">
        <v>149</v>
      </c>
      <c r="R357" s="233">
        <f>ROUND(R355/SUM(G356:G361),$R$9)</f>
        <v>0.45285434000000002</v>
      </c>
    </row>
    <row r="358" spans="1:18">
      <c r="A358" s="84" t="s">
        <v>152</v>
      </c>
      <c r="C358" s="227">
        <v>6818306</v>
      </c>
      <c r="E358" s="49">
        <v>5.1477000000000004</v>
      </c>
      <c r="F358" s="232" t="s">
        <v>153</v>
      </c>
      <c r="G358" s="6">
        <v>350986</v>
      </c>
      <c r="I358" s="47">
        <v>0.40671371000000001</v>
      </c>
      <c r="J358" s="44"/>
      <c r="K358" s="6">
        <f t="shared" ref="K358:K361" si="83">$G358*I358</f>
        <v>142750.81821806001</v>
      </c>
      <c r="M358" s="47">
        <f t="shared" ref="M358:M361" si="84">M$356</f>
        <v>0.45285434000000002</v>
      </c>
      <c r="N358" s="44"/>
      <c r="O358" s="6">
        <f t="shared" ref="O358:O361" si="85">$G358*M358</f>
        <v>158945.53337924002</v>
      </c>
      <c r="Q358" s="65"/>
      <c r="R358" s="65"/>
    </row>
    <row r="359" spans="1:18">
      <c r="A359" s="84" t="s">
        <v>215</v>
      </c>
      <c r="C359" s="227">
        <v>7138084</v>
      </c>
      <c r="E359" s="49">
        <v>4.5555000000000003</v>
      </c>
      <c r="F359" s="232" t="s">
        <v>153</v>
      </c>
      <c r="G359" s="6">
        <v>325175</v>
      </c>
      <c r="I359" s="47">
        <v>0.40671371000000001</v>
      </c>
      <c r="J359" s="44"/>
      <c r="K359" s="6">
        <f t="shared" si="83"/>
        <v>132253.13064925</v>
      </c>
      <c r="M359" s="47">
        <f t="shared" si="84"/>
        <v>0.45285434000000002</v>
      </c>
      <c r="N359" s="44"/>
      <c r="O359" s="6">
        <f t="shared" si="85"/>
        <v>147256.91000950002</v>
      </c>
      <c r="Q359" s="65"/>
      <c r="R359" s="270"/>
    </row>
    <row r="360" spans="1:18">
      <c r="A360" s="84" t="s">
        <v>154</v>
      </c>
      <c r="C360" s="227">
        <v>5708900</v>
      </c>
      <c r="E360" s="49">
        <v>2.6164999999999998</v>
      </c>
      <c r="F360" s="232" t="s">
        <v>153</v>
      </c>
      <c r="G360" s="6">
        <v>149373</v>
      </c>
      <c r="I360" s="47">
        <v>0.40671371000000001</v>
      </c>
      <c r="J360" s="44"/>
      <c r="K360" s="6">
        <f t="shared" si="83"/>
        <v>60752.047003829997</v>
      </c>
      <c r="M360" s="47">
        <f t="shared" si="84"/>
        <v>0.45285434000000002</v>
      </c>
      <c r="N360" s="44"/>
      <c r="O360" s="6">
        <f t="shared" si="85"/>
        <v>67644.211328820005</v>
      </c>
      <c r="Q360" s="65"/>
      <c r="R360" s="270"/>
    </row>
    <row r="361" spans="1:18">
      <c r="A361" s="84" t="s">
        <v>216</v>
      </c>
      <c r="C361" s="227">
        <v>22274997.423445866</v>
      </c>
      <c r="E361" s="49">
        <v>2.3155000000000001</v>
      </c>
      <c r="F361" s="232" t="s">
        <v>153</v>
      </c>
      <c r="G361" s="6">
        <v>515778</v>
      </c>
      <c r="I361" s="47">
        <v>0.40671371000000001</v>
      </c>
      <c r="J361" s="44"/>
      <c r="K361" s="6">
        <f t="shared" si="83"/>
        <v>209773.98391638001</v>
      </c>
      <c r="M361" s="47">
        <f t="shared" si="84"/>
        <v>0.45285434000000002</v>
      </c>
      <c r="N361" s="44"/>
      <c r="O361" s="6">
        <f t="shared" si="85"/>
        <v>233572.30577652002</v>
      </c>
      <c r="Q361" s="65"/>
      <c r="R361" s="270"/>
    </row>
    <row r="362" spans="1:18" ht="16.5" thickBot="1">
      <c r="A362" s="84" t="s">
        <v>162</v>
      </c>
      <c r="C362" s="258">
        <v>41940288</v>
      </c>
      <c r="E362" s="68"/>
      <c r="G362" s="13">
        <v>2993188</v>
      </c>
      <c r="I362" s="51"/>
      <c r="J362" s="50"/>
      <c r="K362" s="169">
        <f>SUM(K356:K361)</f>
        <v>980270.33154361998</v>
      </c>
      <c r="M362" s="51"/>
      <c r="N362" s="50"/>
      <c r="O362" s="169">
        <f>SUM(O356:O361)</f>
        <v>1091479.4930634799</v>
      </c>
    </row>
    <row r="363" spans="1:18" ht="16.5" thickTop="1"/>
    <row r="364" spans="1:18">
      <c r="A364" s="228" t="s">
        <v>222</v>
      </c>
      <c r="I364" s="47"/>
      <c r="J364" s="232"/>
      <c r="M364" s="14"/>
      <c r="N364" s="232"/>
    </row>
    <row r="365" spans="1:18">
      <c r="A365" s="84" t="s">
        <v>223</v>
      </c>
      <c r="C365" s="227">
        <v>10</v>
      </c>
      <c r="E365" s="10">
        <v>122</v>
      </c>
      <c r="F365" s="10"/>
      <c r="G365" s="6">
        <v>1220</v>
      </c>
      <c r="Q365" s="255" t="s">
        <v>145</v>
      </c>
      <c r="R365" s="7">
        <f>O377+O394+O409</f>
        <v>4876865.6287823999</v>
      </c>
    </row>
    <row r="366" spans="1:18">
      <c r="A366" s="84" t="s">
        <v>224</v>
      </c>
      <c r="C366" s="227">
        <v>3273</v>
      </c>
      <c r="E366" s="10">
        <v>37</v>
      </c>
      <c r="F366" s="10"/>
      <c r="G366" s="6">
        <v>121101</v>
      </c>
      <c r="Q366" s="230" t="s">
        <v>147</v>
      </c>
      <c r="R366" s="8">
        <f>'Exhibit-RMP(RMM-1) page 2'!K29*1000</f>
        <v>4876865.5731461914</v>
      </c>
    </row>
    <row r="367" spans="1:18">
      <c r="A367" s="84" t="s">
        <v>225</v>
      </c>
      <c r="C367" s="227">
        <v>14850</v>
      </c>
      <c r="E367" s="10">
        <v>14</v>
      </c>
      <c r="F367" s="10"/>
      <c r="G367" s="6">
        <v>207900</v>
      </c>
      <c r="I367" s="3"/>
      <c r="M367" s="3"/>
      <c r="Q367" s="231" t="s">
        <v>148</v>
      </c>
      <c r="R367" s="9">
        <f>R366-R365</f>
        <v>-5.56362085044384E-2</v>
      </c>
    </row>
    <row r="368" spans="1:18">
      <c r="A368" s="84" t="s">
        <v>226</v>
      </c>
      <c r="C368" s="227">
        <v>425282</v>
      </c>
      <c r="E368" s="10">
        <v>7.14</v>
      </c>
      <c r="F368" s="10"/>
      <c r="G368" s="6">
        <v>3036513</v>
      </c>
      <c r="I368" s="236">
        <v>0.24967128</v>
      </c>
      <c r="J368" s="44"/>
      <c r="K368" s="6">
        <f t="shared" ref="K368" si="86">$G368*I368</f>
        <v>758130.08744664001</v>
      </c>
      <c r="M368" s="236">
        <f>R368</f>
        <v>0.27799584999999999</v>
      </c>
      <c r="N368" s="44"/>
      <c r="O368" s="6">
        <f t="shared" ref="O368" si="87">$G368*M368</f>
        <v>844138.01247105002</v>
      </c>
      <c r="Q368" s="31" t="s">
        <v>149</v>
      </c>
      <c r="R368" s="233">
        <f>ROUND(R366/SUM(G368,G370:G371,G375,G383,G385:G388,G392,G400,G402:G403,G407),$R$9)</f>
        <v>0.27799584999999999</v>
      </c>
    </row>
    <row r="369" spans="1:18">
      <c r="A369" s="84" t="s">
        <v>183</v>
      </c>
      <c r="C369" s="227">
        <v>4699</v>
      </c>
      <c r="E369" s="10">
        <v>-2.0499999999999998</v>
      </c>
      <c r="F369" s="10"/>
      <c r="G369" s="6">
        <v>-9633</v>
      </c>
      <c r="I369" s="46"/>
      <c r="J369" s="47"/>
      <c r="M369" s="46"/>
      <c r="N369" s="47"/>
      <c r="Q369" s="65"/>
      <c r="R369" s="65"/>
    </row>
    <row r="370" spans="1:18">
      <c r="A370" s="84" t="s">
        <v>227</v>
      </c>
      <c r="C370" s="227">
        <v>90734008</v>
      </c>
      <c r="E370" s="234">
        <v>7.1125999999999996</v>
      </c>
      <c r="F370" s="232" t="s">
        <v>153</v>
      </c>
      <c r="G370" s="6">
        <v>6453547</v>
      </c>
      <c r="I370" s="47">
        <v>0.24967128</v>
      </c>
      <c r="J370" s="44"/>
      <c r="K370" s="6">
        <f t="shared" ref="K370" si="88">$G370*I370</f>
        <v>1611265.34003016</v>
      </c>
      <c r="M370" s="47">
        <f>M$368</f>
        <v>0.27799584999999999</v>
      </c>
      <c r="N370" s="44"/>
      <c r="O370" s="6">
        <f t="shared" ref="O370" si="89">$G370*M370</f>
        <v>1794059.2837799499</v>
      </c>
      <c r="Q370" s="65"/>
    </row>
    <row r="371" spans="1:18">
      <c r="A371" s="84" t="s">
        <v>228</v>
      </c>
      <c r="C371" s="271">
        <v>54847557</v>
      </c>
      <c r="E371" s="234">
        <v>5.2572999999999999</v>
      </c>
      <c r="F371" s="232" t="s">
        <v>153</v>
      </c>
      <c r="G371" s="6">
        <v>2883501</v>
      </c>
      <c r="I371" s="47">
        <v>0.24967128</v>
      </c>
      <c r="J371" s="44"/>
      <c r="K371" s="6">
        <f t="shared" ref="K371" si="90">$G371*I371</f>
        <v>719927.38555127999</v>
      </c>
      <c r="M371" s="47">
        <f>M$368</f>
        <v>0.27799584999999999</v>
      </c>
      <c r="N371" s="44"/>
      <c r="O371" s="6">
        <f t="shared" ref="O371" si="91">$G371*M371</f>
        <v>801601.31147085002</v>
      </c>
      <c r="Q371" s="272"/>
    </row>
    <row r="372" spans="1:18">
      <c r="A372" s="84" t="s">
        <v>229</v>
      </c>
      <c r="C372" s="271">
        <v>145581565</v>
      </c>
      <c r="E372" s="273"/>
      <c r="G372" s="11">
        <v>12694149</v>
      </c>
      <c r="I372" s="47"/>
      <c r="J372" s="232"/>
      <c r="M372" s="53"/>
      <c r="N372" s="232"/>
      <c r="Q372" s="3"/>
      <c r="R372" s="4"/>
    </row>
    <row r="373" spans="1:18">
      <c r="A373" s="84" t="s">
        <v>230</v>
      </c>
      <c r="I373" s="47"/>
      <c r="J373" s="232"/>
      <c r="M373" s="53"/>
      <c r="N373" s="232"/>
      <c r="Q373" s="3"/>
      <c r="R373" s="4"/>
    </row>
    <row r="374" spans="1:18">
      <c r="A374" s="84" t="s">
        <v>231</v>
      </c>
      <c r="C374" s="227">
        <v>7027</v>
      </c>
      <c r="E374" s="10">
        <v>14</v>
      </c>
      <c r="F374" s="10"/>
      <c r="G374" s="6">
        <v>98378</v>
      </c>
      <c r="I374" s="53"/>
      <c r="J374" s="52"/>
      <c r="M374" s="53"/>
      <c r="N374" s="52"/>
      <c r="Q374" s="252"/>
      <c r="R374" s="4"/>
    </row>
    <row r="375" spans="1:18">
      <c r="A375" s="84" t="s">
        <v>232</v>
      </c>
      <c r="C375" s="271">
        <v>51252091</v>
      </c>
      <c r="E375" s="234">
        <v>4.8788999999999998</v>
      </c>
      <c r="F375" s="232" t="s">
        <v>153</v>
      </c>
      <c r="G375" s="6">
        <v>2500538</v>
      </c>
      <c r="I375" s="47">
        <v>0.24967128</v>
      </c>
      <c r="J375" s="44"/>
      <c r="K375" s="6">
        <f t="shared" ref="K375" si="92">$G375*I375</f>
        <v>624312.52314863994</v>
      </c>
      <c r="M375" s="47">
        <f>M$368</f>
        <v>0.27799584999999999</v>
      </c>
      <c r="N375" s="44"/>
      <c r="O375" s="6">
        <f t="shared" ref="O375" si="93">$G375*M375</f>
        <v>695139.18676730001</v>
      </c>
      <c r="Q375" s="3"/>
      <c r="R375" s="253"/>
    </row>
    <row r="376" spans="1:18">
      <c r="A376" s="84" t="s">
        <v>233</v>
      </c>
      <c r="C376" s="271">
        <v>51252091</v>
      </c>
      <c r="E376" s="273"/>
      <c r="G376" s="11">
        <v>2598916</v>
      </c>
      <c r="J376" s="49"/>
      <c r="N376" s="49"/>
    </row>
    <row r="377" spans="1:18" ht="16.5" thickBot="1">
      <c r="A377" s="84" t="s">
        <v>234</v>
      </c>
      <c r="C377" s="258">
        <v>196833656</v>
      </c>
      <c r="E377" s="68"/>
      <c r="G377" s="13">
        <v>15293065</v>
      </c>
      <c r="I377" s="51"/>
      <c r="J377" s="50"/>
      <c r="K377" s="169">
        <f>SUM(K368:K376)</f>
        <v>3713635.33617672</v>
      </c>
      <c r="M377" s="51"/>
      <c r="N377" s="50"/>
      <c r="O377" s="169">
        <f>SUM(O368:O376)</f>
        <v>4134937.7944891499</v>
      </c>
      <c r="Q377" s="4"/>
    </row>
    <row r="378" spans="1:18" ht="16.5" thickTop="1">
      <c r="I378" s="14"/>
      <c r="J378" s="44"/>
      <c r="M378" s="14"/>
      <c r="N378" s="44"/>
      <c r="Q378" s="4"/>
    </row>
    <row r="379" spans="1:18">
      <c r="A379" s="228" t="s">
        <v>235</v>
      </c>
      <c r="I379" s="47"/>
      <c r="J379" s="232"/>
      <c r="M379" s="53"/>
      <c r="N379" s="232"/>
    </row>
    <row r="380" spans="1:18">
      <c r="A380" s="84" t="s">
        <v>223</v>
      </c>
      <c r="C380" s="227">
        <v>1</v>
      </c>
      <c r="E380" s="10">
        <v>122</v>
      </c>
      <c r="F380" s="10"/>
      <c r="G380" s="6">
        <v>122</v>
      </c>
      <c r="I380" s="47"/>
      <c r="J380" s="232"/>
      <c r="M380" s="53"/>
      <c r="N380" s="232"/>
    </row>
    <row r="381" spans="1:18">
      <c r="A381" s="84" t="s">
        <v>224</v>
      </c>
      <c r="C381" s="227">
        <v>55</v>
      </c>
      <c r="E381" s="10">
        <v>37</v>
      </c>
      <c r="F381" s="10"/>
      <c r="G381" s="6">
        <v>2035</v>
      </c>
      <c r="I381" s="53"/>
      <c r="J381" s="52"/>
      <c r="M381" s="53"/>
      <c r="N381" s="52"/>
    </row>
    <row r="382" spans="1:18">
      <c r="A382" s="84" t="s">
        <v>225</v>
      </c>
      <c r="C382" s="227">
        <v>285</v>
      </c>
      <c r="E382" s="10">
        <v>14</v>
      </c>
      <c r="F382" s="10"/>
      <c r="G382" s="6">
        <v>3990</v>
      </c>
      <c r="J382" s="49"/>
      <c r="N382" s="49"/>
    </row>
    <row r="383" spans="1:18">
      <c r="A383" s="84" t="s">
        <v>226</v>
      </c>
      <c r="C383" s="227">
        <v>26155</v>
      </c>
      <c r="E383" s="10">
        <v>7.14</v>
      </c>
      <c r="F383" s="10"/>
      <c r="G383" s="6">
        <v>186747</v>
      </c>
      <c r="I383" s="47">
        <v>0.24967128</v>
      </c>
      <c r="J383" s="44"/>
      <c r="K383" s="6">
        <f t="shared" ref="K383" si="94">$G383*I383</f>
        <v>46625.362526160003</v>
      </c>
      <c r="M383" s="47">
        <f>M$368</f>
        <v>0.27799584999999999</v>
      </c>
      <c r="N383" s="44"/>
      <c r="O383" s="6">
        <f t="shared" ref="O383" si="95">$G383*M383</f>
        <v>51914.890999949996</v>
      </c>
    </row>
    <row r="384" spans="1:18">
      <c r="A384" s="84" t="s">
        <v>183</v>
      </c>
      <c r="C384" s="227">
        <v>10</v>
      </c>
      <c r="E384" s="10">
        <v>-2.0499999999999998</v>
      </c>
      <c r="F384" s="10"/>
      <c r="G384" s="6">
        <v>-21</v>
      </c>
      <c r="R384" s="274"/>
    </row>
    <row r="385" spans="1:18">
      <c r="A385" s="84" t="s">
        <v>227</v>
      </c>
      <c r="C385" s="227">
        <v>3703888</v>
      </c>
      <c r="E385" s="234">
        <v>7.1125999999999996</v>
      </c>
      <c r="F385" s="232" t="s">
        <v>153</v>
      </c>
      <c r="G385" s="6">
        <v>263443</v>
      </c>
      <c r="I385" s="47">
        <v>0.24967128</v>
      </c>
      <c r="J385" s="44"/>
      <c r="K385" s="6">
        <f t="shared" ref="K385:K388" si="96">$G385*I385</f>
        <v>65774.15101704</v>
      </c>
      <c r="M385" s="47">
        <f t="shared" ref="M385:M388" si="97">M$368</f>
        <v>0.27799584999999999</v>
      </c>
      <c r="N385" s="44"/>
      <c r="O385" s="6">
        <f t="shared" ref="O385:O388" si="98">$G385*M385</f>
        <v>73236.060711550002</v>
      </c>
      <c r="R385" s="275"/>
    </row>
    <row r="386" spans="1:18">
      <c r="A386" s="84" t="s">
        <v>228</v>
      </c>
      <c r="C386" s="271">
        <v>3271622</v>
      </c>
      <c r="E386" s="234">
        <v>5.2572999999999999</v>
      </c>
      <c r="F386" s="232" t="s">
        <v>153</v>
      </c>
      <c r="G386" s="6">
        <v>171999</v>
      </c>
      <c r="I386" s="47">
        <v>0.24967128</v>
      </c>
      <c r="J386" s="44"/>
      <c r="K386" s="6">
        <f t="shared" si="96"/>
        <v>42943.210488719997</v>
      </c>
      <c r="M386" s="47">
        <f t="shared" si="97"/>
        <v>0.27799584999999999</v>
      </c>
      <c r="N386" s="44"/>
      <c r="O386" s="6">
        <f t="shared" si="98"/>
        <v>47815.008204149999</v>
      </c>
      <c r="Q386" s="3"/>
      <c r="R386" s="4"/>
    </row>
    <row r="387" spans="1:18">
      <c r="A387" s="84" t="s">
        <v>166</v>
      </c>
      <c r="C387" s="227">
        <v>132217</v>
      </c>
      <c r="E387" s="234">
        <v>14.052</v>
      </c>
      <c r="F387" s="232" t="s">
        <v>153</v>
      </c>
      <c r="G387" s="6">
        <v>18579</v>
      </c>
      <c r="I387" s="47">
        <v>0.24967128</v>
      </c>
      <c r="J387" s="44"/>
      <c r="K387" s="6">
        <f t="shared" si="96"/>
        <v>4638.6427111200001</v>
      </c>
      <c r="M387" s="47">
        <f t="shared" si="97"/>
        <v>0.27799584999999999</v>
      </c>
      <c r="N387" s="44"/>
      <c r="O387" s="6">
        <f t="shared" si="98"/>
        <v>5164.8848971500001</v>
      </c>
      <c r="Q387" s="3"/>
      <c r="R387" s="4"/>
    </row>
    <row r="388" spans="1:18">
      <c r="A388" s="84" t="s">
        <v>167</v>
      </c>
      <c r="C388" s="271">
        <v>494707</v>
      </c>
      <c r="E388" s="234">
        <v>4.0491999999999999</v>
      </c>
      <c r="F388" s="232" t="s">
        <v>153</v>
      </c>
      <c r="G388" s="6">
        <v>20032</v>
      </c>
      <c r="I388" s="47">
        <v>0.24967128</v>
      </c>
      <c r="J388" s="44"/>
      <c r="K388" s="6">
        <f t="shared" si="96"/>
        <v>5001.4150809599996</v>
      </c>
      <c r="M388" s="47">
        <f t="shared" si="97"/>
        <v>0.27799584999999999</v>
      </c>
      <c r="N388" s="44"/>
      <c r="O388" s="6">
        <f t="shared" si="98"/>
        <v>5568.8128671999993</v>
      </c>
      <c r="Q388" s="252"/>
      <c r="R388" s="4"/>
    </row>
    <row r="389" spans="1:18">
      <c r="A389" s="84" t="s">
        <v>229</v>
      </c>
      <c r="C389" s="271">
        <v>7602434</v>
      </c>
      <c r="E389" s="273"/>
      <c r="G389" s="11">
        <v>666926</v>
      </c>
      <c r="I389" s="14"/>
      <c r="J389" s="44"/>
      <c r="M389" s="14"/>
      <c r="N389" s="44"/>
      <c r="Q389" s="3"/>
      <c r="R389" s="253"/>
    </row>
    <row r="390" spans="1:18">
      <c r="A390" s="84" t="s">
        <v>230</v>
      </c>
      <c r="I390" s="47"/>
      <c r="J390" s="44"/>
      <c r="M390" s="14"/>
      <c r="N390" s="44"/>
      <c r="Q390" s="269"/>
      <c r="R390" s="257"/>
    </row>
    <row r="391" spans="1:18">
      <c r="A391" s="84" t="s">
        <v>231</v>
      </c>
      <c r="C391" s="227">
        <v>123</v>
      </c>
      <c r="E391" s="10">
        <v>14</v>
      </c>
      <c r="F391" s="10"/>
      <c r="G391" s="6">
        <v>17</v>
      </c>
      <c r="I391" s="47"/>
      <c r="J391" s="44"/>
      <c r="M391" s="14"/>
      <c r="N391" s="44"/>
      <c r="Q391" s="269"/>
      <c r="R391" s="257"/>
    </row>
    <row r="392" spans="1:18">
      <c r="A392" s="84" t="s">
        <v>232</v>
      </c>
      <c r="C392" s="271">
        <v>1697995.5822001491</v>
      </c>
      <c r="E392" s="49">
        <v>4.8788999999999998</v>
      </c>
      <c r="F392" s="232" t="s">
        <v>153</v>
      </c>
      <c r="G392" s="6">
        <v>82844</v>
      </c>
      <c r="I392" s="47">
        <v>0.24967128</v>
      </c>
      <c r="J392" s="44"/>
      <c r="K392" s="6">
        <f t="shared" ref="K392" si="99">$G392*I392</f>
        <v>20683.767520319998</v>
      </c>
      <c r="M392" s="47">
        <f>M$368</f>
        <v>0.27799584999999999</v>
      </c>
      <c r="N392" s="44"/>
      <c r="O392" s="6">
        <f t="shared" ref="O392" si="100">$G392*M392</f>
        <v>23030.288197399997</v>
      </c>
      <c r="Q392" s="15"/>
      <c r="R392" s="16"/>
    </row>
    <row r="393" spans="1:18">
      <c r="A393" s="84" t="s">
        <v>233</v>
      </c>
      <c r="C393" s="271">
        <v>1697995.5822001491</v>
      </c>
      <c r="E393" s="273"/>
      <c r="G393" s="11">
        <v>82861</v>
      </c>
      <c r="I393" s="47"/>
      <c r="J393" s="44"/>
      <c r="M393" s="14"/>
      <c r="N393" s="44"/>
    </row>
    <row r="394" spans="1:18" ht="16.5" thickBot="1">
      <c r="A394" s="84" t="s">
        <v>236</v>
      </c>
      <c r="C394" s="258">
        <v>9300429.5822001491</v>
      </c>
      <c r="E394" s="68"/>
      <c r="G394" s="13">
        <v>749787</v>
      </c>
      <c r="I394" s="51"/>
      <c r="J394" s="50"/>
      <c r="K394" s="169">
        <f>SUM(K383:K393)</f>
        <v>185666.54934432</v>
      </c>
      <c r="M394" s="51"/>
      <c r="N394" s="50"/>
      <c r="O394" s="169">
        <f>SUM(O383:O393)</f>
        <v>206729.94587740002</v>
      </c>
    </row>
    <row r="395" spans="1:18" ht="16.5" thickTop="1"/>
    <row r="396" spans="1:18">
      <c r="A396" s="228" t="s">
        <v>237</v>
      </c>
    </row>
    <row r="397" spans="1:18">
      <c r="A397" s="84" t="s">
        <v>223</v>
      </c>
      <c r="C397" s="227">
        <v>3</v>
      </c>
      <c r="E397" s="10">
        <v>122</v>
      </c>
      <c r="F397" s="10"/>
      <c r="G397" s="6">
        <v>366</v>
      </c>
    </row>
    <row r="398" spans="1:18">
      <c r="A398" s="84" t="s">
        <v>224</v>
      </c>
      <c r="C398" s="227">
        <v>266</v>
      </c>
      <c r="E398" s="10">
        <v>37</v>
      </c>
      <c r="F398" s="10"/>
      <c r="G398" s="6">
        <v>9842</v>
      </c>
    </row>
    <row r="399" spans="1:18">
      <c r="A399" s="84" t="s">
        <v>238</v>
      </c>
      <c r="C399" s="227">
        <v>1196</v>
      </c>
      <c r="E399" s="10">
        <v>14</v>
      </c>
      <c r="F399" s="10"/>
      <c r="G399" s="6">
        <v>16744</v>
      </c>
    </row>
    <row r="400" spans="1:18">
      <c r="A400" s="84" t="s">
        <v>226</v>
      </c>
      <c r="C400" s="227">
        <v>63002</v>
      </c>
      <c r="E400" s="10">
        <v>7.14</v>
      </c>
      <c r="F400" s="10"/>
      <c r="G400" s="6">
        <v>449834</v>
      </c>
      <c r="I400" s="47">
        <v>0.24967128</v>
      </c>
      <c r="J400" s="44"/>
      <c r="K400" s="6">
        <f t="shared" ref="K400" si="101">$G400*I400</f>
        <v>112310.63056752</v>
      </c>
      <c r="M400" s="47">
        <f>M$368</f>
        <v>0.27799584999999999</v>
      </c>
      <c r="N400" s="44"/>
      <c r="O400" s="6">
        <f t="shared" ref="O400" si="102">$G400*M400</f>
        <v>125051.9851889</v>
      </c>
    </row>
    <row r="401" spans="1:18">
      <c r="A401" s="84" t="s">
        <v>239</v>
      </c>
      <c r="C401" s="227">
        <v>2363</v>
      </c>
      <c r="E401" s="10">
        <v>-2.0499999999999998</v>
      </c>
      <c r="F401" s="10"/>
      <c r="G401" s="6">
        <v>-4844</v>
      </c>
      <c r="I401" s="14"/>
      <c r="J401" s="44"/>
      <c r="M401" s="14"/>
      <c r="N401" s="44"/>
    </row>
    <row r="402" spans="1:18">
      <c r="A402" s="84" t="s">
        <v>166</v>
      </c>
      <c r="C402" s="227">
        <v>4395923</v>
      </c>
      <c r="E402" s="234">
        <v>14.052</v>
      </c>
      <c r="F402" s="232" t="s">
        <v>153</v>
      </c>
      <c r="G402" s="6">
        <v>617715</v>
      </c>
      <c r="I402" s="47">
        <v>0.24967128</v>
      </c>
      <c r="J402" s="44"/>
      <c r="K402" s="6">
        <f t="shared" ref="K402:K403" si="103">$G402*I402</f>
        <v>154225.69472520001</v>
      </c>
      <c r="M402" s="47">
        <f t="shared" ref="M402:M403" si="104">M$368</f>
        <v>0.27799584999999999</v>
      </c>
      <c r="N402" s="44"/>
      <c r="O402" s="6">
        <f t="shared" ref="O402:O403" si="105">$G402*M402</f>
        <v>171722.20648274999</v>
      </c>
    </row>
    <row r="403" spans="1:18">
      <c r="A403" s="84" t="s">
        <v>167</v>
      </c>
      <c r="C403" s="271">
        <v>13428677</v>
      </c>
      <c r="E403" s="234">
        <v>4.0491999999999999</v>
      </c>
      <c r="F403" s="232" t="s">
        <v>153</v>
      </c>
      <c r="G403" s="6">
        <v>543754</v>
      </c>
      <c r="I403" s="47">
        <v>0.24967128</v>
      </c>
      <c r="J403" s="44"/>
      <c r="K403" s="6">
        <f t="shared" si="103"/>
        <v>135759.75718511999</v>
      </c>
      <c r="M403" s="47">
        <f t="shared" si="104"/>
        <v>0.27799584999999999</v>
      </c>
      <c r="N403" s="44"/>
      <c r="O403" s="6">
        <f t="shared" si="105"/>
        <v>151161.35542089998</v>
      </c>
    </row>
    <row r="404" spans="1:18">
      <c r="A404" s="84" t="s">
        <v>229</v>
      </c>
      <c r="C404" s="271">
        <v>17824600</v>
      </c>
      <c r="E404" s="273"/>
      <c r="G404" s="11">
        <v>1633411</v>
      </c>
      <c r="I404" s="14"/>
      <c r="J404" s="44"/>
      <c r="M404" s="14"/>
      <c r="N404" s="44"/>
    </row>
    <row r="405" spans="1:18">
      <c r="A405" s="84" t="s">
        <v>230</v>
      </c>
      <c r="I405" s="14"/>
      <c r="J405" s="44"/>
      <c r="M405" s="14"/>
      <c r="N405" s="44"/>
    </row>
    <row r="406" spans="1:18">
      <c r="A406" s="84" t="s">
        <v>231</v>
      </c>
      <c r="C406" s="227">
        <v>605</v>
      </c>
      <c r="E406" s="10">
        <v>14</v>
      </c>
      <c r="F406" s="10"/>
      <c r="G406" s="6">
        <v>85</v>
      </c>
      <c r="I406" s="14"/>
      <c r="J406" s="44"/>
      <c r="M406" s="14"/>
      <c r="N406" s="44"/>
    </row>
    <row r="407" spans="1:18">
      <c r="A407" s="84" t="s">
        <v>232</v>
      </c>
      <c r="C407" s="271">
        <v>6433787.1371411681</v>
      </c>
      <c r="E407" s="49">
        <v>4.8788999999999998</v>
      </c>
      <c r="F407" s="232" t="s">
        <v>153</v>
      </c>
      <c r="G407" s="6">
        <v>313898</v>
      </c>
      <c r="I407" s="47">
        <v>0.24967128</v>
      </c>
      <c r="J407" s="44"/>
      <c r="K407" s="6">
        <f t="shared" ref="K407" si="106">$G407*I407</f>
        <v>78371.315449439993</v>
      </c>
      <c r="M407" s="47">
        <f>M$368</f>
        <v>0.27799584999999999</v>
      </c>
      <c r="N407" s="44"/>
      <c r="O407" s="6">
        <f t="shared" ref="O407" si="107">$G407*M407</f>
        <v>87262.341323300003</v>
      </c>
    </row>
    <row r="408" spans="1:18">
      <c r="A408" s="84" t="s">
        <v>233</v>
      </c>
      <c r="C408" s="271">
        <v>6433787.1371411681</v>
      </c>
      <c r="E408" s="273"/>
      <c r="G408" s="11">
        <v>313983</v>
      </c>
    </row>
    <row r="409" spans="1:18" ht="16.5" thickBot="1">
      <c r="A409" s="84" t="s">
        <v>240</v>
      </c>
      <c r="C409" s="258">
        <v>24258387.137141168</v>
      </c>
      <c r="E409" s="68"/>
      <c r="G409" s="13">
        <v>1947394</v>
      </c>
      <c r="I409" s="51"/>
      <c r="J409" s="50"/>
      <c r="K409" s="169">
        <f>SUM(K400:K408)</f>
        <v>480667.39792727999</v>
      </c>
      <c r="M409" s="51"/>
      <c r="N409" s="50"/>
      <c r="O409" s="169">
        <f>SUM(O400:O408)</f>
        <v>535197.88841585</v>
      </c>
    </row>
    <row r="410" spans="1:18" ht="16.5" thickTop="1">
      <c r="C410" s="227" t="s">
        <v>241</v>
      </c>
      <c r="I410" s="14"/>
      <c r="J410" s="44"/>
      <c r="M410" s="14"/>
      <c r="N410" s="44"/>
    </row>
    <row r="411" spans="1:18">
      <c r="A411" s="228" t="s">
        <v>242</v>
      </c>
      <c r="I411" s="14"/>
      <c r="J411" s="44"/>
      <c r="M411" s="14"/>
      <c r="N411" s="44"/>
    </row>
    <row r="412" spans="1:18">
      <c r="A412" s="228" t="s">
        <v>243</v>
      </c>
      <c r="I412" s="14"/>
      <c r="J412" s="44"/>
      <c r="M412" s="14"/>
      <c r="N412" s="44"/>
    </row>
    <row r="413" spans="1:18" s="232" customFormat="1">
      <c r="A413" s="84" t="s">
        <v>244</v>
      </c>
      <c r="B413" s="276"/>
      <c r="C413" s="227">
        <v>32060.279342838538</v>
      </c>
      <c r="D413" s="3"/>
      <c r="E413" s="10">
        <v>11.82</v>
      </c>
      <c r="F413" s="10"/>
      <c r="G413" s="6">
        <f t="shared" ref="G413:G429" si="108">C413*E413</f>
        <v>378952.5018323515</v>
      </c>
      <c r="H413" s="263"/>
      <c r="I413" s="47">
        <v>0.14495702999999999</v>
      </c>
      <c r="J413" s="44"/>
      <c r="K413" s="6">
        <f t="shared" ref="K413:K418" si="109">$G413*I413</f>
        <v>54931.829176687228</v>
      </c>
      <c r="L413" s="3"/>
      <c r="M413" s="47">
        <f>M$312</f>
        <v>0.16140203</v>
      </c>
      <c r="N413" s="44"/>
      <c r="O413" s="6">
        <f t="shared" ref="O413:O418" si="110">$G413*M413</f>
        <v>61163.703069320254</v>
      </c>
      <c r="Q413" s="2"/>
      <c r="R413" s="2"/>
    </row>
    <row r="414" spans="1:18" s="232" customFormat="1">
      <c r="A414" s="84" t="s">
        <v>245</v>
      </c>
      <c r="B414" s="276"/>
      <c r="C414" s="227">
        <v>197233.31780693663</v>
      </c>
      <c r="D414" s="3"/>
      <c r="E414" s="10">
        <v>12.74</v>
      </c>
      <c r="F414" s="10"/>
      <c r="G414" s="6">
        <f t="shared" si="108"/>
        <v>2512752.4688603724</v>
      </c>
      <c r="H414" s="263"/>
      <c r="I414" s="47">
        <v>0.14495702999999999</v>
      </c>
      <c r="J414" s="44"/>
      <c r="K414" s="6">
        <f t="shared" si="109"/>
        <v>364241.13501116703</v>
      </c>
      <c r="L414" s="3"/>
      <c r="M414" s="47">
        <f t="shared" ref="M414:M418" si="111">M$312</f>
        <v>0.16140203</v>
      </c>
      <c r="N414" s="44"/>
      <c r="O414" s="6">
        <f t="shared" si="110"/>
        <v>405563.34936157591</v>
      </c>
      <c r="Q414" s="2"/>
      <c r="R414" s="2"/>
    </row>
    <row r="415" spans="1:18" s="232" customFormat="1">
      <c r="A415" s="84" t="s">
        <v>246</v>
      </c>
      <c r="B415" s="276"/>
      <c r="C415" s="227">
        <v>20643.643092872899</v>
      </c>
      <c r="D415" s="3"/>
      <c r="E415" s="10">
        <v>13.19</v>
      </c>
      <c r="F415" s="10"/>
      <c r="G415" s="6">
        <f t="shared" si="108"/>
        <v>272289.65239499352</v>
      </c>
      <c r="H415" s="263"/>
      <c r="I415" s="47">
        <v>0.14495702999999999</v>
      </c>
      <c r="J415" s="44"/>
      <c r="K415" s="6">
        <f t="shared" si="109"/>
        <v>39470.299310910646</v>
      </c>
      <c r="L415" s="3"/>
      <c r="M415" s="47">
        <f t="shared" si="111"/>
        <v>0.16140203</v>
      </c>
      <c r="N415" s="44"/>
      <c r="O415" s="6">
        <f t="shared" si="110"/>
        <v>43948.102644546314</v>
      </c>
      <c r="Q415" s="2"/>
      <c r="R415" s="2"/>
    </row>
    <row r="416" spans="1:18" s="232" customFormat="1">
      <c r="A416" s="84" t="s">
        <v>247</v>
      </c>
      <c r="B416" s="276"/>
      <c r="C416" s="227">
        <v>574.1077419033528</v>
      </c>
      <c r="D416" s="3"/>
      <c r="E416" s="10">
        <v>13.71</v>
      </c>
      <c r="F416" s="10"/>
      <c r="G416" s="6">
        <f t="shared" si="108"/>
        <v>7871.0171414949673</v>
      </c>
      <c r="H416" s="263"/>
      <c r="I416" s="47">
        <v>0.14495702999999999</v>
      </c>
      <c r="J416" s="44"/>
      <c r="K416" s="6">
        <f t="shared" si="109"/>
        <v>1140.9592679102002</v>
      </c>
      <c r="L416" s="3"/>
      <c r="M416" s="47">
        <f t="shared" si="111"/>
        <v>0.16140203</v>
      </c>
      <c r="N416" s="44"/>
      <c r="O416" s="6">
        <f t="shared" si="110"/>
        <v>1270.398144802085</v>
      </c>
      <c r="Q416" s="2"/>
      <c r="R416" s="2"/>
    </row>
    <row r="417" spans="1:18" s="232" customFormat="1">
      <c r="A417" s="84" t="s">
        <v>248</v>
      </c>
      <c r="B417" s="276"/>
      <c r="C417" s="227">
        <v>22535.613465373277</v>
      </c>
      <c r="D417" s="3"/>
      <c r="E417" s="10">
        <v>14.6</v>
      </c>
      <c r="F417" s="10"/>
      <c r="G417" s="6">
        <f t="shared" si="108"/>
        <v>329019.95659444982</v>
      </c>
      <c r="H417" s="263"/>
      <c r="I417" s="47">
        <v>0.14495702999999999</v>
      </c>
      <c r="J417" s="44"/>
      <c r="K417" s="6">
        <f t="shared" si="109"/>
        <v>47693.755718660359</v>
      </c>
      <c r="L417" s="3"/>
      <c r="M417" s="47">
        <f t="shared" si="111"/>
        <v>0.16140203</v>
      </c>
      <c r="N417" s="44"/>
      <c r="O417" s="6">
        <f t="shared" si="110"/>
        <v>53104.488904856087</v>
      </c>
      <c r="Q417" s="2"/>
      <c r="R417" s="2"/>
    </row>
    <row r="418" spans="1:18" s="232" customFormat="1">
      <c r="A418" s="84" t="s">
        <v>249</v>
      </c>
      <c r="B418" s="276"/>
      <c r="C418" s="227">
        <v>7799.6965729399371</v>
      </c>
      <c r="D418" s="3"/>
      <c r="E418" s="10">
        <v>17.75</v>
      </c>
      <c r="F418" s="10"/>
      <c r="G418" s="6">
        <f t="shared" si="108"/>
        <v>138444.61416968389</v>
      </c>
      <c r="H418" s="263"/>
      <c r="I418" s="47">
        <v>0.14495702999999999</v>
      </c>
      <c r="J418" s="44"/>
      <c r="K418" s="6">
        <f t="shared" si="109"/>
        <v>20068.520089533289</v>
      </c>
      <c r="L418" s="3"/>
      <c r="M418" s="47">
        <f t="shared" si="111"/>
        <v>0.16140203</v>
      </c>
      <c r="N418" s="44"/>
      <c r="O418" s="6">
        <f t="shared" si="110"/>
        <v>22345.241769553744</v>
      </c>
      <c r="Q418" s="2"/>
      <c r="R418" s="2"/>
    </row>
    <row r="419" spans="1:18" s="232" customFormat="1">
      <c r="A419" s="228" t="s">
        <v>250</v>
      </c>
      <c r="B419" s="276"/>
      <c r="C419" s="227"/>
      <c r="D419" s="3"/>
      <c r="E419" s="10"/>
      <c r="F419" s="10"/>
      <c r="G419" s="6"/>
      <c r="H419" s="263"/>
      <c r="I419" s="14"/>
      <c r="J419" s="44"/>
      <c r="K419" s="6"/>
      <c r="L419" s="3"/>
      <c r="M419" s="14"/>
      <c r="N419" s="44"/>
      <c r="O419" s="6"/>
      <c r="Q419" s="2"/>
      <c r="R419" s="2"/>
    </row>
    <row r="420" spans="1:18" s="232" customFormat="1">
      <c r="A420" s="84" t="s">
        <v>246</v>
      </c>
      <c r="B420" s="276"/>
      <c r="C420" s="227">
        <v>5104.3342939970698</v>
      </c>
      <c r="D420" s="3"/>
      <c r="E420" s="10">
        <v>23.15</v>
      </c>
      <c r="F420" s="10"/>
      <c r="G420" s="6">
        <f t="shared" si="108"/>
        <v>118165.33890603216</v>
      </c>
      <c r="H420" s="263"/>
      <c r="I420" s="47">
        <v>0.14495702999999999</v>
      </c>
      <c r="J420" s="44"/>
      <c r="K420" s="6">
        <f t="shared" ref="K420" si="112">$G420*I420</f>
        <v>17128.896576761868</v>
      </c>
      <c r="L420" s="3"/>
      <c r="M420" s="47">
        <f>M$312</f>
        <v>0.16140203</v>
      </c>
      <c r="N420" s="44"/>
      <c r="O420" s="6">
        <f t="shared" ref="O420" si="113">$G420*M420</f>
        <v>19072.125575071572</v>
      </c>
      <c r="Q420" s="2"/>
      <c r="R420" s="2"/>
    </row>
    <row r="421" spans="1:18" s="232" customFormat="1">
      <c r="A421" s="228" t="s">
        <v>251</v>
      </c>
      <c r="B421" s="276"/>
      <c r="C421" s="227"/>
      <c r="D421" s="3"/>
      <c r="E421" s="10"/>
      <c r="F421" s="10"/>
      <c r="G421" s="6"/>
      <c r="H421" s="263"/>
      <c r="I421" s="14"/>
      <c r="J421" s="44"/>
      <c r="K421" s="6"/>
      <c r="L421" s="3"/>
      <c r="M421" s="14"/>
      <c r="N421" s="44"/>
      <c r="O421" s="6"/>
      <c r="Q421" s="2"/>
      <c r="R421" s="2"/>
    </row>
    <row r="422" spans="1:18" s="232" customFormat="1">
      <c r="A422" s="84" t="s">
        <v>244</v>
      </c>
      <c r="B422" s="276"/>
      <c r="C422" s="227">
        <v>0</v>
      </c>
      <c r="D422" s="3"/>
      <c r="E422" s="10">
        <v>6.04</v>
      </c>
      <c r="F422" s="10"/>
      <c r="G422" s="6">
        <f t="shared" si="108"/>
        <v>0</v>
      </c>
      <c r="H422" s="263"/>
      <c r="I422" s="47">
        <v>0.14495702999999999</v>
      </c>
      <c r="J422" s="44"/>
      <c r="K422" s="6">
        <f t="shared" ref="K422:K427" si="114">$G422*I422</f>
        <v>0</v>
      </c>
      <c r="L422" s="3"/>
      <c r="M422" s="47">
        <f t="shared" ref="M422:M427" si="115">M$312</f>
        <v>0.16140203</v>
      </c>
      <c r="N422" s="44"/>
      <c r="O422" s="6">
        <f t="shared" ref="O422:O427" si="116">$G422*M422</f>
        <v>0</v>
      </c>
      <c r="Q422" s="2"/>
      <c r="R422" s="2"/>
    </row>
    <row r="423" spans="1:18" s="232" customFormat="1">
      <c r="A423" s="84" t="s">
        <v>245</v>
      </c>
      <c r="B423" s="276"/>
      <c r="C423" s="227">
        <v>276</v>
      </c>
      <c r="D423" s="3"/>
      <c r="E423" s="10">
        <v>6.57</v>
      </c>
      <c r="F423" s="10"/>
      <c r="G423" s="6">
        <f t="shared" si="108"/>
        <v>1813.3200000000002</v>
      </c>
      <c r="H423" s="263"/>
      <c r="I423" s="47">
        <v>0.14495702999999999</v>
      </c>
      <c r="J423" s="44"/>
      <c r="K423" s="6">
        <f t="shared" si="114"/>
        <v>262.85348163959998</v>
      </c>
      <c r="L423" s="3"/>
      <c r="M423" s="47">
        <f t="shared" si="115"/>
        <v>0.16140203</v>
      </c>
      <c r="N423" s="44"/>
      <c r="O423" s="6">
        <f t="shared" si="116"/>
        <v>292.67352903960006</v>
      </c>
      <c r="Q423" s="2"/>
      <c r="R423" s="2"/>
    </row>
    <row r="424" spans="1:18" s="232" customFormat="1">
      <c r="A424" s="84" t="s">
        <v>246</v>
      </c>
      <c r="B424" s="276"/>
      <c r="C424" s="227">
        <v>0</v>
      </c>
      <c r="D424" s="3"/>
      <c r="E424" s="10">
        <v>6.99</v>
      </c>
      <c r="F424" s="10"/>
      <c r="G424" s="6">
        <f t="shared" si="108"/>
        <v>0</v>
      </c>
      <c r="H424" s="263"/>
      <c r="I424" s="47">
        <v>0.14495702999999999</v>
      </c>
      <c r="J424" s="44"/>
      <c r="K424" s="6">
        <f t="shared" si="114"/>
        <v>0</v>
      </c>
      <c r="L424" s="3"/>
      <c r="M424" s="47">
        <f t="shared" si="115"/>
        <v>0.16140203</v>
      </c>
      <c r="N424" s="44"/>
      <c r="O424" s="6">
        <f t="shared" si="116"/>
        <v>0</v>
      </c>
      <c r="Q424" s="2"/>
      <c r="R424" s="2"/>
    </row>
    <row r="425" spans="1:18" s="232" customFormat="1">
      <c r="A425" s="84" t="s">
        <v>247</v>
      </c>
      <c r="B425" s="276"/>
      <c r="C425" s="227">
        <v>0</v>
      </c>
      <c r="D425" s="3"/>
      <c r="E425" s="10">
        <v>7.46</v>
      </c>
      <c r="F425" s="10"/>
      <c r="G425" s="6">
        <f t="shared" si="108"/>
        <v>0</v>
      </c>
      <c r="H425" s="263"/>
      <c r="I425" s="47">
        <v>0.14495702999999999</v>
      </c>
      <c r="J425" s="44"/>
      <c r="K425" s="6">
        <f t="shared" si="114"/>
        <v>0</v>
      </c>
      <c r="L425" s="3"/>
      <c r="M425" s="47">
        <f t="shared" si="115"/>
        <v>0.16140203</v>
      </c>
      <c r="N425" s="44"/>
      <c r="O425" s="6">
        <f t="shared" si="116"/>
        <v>0</v>
      </c>
      <c r="Q425" s="2"/>
      <c r="R425" s="2"/>
    </row>
    <row r="426" spans="1:18" s="232" customFormat="1">
      <c r="A426" s="84" t="s">
        <v>248</v>
      </c>
      <c r="B426" s="276"/>
      <c r="C426" s="227">
        <v>12</v>
      </c>
      <c r="D426" s="3"/>
      <c r="E426" s="10">
        <v>8</v>
      </c>
      <c r="F426" s="10"/>
      <c r="G426" s="6">
        <f t="shared" si="108"/>
        <v>96</v>
      </c>
      <c r="H426" s="263"/>
      <c r="I426" s="47">
        <v>0.14495702999999999</v>
      </c>
      <c r="J426" s="44"/>
      <c r="K426" s="6">
        <f t="shared" si="114"/>
        <v>13.915874879999999</v>
      </c>
      <c r="L426" s="3"/>
      <c r="M426" s="47">
        <f t="shared" si="115"/>
        <v>0.16140203</v>
      </c>
      <c r="N426" s="44"/>
      <c r="O426" s="6">
        <f t="shared" si="116"/>
        <v>15.494594880000001</v>
      </c>
      <c r="Q426" s="2"/>
      <c r="R426" s="2"/>
    </row>
    <row r="427" spans="1:18" s="232" customFormat="1">
      <c r="A427" s="84" t="s">
        <v>249</v>
      </c>
      <c r="B427" s="276"/>
      <c r="C427" s="227">
        <v>0</v>
      </c>
      <c r="D427" s="3"/>
      <c r="E427" s="10">
        <v>9.7200000000000006</v>
      </c>
      <c r="F427" s="10"/>
      <c r="G427" s="6">
        <f t="shared" si="108"/>
        <v>0</v>
      </c>
      <c r="H427" s="263"/>
      <c r="I427" s="47">
        <v>0.14495702999999999</v>
      </c>
      <c r="J427" s="44"/>
      <c r="K427" s="6">
        <f t="shared" si="114"/>
        <v>0</v>
      </c>
      <c r="L427" s="3"/>
      <c r="M427" s="47">
        <f t="shared" si="115"/>
        <v>0.16140203</v>
      </c>
      <c r="N427" s="44"/>
      <c r="O427" s="6">
        <f t="shared" si="116"/>
        <v>0</v>
      </c>
      <c r="Q427" s="2"/>
      <c r="R427" s="2"/>
    </row>
    <row r="428" spans="1:18" s="232" customFormat="1">
      <c r="A428" s="228" t="s">
        <v>252</v>
      </c>
      <c r="B428" s="276"/>
      <c r="C428" s="227"/>
      <c r="D428" s="3"/>
      <c r="E428" s="10"/>
      <c r="F428" s="10"/>
      <c r="G428" s="6"/>
      <c r="H428" s="263"/>
      <c r="I428" s="14"/>
      <c r="J428" s="44"/>
      <c r="K428" s="6"/>
      <c r="L428" s="3"/>
      <c r="M428" s="14"/>
      <c r="N428" s="44"/>
      <c r="O428" s="6"/>
      <c r="Q428" s="2"/>
      <c r="R428" s="2"/>
    </row>
    <row r="429" spans="1:18" s="232" customFormat="1">
      <c r="A429" s="84" t="s">
        <v>246</v>
      </c>
      <c r="B429" s="276"/>
      <c r="C429" s="227">
        <v>0</v>
      </c>
      <c r="D429" s="3"/>
      <c r="E429" s="10">
        <v>5.52</v>
      </c>
      <c r="F429" s="10"/>
      <c r="G429" s="6">
        <f t="shared" si="108"/>
        <v>0</v>
      </c>
      <c r="H429" s="263"/>
      <c r="I429" s="47">
        <v>0.14495702999999999</v>
      </c>
      <c r="J429" s="44"/>
      <c r="K429" s="6">
        <f t="shared" ref="K429" si="117">$G429*I429</f>
        <v>0</v>
      </c>
      <c r="L429" s="3"/>
      <c r="M429" s="47">
        <f>M$312</f>
        <v>0.16140203</v>
      </c>
      <c r="N429" s="44"/>
      <c r="O429" s="6">
        <f t="shared" ref="O429" si="118">$G429*M429</f>
        <v>0</v>
      </c>
      <c r="Q429" s="2"/>
      <c r="R429" s="2"/>
    </row>
    <row r="430" spans="1:18">
      <c r="A430" s="84" t="s">
        <v>10</v>
      </c>
      <c r="C430" s="277">
        <v>715</v>
      </c>
      <c r="I430" s="14"/>
      <c r="J430" s="44"/>
      <c r="M430" s="14"/>
      <c r="N430" s="44"/>
    </row>
    <row r="431" spans="1:18" ht="16.5" thickBot="1">
      <c r="A431" s="84" t="s">
        <v>124</v>
      </c>
      <c r="C431" s="278">
        <v>13572508.23362934</v>
      </c>
      <c r="E431" s="18"/>
      <c r="F431" s="50"/>
      <c r="G431" s="169">
        <v>3759404.8698993782</v>
      </c>
      <c r="I431" s="48"/>
      <c r="K431" s="13">
        <f>SUM(K413:K430)</f>
        <v>544952.16450815031</v>
      </c>
      <c r="M431" s="48"/>
      <c r="O431" s="13">
        <f>SUM(O413:O430)</f>
        <v>606775.57759364555</v>
      </c>
    </row>
    <row r="432" spans="1:18" ht="16.5" thickTop="1">
      <c r="I432" s="53"/>
      <c r="J432" s="44"/>
      <c r="M432" s="53"/>
      <c r="N432" s="44"/>
    </row>
    <row r="433" spans="1:15">
      <c r="A433" s="228" t="s">
        <v>253</v>
      </c>
      <c r="I433" s="53"/>
      <c r="J433" s="44"/>
      <c r="M433" s="53"/>
      <c r="N433" s="44"/>
    </row>
    <row r="434" spans="1:15">
      <c r="A434" s="279" t="s">
        <v>254</v>
      </c>
      <c r="I434" s="14"/>
      <c r="J434" s="44"/>
      <c r="M434" s="14"/>
      <c r="N434" s="44"/>
    </row>
    <row r="435" spans="1:15">
      <c r="A435" s="280" t="s">
        <v>255</v>
      </c>
    </row>
    <row r="436" spans="1:15">
      <c r="A436" s="84" t="s">
        <v>256</v>
      </c>
      <c r="C436" s="227">
        <v>51176</v>
      </c>
      <c r="E436" s="44">
        <v>1.33</v>
      </c>
      <c r="F436" s="44"/>
      <c r="G436" s="6">
        <v>68064.08</v>
      </c>
      <c r="I436" s="47">
        <v>0.14495702999999999</v>
      </c>
      <c r="J436" s="44"/>
      <c r="K436" s="6">
        <f t="shared" ref="K436:K440" si="119">$G436*I436</f>
        <v>9866.3668864823994</v>
      </c>
      <c r="M436" s="47">
        <f t="shared" ref="M436:M440" si="120">M$312</f>
        <v>0.16140203</v>
      </c>
      <c r="N436" s="44"/>
      <c r="O436" s="6">
        <f t="shared" ref="O436:O440" si="121">$G436*M436</f>
        <v>10985.6806820824</v>
      </c>
    </row>
    <row r="437" spans="1:15">
      <c r="A437" s="84" t="s">
        <v>257</v>
      </c>
      <c r="C437" s="227">
        <v>80459</v>
      </c>
      <c r="E437" s="44">
        <v>1.81</v>
      </c>
      <c r="F437" s="44"/>
      <c r="G437" s="6">
        <v>145630.79</v>
      </c>
      <c r="I437" s="47">
        <v>0.14495702999999999</v>
      </c>
      <c r="J437" s="44"/>
      <c r="K437" s="6">
        <f t="shared" si="119"/>
        <v>21110.206794953698</v>
      </c>
      <c r="M437" s="47">
        <f t="shared" si="120"/>
        <v>0.16140203</v>
      </c>
      <c r="N437" s="44"/>
      <c r="O437" s="6">
        <f t="shared" si="121"/>
        <v>23505.105136503702</v>
      </c>
    </row>
    <row r="438" spans="1:15">
      <c r="A438" s="84" t="s">
        <v>258</v>
      </c>
      <c r="C438" s="227">
        <v>67482</v>
      </c>
      <c r="E438" s="44">
        <v>2.65</v>
      </c>
      <c r="F438" s="44"/>
      <c r="G438" s="6">
        <v>178827.3</v>
      </c>
      <c r="I438" s="47">
        <v>0.14495702999999999</v>
      </c>
      <c r="J438" s="44"/>
      <c r="K438" s="6">
        <f t="shared" si="119"/>
        <v>25922.274290918995</v>
      </c>
      <c r="M438" s="47">
        <f t="shared" si="120"/>
        <v>0.16140203</v>
      </c>
      <c r="N438" s="44"/>
      <c r="O438" s="6">
        <f t="shared" si="121"/>
        <v>28863.089239418998</v>
      </c>
    </row>
    <row r="439" spans="1:15">
      <c r="A439" s="84" t="s">
        <v>259</v>
      </c>
      <c r="C439" s="227">
        <v>17154</v>
      </c>
      <c r="E439" s="44">
        <v>4.7300000000000004</v>
      </c>
      <c r="F439" s="44"/>
      <c r="G439" s="6">
        <v>81138.420000000013</v>
      </c>
      <c r="I439" s="47">
        <v>0.14495702999999999</v>
      </c>
      <c r="J439" s="44"/>
      <c r="K439" s="6">
        <f t="shared" si="119"/>
        <v>11761.5843820926</v>
      </c>
      <c r="M439" s="47">
        <f t="shared" si="120"/>
        <v>0.16140203</v>
      </c>
      <c r="N439" s="44"/>
      <c r="O439" s="6">
        <f t="shared" si="121"/>
        <v>13095.905698992603</v>
      </c>
    </row>
    <row r="440" spans="1:15">
      <c r="A440" s="84" t="s">
        <v>260</v>
      </c>
      <c r="C440" s="227">
        <v>10092</v>
      </c>
      <c r="E440" s="44">
        <v>7.27</v>
      </c>
      <c r="F440" s="44"/>
      <c r="G440" s="6">
        <v>73368.84</v>
      </c>
      <c r="I440" s="47">
        <v>0.14495702999999999</v>
      </c>
      <c r="J440" s="44"/>
      <c r="K440" s="6">
        <f t="shared" si="119"/>
        <v>10635.329140945198</v>
      </c>
      <c r="M440" s="47">
        <f t="shared" si="120"/>
        <v>0.16140203</v>
      </c>
      <c r="N440" s="44"/>
      <c r="O440" s="6">
        <f t="shared" si="121"/>
        <v>11841.879714745199</v>
      </c>
    </row>
    <row r="441" spans="1:15">
      <c r="A441" s="280" t="s">
        <v>261</v>
      </c>
      <c r="E441" s="10"/>
      <c r="F441" s="10"/>
    </row>
    <row r="442" spans="1:15">
      <c r="A442" s="84" t="s">
        <v>262</v>
      </c>
      <c r="C442" s="227">
        <v>4369</v>
      </c>
      <c r="E442" s="44">
        <v>1.85</v>
      </c>
      <c r="F442" s="44"/>
      <c r="G442" s="6">
        <v>8082.6500000000005</v>
      </c>
      <c r="I442" s="47">
        <v>0.14495702999999999</v>
      </c>
      <c r="J442" s="44"/>
      <c r="K442" s="6">
        <f t="shared" ref="K442:K446" si="122">$G442*I442</f>
        <v>1171.6369385295</v>
      </c>
      <c r="M442" s="47">
        <f t="shared" ref="M442:M446" si="123">M$312</f>
        <v>0.16140203</v>
      </c>
      <c r="N442" s="44"/>
      <c r="O442" s="6">
        <f t="shared" ref="O442:O446" si="124">$G442*M442</f>
        <v>1304.5561177795</v>
      </c>
    </row>
    <row r="443" spans="1:15">
      <c r="A443" s="84" t="s">
        <v>263</v>
      </c>
      <c r="C443" s="227">
        <v>9335</v>
      </c>
      <c r="E443" s="44">
        <v>3.24</v>
      </c>
      <c r="F443" s="44"/>
      <c r="G443" s="6">
        <v>30245.4</v>
      </c>
      <c r="I443" s="47">
        <v>0.14495702999999999</v>
      </c>
      <c r="J443" s="44"/>
      <c r="K443" s="6">
        <f t="shared" si="122"/>
        <v>4384.2833551619997</v>
      </c>
      <c r="M443" s="47">
        <f t="shared" si="123"/>
        <v>0.16140203</v>
      </c>
      <c r="N443" s="44"/>
      <c r="O443" s="6">
        <f t="shared" si="124"/>
        <v>4881.6689581620003</v>
      </c>
    </row>
    <row r="444" spans="1:15">
      <c r="A444" s="84" t="s">
        <v>264</v>
      </c>
      <c r="C444" s="227">
        <v>10137</v>
      </c>
      <c r="E444" s="44">
        <v>4.4800000000000004</v>
      </c>
      <c r="F444" s="44"/>
      <c r="G444" s="6">
        <v>45413.760000000002</v>
      </c>
      <c r="I444" s="47">
        <v>0.14495702999999999</v>
      </c>
      <c r="J444" s="44"/>
      <c r="K444" s="6">
        <f t="shared" si="122"/>
        <v>6583.0437707328001</v>
      </c>
      <c r="M444" s="47">
        <f t="shared" si="123"/>
        <v>0.16140203</v>
      </c>
      <c r="N444" s="44"/>
      <c r="O444" s="6">
        <f t="shared" si="124"/>
        <v>7329.8730539328008</v>
      </c>
    </row>
    <row r="445" spans="1:15">
      <c r="A445" s="84" t="s">
        <v>265</v>
      </c>
      <c r="C445" s="227">
        <v>6173</v>
      </c>
      <c r="E445" s="44">
        <v>7.09</v>
      </c>
      <c r="F445" s="44"/>
      <c r="G445" s="6">
        <v>43766.57</v>
      </c>
      <c r="I445" s="47">
        <v>0.14495702999999999</v>
      </c>
      <c r="J445" s="44"/>
      <c r="K445" s="6">
        <f t="shared" si="122"/>
        <v>6344.2720004870998</v>
      </c>
      <c r="M445" s="47">
        <f t="shared" si="123"/>
        <v>0.16140203</v>
      </c>
      <c r="N445" s="44"/>
      <c r="O445" s="6">
        <f t="shared" si="124"/>
        <v>7064.0132441370997</v>
      </c>
    </row>
    <row r="446" spans="1:15">
      <c r="A446" s="280" t="s">
        <v>266</v>
      </c>
      <c r="C446" s="227">
        <v>9608182</v>
      </c>
      <c r="E446" s="52">
        <v>4.5465</v>
      </c>
      <c r="F446" s="232" t="s">
        <v>153</v>
      </c>
      <c r="G446" s="6">
        <v>436835.99462999997</v>
      </c>
      <c r="I446" s="47">
        <v>0.14495702999999999</v>
      </c>
      <c r="J446" s="44"/>
      <c r="K446" s="6">
        <f t="shared" si="122"/>
        <v>63322.448378660738</v>
      </c>
      <c r="M446" s="47">
        <f t="shared" si="123"/>
        <v>0.16140203</v>
      </c>
      <c r="N446" s="44"/>
      <c r="O446" s="6">
        <f t="shared" si="124"/>
        <v>70506.216310351097</v>
      </c>
    </row>
    <row r="447" spans="1:15">
      <c r="A447" s="281" t="s">
        <v>267</v>
      </c>
      <c r="I447" s="47"/>
      <c r="M447" s="14"/>
    </row>
    <row r="448" spans="1:15">
      <c r="A448" s="280" t="s">
        <v>268</v>
      </c>
    </row>
    <row r="449" spans="1:18">
      <c r="A449" s="84" t="s">
        <v>269</v>
      </c>
      <c r="C449" s="227">
        <v>46</v>
      </c>
      <c r="E449" s="44">
        <v>6.5</v>
      </c>
      <c r="F449" s="44"/>
      <c r="G449" s="6">
        <v>299</v>
      </c>
      <c r="I449" s="47">
        <v>0.14495702999999999</v>
      </c>
      <c r="J449" s="44"/>
      <c r="K449" s="6">
        <f t="shared" ref="K449:K455" si="125">$G449*I449</f>
        <v>43.342151969999996</v>
      </c>
      <c r="M449" s="47">
        <f t="shared" ref="M449:M455" si="126">M$312</f>
        <v>0.16140203</v>
      </c>
      <c r="N449" s="44"/>
      <c r="O449" s="6">
        <f t="shared" ref="O449:O455" si="127">$G449*M449</f>
        <v>48.259206970000001</v>
      </c>
    </row>
    <row r="450" spans="1:18">
      <c r="A450" s="84" t="s">
        <v>270</v>
      </c>
      <c r="C450" s="227">
        <v>23</v>
      </c>
      <c r="E450" s="44">
        <v>8.84</v>
      </c>
      <c r="F450" s="44"/>
      <c r="G450" s="6">
        <v>203.32</v>
      </c>
      <c r="I450" s="47">
        <v>0.14495702999999999</v>
      </c>
      <c r="J450" s="44"/>
      <c r="K450" s="6">
        <f t="shared" si="125"/>
        <v>29.472663339599997</v>
      </c>
      <c r="M450" s="47">
        <f t="shared" si="126"/>
        <v>0.16140203</v>
      </c>
      <c r="N450" s="44"/>
      <c r="O450" s="6">
        <f t="shared" si="127"/>
        <v>32.816260739599997</v>
      </c>
    </row>
    <row r="451" spans="1:18">
      <c r="A451" s="280" t="s">
        <v>271</v>
      </c>
      <c r="E451" s="44"/>
      <c r="F451" s="44"/>
      <c r="I451" s="47"/>
      <c r="J451" s="44"/>
      <c r="M451" s="47"/>
      <c r="N451" s="44"/>
    </row>
    <row r="452" spans="1:18">
      <c r="A452" s="84" t="s">
        <v>270</v>
      </c>
      <c r="C452" s="227">
        <v>0</v>
      </c>
      <c r="E452" s="44">
        <v>3.37</v>
      </c>
      <c r="F452" s="44"/>
      <c r="G452" s="6">
        <v>0</v>
      </c>
      <c r="I452" s="47">
        <v>0.14495702999999999</v>
      </c>
      <c r="J452" s="44"/>
      <c r="K452" s="6">
        <f t="shared" si="125"/>
        <v>0</v>
      </c>
      <c r="M452" s="47">
        <f t="shared" si="126"/>
        <v>0.16140203</v>
      </c>
      <c r="N452" s="44"/>
      <c r="O452" s="6">
        <f t="shared" si="127"/>
        <v>0</v>
      </c>
    </row>
    <row r="453" spans="1:18">
      <c r="A453" s="84" t="s">
        <v>272</v>
      </c>
      <c r="C453" s="227">
        <v>404</v>
      </c>
      <c r="E453" s="44">
        <v>5.08</v>
      </c>
      <c r="G453" s="6">
        <v>2052.3200000000002</v>
      </c>
      <c r="I453" s="47">
        <v>0.14495702999999999</v>
      </c>
      <c r="J453" s="44"/>
      <c r="K453" s="6">
        <f t="shared" si="125"/>
        <v>297.49821180959998</v>
      </c>
      <c r="M453" s="47">
        <f t="shared" si="126"/>
        <v>0.16140203</v>
      </c>
      <c r="N453" s="44"/>
      <c r="O453" s="6">
        <f t="shared" si="127"/>
        <v>331.24861420960002</v>
      </c>
    </row>
    <row r="454" spans="1:18">
      <c r="A454" s="84" t="s">
        <v>273</v>
      </c>
      <c r="C454" s="227">
        <v>53</v>
      </c>
      <c r="E454" s="44">
        <v>9.67</v>
      </c>
      <c r="F454" s="44"/>
      <c r="G454" s="6">
        <v>512.51</v>
      </c>
      <c r="I454" s="47">
        <v>0.14495702999999999</v>
      </c>
      <c r="J454" s="44"/>
      <c r="K454" s="6">
        <f t="shared" si="125"/>
        <v>74.29192744529999</v>
      </c>
      <c r="M454" s="47">
        <f t="shared" si="126"/>
        <v>0.16140203</v>
      </c>
      <c r="N454" s="44"/>
      <c r="O454" s="6">
        <f t="shared" si="127"/>
        <v>82.7201543953</v>
      </c>
    </row>
    <row r="455" spans="1:18">
      <c r="A455" s="84" t="s">
        <v>274</v>
      </c>
      <c r="C455" s="227">
        <v>0</v>
      </c>
      <c r="E455" s="44">
        <v>20.59</v>
      </c>
      <c r="F455" s="44"/>
      <c r="G455" s="6">
        <v>0</v>
      </c>
      <c r="I455" s="47">
        <v>0.14495702999999999</v>
      </c>
      <c r="J455" s="44"/>
      <c r="K455" s="6">
        <f t="shared" si="125"/>
        <v>0</v>
      </c>
      <c r="M455" s="47">
        <f t="shared" si="126"/>
        <v>0.16140203</v>
      </c>
      <c r="N455" s="44"/>
      <c r="O455" s="6">
        <f t="shared" si="127"/>
        <v>0</v>
      </c>
    </row>
    <row r="456" spans="1:18">
      <c r="A456" s="280" t="s">
        <v>275</v>
      </c>
      <c r="E456" s="44"/>
      <c r="F456" s="44"/>
    </row>
    <row r="457" spans="1:18">
      <c r="A457" s="84" t="s">
        <v>256</v>
      </c>
      <c r="C457" s="227">
        <v>1416</v>
      </c>
      <c r="E457" s="44">
        <v>2.96</v>
      </c>
      <c r="F457" s="44"/>
      <c r="G457" s="6">
        <v>4191.3599999999997</v>
      </c>
      <c r="I457" s="47">
        <v>0.14495702999999999</v>
      </c>
      <c r="J457" s="44"/>
      <c r="K457" s="6">
        <f t="shared" ref="K457:K466" si="128">$G457*I457</f>
        <v>607.56709726079987</v>
      </c>
      <c r="M457" s="47">
        <f t="shared" ref="M457:M466" si="129">M$312</f>
        <v>0.16140203</v>
      </c>
      <c r="N457" s="44"/>
      <c r="O457" s="6">
        <f t="shared" ref="O457:O466" si="130">$G457*M457</f>
        <v>676.49401246079992</v>
      </c>
    </row>
    <row r="458" spans="1:18">
      <c r="A458" s="84" t="s">
        <v>257</v>
      </c>
      <c r="C458" s="227">
        <v>6699</v>
      </c>
      <c r="E458" s="44">
        <v>3.9</v>
      </c>
      <c r="F458" s="44"/>
      <c r="G458" s="6">
        <v>26126.1</v>
      </c>
      <c r="I458" s="47">
        <v>0.14495702999999999</v>
      </c>
      <c r="J458" s="44"/>
      <c r="K458" s="6">
        <f t="shared" si="128"/>
        <v>3787.1618614829995</v>
      </c>
      <c r="M458" s="47">
        <f t="shared" si="129"/>
        <v>0.16140203</v>
      </c>
      <c r="N458" s="44"/>
      <c r="O458" s="6">
        <f t="shared" si="130"/>
        <v>4216.8055759829995</v>
      </c>
    </row>
    <row r="459" spans="1:18">
      <c r="A459" s="84" t="s">
        <v>276</v>
      </c>
      <c r="C459" s="227">
        <v>3869</v>
      </c>
      <c r="E459" s="44">
        <v>5.05</v>
      </c>
      <c r="F459" s="44"/>
      <c r="G459" s="6">
        <v>19538.45</v>
      </c>
      <c r="I459" s="47">
        <v>0.14495702999999999</v>
      </c>
      <c r="J459" s="44"/>
      <c r="K459" s="6">
        <f t="shared" si="128"/>
        <v>2832.2356828034999</v>
      </c>
      <c r="M459" s="47">
        <f t="shared" si="129"/>
        <v>0.16140203</v>
      </c>
      <c r="N459" s="44"/>
      <c r="O459" s="6">
        <f t="shared" si="130"/>
        <v>3153.5454930535002</v>
      </c>
    </row>
    <row r="460" spans="1:18">
      <c r="A460" s="84" t="s">
        <v>258</v>
      </c>
      <c r="C460" s="227">
        <v>586</v>
      </c>
      <c r="E460" s="44">
        <v>4.7300000000000004</v>
      </c>
      <c r="F460" s="44"/>
      <c r="G460" s="6">
        <v>2771.78</v>
      </c>
      <c r="I460" s="47">
        <v>0.14495702999999999</v>
      </c>
      <c r="J460" s="44"/>
      <c r="K460" s="6">
        <f t="shared" si="128"/>
        <v>401.7889966134</v>
      </c>
      <c r="M460" s="47">
        <f t="shared" si="129"/>
        <v>0.16140203</v>
      </c>
      <c r="N460" s="44"/>
      <c r="O460" s="6">
        <f t="shared" si="130"/>
        <v>447.37091871340004</v>
      </c>
    </row>
    <row r="461" spans="1:18">
      <c r="A461" s="84" t="s">
        <v>277</v>
      </c>
      <c r="C461" s="227">
        <v>269</v>
      </c>
      <c r="E461" s="44">
        <v>6</v>
      </c>
      <c r="F461" s="44"/>
      <c r="G461" s="6">
        <v>1614</v>
      </c>
      <c r="I461" s="47">
        <v>0.14495702999999999</v>
      </c>
      <c r="J461" s="44"/>
      <c r="K461" s="6">
        <f t="shared" si="128"/>
        <v>233.96064641999999</v>
      </c>
      <c r="M461" s="47">
        <f t="shared" si="129"/>
        <v>0.16140203</v>
      </c>
      <c r="N461" s="44"/>
      <c r="O461" s="6">
        <f t="shared" si="130"/>
        <v>260.50287642000001</v>
      </c>
      <c r="Q461" s="3"/>
      <c r="R461" s="4"/>
    </row>
    <row r="462" spans="1:18">
      <c r="A462" s="84" t="s">
        <v>278</v>
      </c>
      <c r="C462" s="227">
        <v>0</v>
      </c>
      <c r="E462" s="44">
        <v>5.99</v>
      </c>
      <c r="F462" s="44"/>
      <c r="G462" s="6">
        <v>0</v>
      </c>
      <c r="I462" s="47">
        <v>0.14495702999999999</v>
      </c>
      <c r="J462" s="44"/>
      <c r="K462" s="6">
        <f t="shared" si="128"/>
        <v>0</v>
      </c>
      <c r="M462" s="47">
        <f t="shared" si="129"/>
        <v>0.16140203</v>
      </c>
      <c r="N462" s="44"/>
      <c r="O462" s="6">
        <f t="shared" si="130"/>
        <v>0</v>
      </c>
      <c r="Q462" s="3"/>
      <c r="R462" s="4"/>
    </row>
    <row r="463" spans="1:18">
      <c r="A463" s="84" t="s">
        <v>259</v>
      </c>
      <c r="C463" s="227">
        <v>1740</v>
      </c>
      <c r="E463" s="44">
        <v>6.96</v>
      </c>
      <c r="F463" s="44"/>
      <c r="G463" s="6">
        <v>12110.4</v>
      </c>
      <c r="I463" s="47">
        <v>0.14495702999999999</v>
      </c>
      <c r="J463" s="44"/>
      <c r="K463" s="6">
        <f t="shared" si="128"/>
        <v>1755.4876161119998</v>
      </c>
      <c r="M463" s="47">
        <f t="shared" si="129"/>
        <v>0.16140203</v>
      </c>
      <c r="N463" s="44"/>
      <c r="O463" s="6">
        <f t="shared" si="130"/>
        <v>1954.6431441120001</v>
      </c>
      <c r="Q463" s="252"/>
      <c r="R463" s="4"/>
    </row>
    <row r="464" spans="1:18">
      <c r="A464" s="84" t="s">
        <v>279</v>
      </c>
      <c r="C464" s="227">
        <v>77</v>
      </c>
      <c r="E464" s="44">
        <v>8.65</v>
      </c>
      <c r="F464" s="44"/>
      <c r="G464" s="6">
        <v>666.05000000000007</v>
      </c>
      <c r="I464" s="47">
        <v>0.14495702999999999</v>
      </c>
      <c r="J464" s="44"/>
      <c r="K464" s="6">
        <f t="shared" si="128"/>
        <v>96.548629831499994</v>
      </c>
      <c r="M464" s="47">
        <f t="shared" si="129"/>
        <v>0.16140203</v>
      </c>
      <c r="N464" s="44"/>
      <c r="O464" s="6">
        <f t="shared" si="130"/>
        <v>107.50182208150001</v>
      </c>
      <c r="Q464" s="3"/>
      <c r="R464" s="253"/>
    </row>
    <row r="465" spans="1:18">
      <c r="A465" s="84" t="s">
        <v>260</v>
      </c>
      <c r="C465" s="227">
        <v>4562</v>
      </c>
      <c r="E465" s="44">
        <v>10.15</v>
      </c>
      <c r="F465" s="44"/>
      <c r="G465" s="6">
        <v>46304.3</v>
      </c>
      <c r="I465" s="47">
        <v>0.14495702999999999</v>
      </c>
      <c r="J465" s="44"/>
      <c r="K465" s="6">
        <f t="shared" si="128"/>
        <v>6712.1338042289999</v>
      </c>
      <c r="M465" s="47">
        <f t="shared" si="129"/>
        <v>0.16140203</v>
      </c>
      <c r="N465" s="44"/>
      <c r="O465" s="6">
        <f t="shared" si="130"/>
        <v>7473.6080177290005</v>
      </c>
    </row>
    <row r="466" spans="1:18">
      <c r="A466" s="84" t="s">
        <v>280</v>
      </c>
      <c r="C466" s="227">
        <v>76</v>
      </c>
      <c r="E466" s="44">
        <v>11.29</v>
      </c>
      <c r="F466" s="44"/>
      <c r="G466" s="6">
        <v>858.04</v>
      </c>
      <c r="I466" s="47">
        <v>0.14495702999999999</v>
      </c>
      <c r="J466" s="44"/>
      <c r="K466" s="6">
        <f t="shared" si="128"/>
        <v>124.37893002119998</v>
      </c>
      <c r="M466" s="47">
        <f t="shared" si="129"/>
        <v>0.16140203</v>
      </c>
      <c r="N466" s="44"/>
      <c r="O466" s="6">
        <f t="shared" si="130"/>
        <v>138.48939782119999</v>
      </c>
    </row>
    <row r="467" spans="1:18">
      <c r="A467" s="280" t="s">
        <v>261</v>
      </c>
      <c r="E467" s="44"/>
      <c r="F467" s="44"/>
      <c r="J467" s="49"/>
      <c r="N467" s="49"/>
      <c r="Q467" s="3"/>
      <c r="R467" s="4"/>
    </row>
    <row r="468" spans="1:18">
      <c r="A468" s="84" t="s">
        <v>281</v>
      </c>
      <c r="C468" s="227">
        <v>587</v>
      </c>
      <c r="E468" s="44">
        <v>6.67</v>
      </c>
      <c r="F468" s="44"/>
      <c r="G468" s="6">
        <v>3915.29</v>
      </c>
      <c r="I468" s="47">
        <v>0.14495702999999999</v>
      </c>
      <c r="J468" s="44"/>
      <c r="K468" s="6">
        <f t="shared" ref="K468:K474" si="131">$G468*I468</f>
        <v>567.54880998869999</v>
      </c>
      <c r="M468" s="47">
        <f t="shared" ref="M468:M474" si="132">M$312</f>
        <v>0.16140203</v>
      </c>
      <c r="N468" s="44"/>
      <c r="O468" s="6">
        <f t="shared" ref="O468:O474" si="133">$G468*M468</f>
        <v>631.9357540387</v>
      </c>
      <c r="Q468" s="3"/>
      <c r="R468" s="4"/>
    </row>
    <row r="469" spans="1:18">
      <c r="A469" s="84" t="s">
        <v>263</v>
      </c>
      <c r="C469" s="227">
        <v>847</v>
      </c>
      <c r="E469" s="44">
        <v>9.84</v>
      </c>
      <c r="F469" s="44"/>
      <c r="G469" s="6">
        <v>8334.48</v>
      </c>
      <c r="I469" s="47">
        <v>0.14495702999999999</v>
      </c>
      <c r="J469" s="44"/>
      <c r="K469" s="6">
        <f t="shared" si="131"/>
        <v>1208.1414673943998</v>
      </c>
      <c r="M469" s="47">
        <f t="shared" si="132"/>
        <v>0.16140203</v>
      </c>
      <c r="N469" s="44"/>
      <c r="O469" s="6">
        <f t="shared" si="133"/>
        <v>1345.2019909943999</v>
      </c>
      <c r="Q469" s="252"/>
      <c r="R469" s="4"/>
    </row>
    <row r="470" spans="1:18">
      <c r="A470" s="84" t="s">
        <v>282</v>
      </c>
      <c r="C470" s="227">
        <v>130</v>
      </c>
      <c r="E470" s="44">
        <v>8.0399999999999991</v>
      </c>
      <c r="F470" s="44"/>
      <c r="G470" s="6">
        <v>1045.1999999999998</v>
      </c>
      <c r="I470" s="47">
        <v>0.14495702999999999</v>
      </c>
      <c r="J470" s="44"/>
      <c r="K470" s="6">
        <f t="shared" si="131"/>
        <v>151.50908775599996</v>
      </c>
      <c r="M470" s="47">
        <f t="shared" si="132"/>
        <v>0.16140203</v>
      </c>
      <c r="N470" s="44"/>
      <c r="O470" s="6">
        <f t="shared" si="133"/>
        <v>168.69740175599998</v>
      </c>
      <c r="Q470" s="3"/>
      <c r="R470" s="253"/>
    </row>
    <row r="471" spans="1:18">
      <c r="A471" s="84" t="s">
        <v>264</v>
      </c>
      <c r="C471" s="227">
        <v>244</v>
      </c>
      <c r="E471" s="44">
        <v>9.94</v>
      </c>
      <c r="F471" s="44"/>
      <c r="G471" s="6">
        <v>2425.3599999999997</v>
      </c>
      <c r="I471" s="47">
        <v>0.14495702999999999</v>
      </c>
      <c r="J471" s="44"/>
      <c r="K471" s="6">
        <f t="shared" si="131"/>
        <v>351.57298228079992</v>
      </c>
      <c r="M471" s="47">
        <f t="shared" si="132"/>
        <v>0.16140203</v>
      </c>
      <c r="N471" s="44"/>
      <c r="O471" s="6">
        <f t="shared" si="133"/>
        <v>391.45802748079996</v>
      </c>
      <c r="R471" s="203"/>
    </row>
    <row r="472" spans="1:18">
      <c r="A472" s="84" t="s">
        <v>283</v>
      </c>
      <c r="C472" s="227">
        <v>3676</v>
      </c>
      <c r="E472" s="44">
        <v>10.25</v>
      </c>
      <c r="F472" s="44"/>
      <c r="G472" s="6">
        <v>37679</v>
      </c>
      <c r="I472" s="47">
        <v>0.14495702999999999</v>
      </c>
      <c r="J472" s="44"/>
      <c r="K472" s="6">
        <f t="shared" si="131"/>
        <v>5461.8359333699991</v>
      </c>
      <c r="M472" s="47">
        <f t="shared" si="132"/>
        <v>0.16140203</v>
      </c>
      <c r="N472" s="44"/>
      <c r="O472" s="6">
        <f t="shared" si="133"/>
        <v>6081.4670883700001</v>
      </c>
    </row>
    <row r="473" spans="1:18">
      <c r="A473" s="84" t="s">
        <v>265</v>
      </c>
      <c r="C473" s="227">
        <v>122</v>
      </c>
      <c r="E473" s="44">
        <v>10.58</v>
      </c>
      <c r="F473" s="44"/>
      <c r="G473" s="6">
        <v>1290.76</v>
      </c>
      <c r="I473" s="47">
        <v>0.14495702999999999</v>
      </c>
      <c r="J473" s="44"/>
      <c r="K473" s="6">
        <f t="shared" si="131"/>
        <v>187.10473604279997</v>
      </c>
      <c r="M473" s="47">
        <f t="shared" si="132"/>
        <v>0.16140203</v>
      </c>
      <c r="N473" s="44"/>
      <c r="O473" s="6">
        <f t="shared" si="133"/>
        <v>208.3312842428</v>
      </c>
    </row>
    <row r="474" spans="1:18">
      <c r="A474" s="84" t="s">
        <v>284</v>
      </c>
      <c r="C474" s="227">
        <v>352</v>
      </c>
      <c r="E474" s="44">
        <v>11.45</v>
      </c>
      <c r="F474" s="44"/>
      <c r="G474" s="6">
        <v>4030.3999999999996</v>
      </c>
      <c r="I474" s="47">
        <v>0.14495702999999999</v>
      </c>
      <c r="J474" s="44"/>
      <c r="K474" s="6">
        <f t="shared" si="131"/>
        <v>584.23481371199989</v>
      </c>
      <c r="M474" s="47">
        <f t="shared" si="132"/>
        <v>0.16140203</v>
      </c>
      <c r="N474" s="44"/>
      <c r="O474" s="6">
        <f t="shared" si="133"/>
        <v>650.51474171199993</v>
      </c>
    </row>
    <row r="475" spans="1:18">
      <c r="A475" s="280" t="s">
        <v>285</v>
      </c>
      <c r="E475" s="44"/>
      <c r="F475" s="44"/>
    </row>
    <row r="476" spans="1:18">
      <c r="A476" s="84" t="s">
        <v>286</v>
      </c>
      <c r="C476" s="227">
        <v>0</v>
      </c>
      <c r="E476" s="44">
        <v>2.72</v>
      </c>
      <c r="F476" s="44"/>
      <c r="G476" s="6">
        <v>0</v>
      </c>
      <c r="I476" s="47">
        <v>0.14495702999999999</v>
      </c>
      <c r="J476" s="44"/>
      <c r="K476" s="6">
        <f t="shared" ref="K476:K477" si="134">$G476*I476</f>
        <v>0</v>
      </c>
      <c r="M476" s="47">
        <f t="shared" ref="M476:M477" si="135">M$312</f>
        <v>0.16140203</v>
      </c>
      <c r="N476" s="44"/>
      <c r="O476" s="6">
        <f t="shared" ref="O476:O477" si="136">$G476*M476</f>
        <v>0</v>
      </c>
    </row>
    <row r="477" spans="1:18">
      <c r="A477" s="84" t="s">
        <v>287</v>
      </c>
      <c r="C477" s="227">
        <v>53</v>
      </c>
      <c r="E477" s="44">
        <v>10.1</v>
      </c>
      <c r="F477" s="44"/>
      <c r="G477" s="6">
        <v>535.29999999999995</v>
      </c>
      <c r="I477" s="47">
        <v>0.14495702999999999</v>
      </c>
      <c r="J477" s="44"/>
      <c r="K477" s="6">
        <f t="shared" si="134"/>
        <v>77.595498158999987</v>
      </c>
      <c r="M477" s="47">
        <f t="shared" si="135"/>
        <v>0.16140203</v>
      </c>
      <c r="N477" s="44"/>
      <c r="O477" s="6">
        <f t="shared" si="136"/>
        <v>86.398506658999992</v>
      </c>
    </row>
    <row r="478" spans="1:18">
      <c r="A478" s="281" t="s">
        <v>288</v>
      </c>
      <c r="E478" s="44"/>
      <c r="F478" s="44"/>
    </row>
    <row r="479" spans="1:18">
      <c r="A479" s="280" t="s">
        <v>268</v>
      </c>
      <c r="E479" s="44"/>
      <c r="F479" s="44"/>
    </row>
    <row r="480" spans="1:18">
      <c r="A480" s="84" t="s">
        <v>289</v>
      </c>
      <c r="C480" s="227">
        <v>37</v>
      </c>
      <c r="E480" s="44">
        <v>12.86</v>
      </c>
      <c r="F480" s="44"/>
      <c r="G480" s="6">
        <v>475.82</v>
      </c>
      <c r="I480" s="47">
        <v>0.14495702999999999</v>
      </c>
      <c r="J480" s="44"/>
      <c r="K480" s="6">
        <f t="shared" ref="K480:K481" si="137">$G480*I480</f>
        <v>68.973454014599994</v>
      </c>
      <c r="M480" s="47">
        <f t="shared" ref="M480:M481" si="138">M$312</f>
        <v>0.16140203</v>
      </c>
      <c r="N480" s="44"/>
      <c r="O480" s="6">
        <f t="shared" ref="O480:O481" si="139">$G480*M480</f>
        <v>76.798313914600001</v>
      </c>
    </row>
    <row r="481" spans="1:15">
      <c r="A481" s="84" t="s">
        <v>290</v>
      </c>
      <c r="C481" s="227">
        <v>12</v>
      </c>
      <c r="E481" s="44">
        <v>16.97</v>
      </c>
      <c r="F481" s="44"/>
      <c r="G481" s="6">
        <v>203.64</v>
      </c>
      <c r="I481" s="47">
        <v>0.14495702999999999</v>
      </c>
      <c r="J481" s="44"/>
      <c r="K481" s="6">
        <f t="shared" si="137"/>
        <v>29.519049589199994</v>
      </c>
      <c r="M481" s="47">
        <f t="shared" si="138"/>
        <v>0.16140203</v>
      </c>
      <c r="N481" s="44"/>
      <c r="O481" s="6">
        <f t="shared" si="139"/>
        <v>32.867909389200001</v>
      </c>
    </row>
    <row r="482" spans="1:15">
      <c r="A482" s="280" t="s">
        <v>271</v>
      </c>
    </row>
    <row r="483" spans="1:15">
      <c r="A483" s="84" t="s">
        <v>272</v>
      </c>
      <c r="C483" s="227">
        <v>25</v>
      </c>
      <c r="E483" s="44">
        <v>5.82</v>
      </c>
      <c r="F483" s="44"/>
      <c r="G483" s="6">
        <v>145.5</v>
      </c>
      <c r="I483" s="47">
        <v>0.14495702999999999</v>
      </c>
      <c r="J483" s="44"/>
      <c r="K483" s="6">
        <f t="shared" ref="K483:K485" si="140">$G483*I483</f>
        <v>21.091247865</v>
      </c>
      <c r="M483" s="47">
        <f t="shared" ref="M483:M485" si="141">M$312</f>
        <v>0.16140203</v>
      </c>
      <c r="N483" s="44"/>
      <c r="O483" s="6">
        <f t="shared" ref="O483:O485" si="142">$G483*M483</f>
        <v>23.483995365000002</v>
      </c>
    </row>
    <row r="484" spans="1:15">
      <c r="A484" s="84" t="s">
        <v>273</v>
      </c>
      <c r="C484" s="227">
        <v>0</v>
      </c>
      <c r="E484" s="44">
        <v>11.1</v>
      </c>
      <c r="F484" s="44"/>
      <c r="G484" s="6">
        <v>0</v>
      </c>
      <c r="I484" s="47">
        <v>0.14495702999999999</v>
      </c>
      <c r="J484" s="44"/>
      <c r="K484" s="6">
        <f t="shared" si="140"/>
        <v>0</v>
      </c>
      <c r="M484" s="47">
        <f t="shared" si="141"/>
        <v>0.16140203</v>
      </c>
      <c r="N484" s="44"/>
      <c r="O484" s="6">
        <f t="shared" si="142"/>
        <v>0</v>
      </c>
    </row>
    <row r="485" spans="1:15">
      <c r="A485" s="84" t="s">
        <v>274</v>
      </c>
      <c r="C485" s="227">
        <v>0</v>
      </c>
      <c r="E485" s="44">
        <v>23.56</v>
      </c>
      <c r="F485" s="44"/>
      <c r="G485" s="6">
        <v>0</v>
      </c>
      <c r="I485" s="47">
        <v>0.14495702999999999</v>
      </c>
      <c r="J485" s="44"/>
      <c r="K485" s="6">
        <f t="shared" si="140"/>
        <v>0</v>
      </c>
      <c r="M485" s="47">
        <f t="shared" si="141"/>
        <v>0.16140203</v>
      </c>
      <c r="N485" s="44"/>
      <c r="O485" s="6">
        <f t="shared" si="142"/>
        <v>0</v>
      </c>
    </row>
    <row r="486" spans="1:15" ht="14.25" customHeight="1">
      <c r="A486" s="280" t="s">
        <v>291</v>
      </c>
      <c r="E486" s="10"/>
      <c r="F486" s="10"/>
      <c r="I486" s="47"/>
      <c r="J486" s="44"/>
      <c r="M486" s="14"/>
      <c r="N486" s="44"/>
    </row>
    <row r="487" spans="1:15">
      <c r="A487" s="84" t="s">
        <v>256</v>
      </c>
      <c r="C487" s="227">
        <v>4183</v>
      </c>
      <c r="E487" s="44">
        <v>3.39</v>
      </c>
      <c r="F487" s="44"/>
      <c r="G487" s="6">
        <v>14180.37</v>
      </c>
      <c r="I487" s="47">
        <v>0.14495702999999999</v>
      </c>
      <c r="J487" s="44"/>
      <c r="K487" s="6">
        <f t="shared" ref="K487:K492" si="143">$G487*I487</f>
        <v>2055.5443195010998</v>
      </c>
      <c r="M487" s="47">
        <f t="shared" ref="M487:M492" si="144">M$312</f>
        <v>0.16140203</v>
      </c>
      <c r="N487" s="44"/>
      <c r="O487" s="6">
        <f t="shared" ref="O487:O492" si="145">$G487*M487</f>
        <v>2288.7405041511001</v>
      </c>
    </row>
    <row r="488" spans="1:15">
      <c r="A488" s="84" t="s">
        <v>257</v>
      </c>
      <c r="C488" s="227">
        <v>7164</v>
      </c>
      <c r="E488" s="44">
        <v>4.47</v>
      </c>
      <c r="F488" s="44"/>
      <c r="G488" s="6">
        <v>32023.079999999998</v>
      </c>
      <c r="I488" s="47">
        <v>0.14495702999999999</v>
      </c>
      <c r="J488" s="44"/>
      <c r="K488" s="6">
        <f t="shared" si="143"/>
        <v>4641.9705682523991</v>
      </c>
      <c r="M488" s="47">
        <f t="shared" si="144"/>
        <v>0.16140203</v>
      </c>
      <c r="N488" s="44"/>
      <c r="O488" s="6">
        <f t="shared" si="145"/>
        <v>5168.5901188523994</v>
      </c>
    </row>
    <row r="489" spans="1:15">
      <c r="A489" s="84" t="s">
        <v>258</v>
      </c>
      <c r="C489" s="227">
        <v>597</v>
      </c>
      <c r="E489" s="44">
        <v>5.42</v>
      </c>
      <c r="F489" s="44"/>
      <c r="G489" s="6">
        <v>3235.74</v>
      </c>
      <c r="I489" s="47">
        <v>0.14495702999999999</v>
      </c>
      <c r="J489" s="44"/>
      <c r="K489" s="6">
        <f t="shared" si="143"/>
        <v>469.0432602521999</v>
      </c>
      <c r="M489" s="47">
        <f t="shared" si="144"/>
        <v>0.16140203</v>
      </c>
      <c r="N489" s="44"/>
      <c r="O489" s="6">
        <f t="shared" si="145"/>
        <v>522.25500455219992</v>
      </c>
    </row>
    <row r="490" spans="1:15">
      <c r="A490" s="84" t="s">
        <v>292</v>
      </c>
      <c r="C490" s="227">
        <v>0</v>
      </c>
      <c r="E490" s="44">
        <v>6.85</v>
      </c>
      <c r="F490" s="44"/>
      <c r="G490" s="6">
        <v>0</v>
      </c>
      <c r="I490" s="47">
        <v>0.14495702999999999</v>
      </c>
      <c r="J490" s="44"/>
      <c r="K490" s="6">
        <f t="shared" si="143"/>
        <v>0</v>
      </c>
      <c r="M490" s="47">
        <f t="shared" si="144"/>
        <v>0.16140203</v>
      </c>
      <c r="N490" s="44"/>
      <c r="O490" s="6">
        <f t="shared" si="145"/>
        <v>0</v>
      </c>
    </row>
    <row r="491" spans="1:15">
      <c r="A491" s="84" t="s">
        <v>259</v>
      </c>
      <c r="C491" s="227">
        <v>1267</v>
      </c>
      <c r="E491" s="44">
        <v>7.97</v>
      </c>
      <c r="F491" s="44"/>
      <c r="G491" s="6">
        <v>10097.99</v>
      </c>
      <c r="I491" s="47">
        <v>0.14495702999999999</v>
      </c>
      <c r="J491" s="44"/>
      <c r="K491" s="6">
        <f t="shared" si="143"/>
        <v>1463.7746393696998</v>
      </c>
      <c r="M491" s="47">
        <f t="shared" si="144"/>
        <v>0.16140203</v>
      </c>
      <c r="N491" s="44"/>
      <c r="O491" s="6">
        <f t="shared" si="145"/>
        <v>1629.8360849196999</v>
      </c>
    </row>
    <row r="492" spans="1:15">
      <c r="A492" s="84" t="s">
        <v>260</v>
      </c>
      <c r="C492" s="227">
        <v>1657</v>
      </c>
      <c r="E492" s="44">
        <v>11.62</v>
      </c>
      <c r="F492" s="44"/>
      <c r="G492" s="6">
        <v>19254.34</v>
      </c>
      <c r="I492" s="47">
        <v>0.14495702999999999</v>
      </c>
      <c r="J492" s="44"/>
      <c r="K492" s="6">
        <f t="shared" si="143"/>
        <v>2791.0519410101997</v>
      </c>
      <c r="M492" s="47">
        <f t="shared" si="144"/>
        <v>0.16140203</v>
      </c>
      <c r="N492" s="44"/>
      <c r="O492" s="6">
        <f t="shared" si="145"/>
        <v>3107.6895623102</v>
      </c>
    </row>
    <row r="493" spans="1:15">
      <c r="A493" s="280" t="s">
        <v>261</v>
      </c>
    </row>
    <row r="494" spans="1:15">
      <c r="A494" s="84" t="s">
        <v>263</v>
      </c>
      <c r="C494" s="227">
        <v>35</v>
      </c>
      <c r="E494" s="44">
        <v>11.3</v>
      </c>
      <c r="F494" s="44"/>
      <c r="G494" s="6">
        <v>395.5</v>
      </c>
      <c r="I494" s="47">
        <v>0.14495702999999999</v>
      </c>
      <c r="J494" s="44"/>
      <c r="K494" s="6">
        <f t="shared" ref="K494:K497" si="146">$G494*I494</f>
        <v>57.330505364999993</v>
      </c>
      <c r="M494" s="47">
        <f t="shared" ref="M494:M497" si="147">M$312</f>
        <v>0.16140203</v>
      </c>
      <c r="N494" s="44"/>
      <c r="O494" s="6">
        <f t="shared" ref="O494:O497" si="148">$G494*M494</f>
        <v>63.834502864999997</v>
      </c>
    </row>
    <row r="495" spans="1:15">
      <c r="A495" s="84" t="s">
        <v>264</v>
      </c>
      <c r="C495" s="227">
        <v>748</v>
      </c>
      <c r="E495" s="44">
        <v>11.41</v>
      </c>
      <c r="F495" s="44"/>
      <c r="G495" s="6">
        <v>8534.68</v>
      </c>
      <c r="I495" s="47">
        <v>0.14495702999999999</v>
      </c>
      <c r="J495" s="44"/>
      <c r="K495" s="6">
        <f t="shared" si="146"/>
        <v>1237.1618648003998</v>
      </c>
      <c r="M495" s="47">
        <f t="shared" si="147"/>
        <v>0.16140203</v>
      </c>
      <c r="N495" s="44"/>
      <c r="O495" s="6">
        <f t="shared" si="148"/>
        <v>1377.5146774004002</v>
      </c>
    </row>
    <row r="496" spans="1:15">
      <c r="A496" s="84" t="s">
        <v>265</v>
      </c>
      <c r="C496" s="227">
        <v>697</v>
      </c>
      <c r="E496" s="44">
        <v>12.13</v>
      </c>
      <c r="F496" s="44"/>
      <c r="G496" s="6">
        <v>8454.61</v>
      </c>
      <c r="I496" s="47">
        <v>0.14495702999999999</v>
      </c>
      <c r="J496" s="44"/>
      <c r="K496" s="6">
        <f t="shared" si="146"/>
        <v>1225.5551554082999</v>
      </c>
      <c r="M496" s="47">
        <f t="shared" si="147"/>
        <v>0.16140203</v>
      </c>
      <c r="N496" s="44"/>
      <c r="O496" s="6">
        <f t="shared" si="148"/>
        <v>1364.5912168583002</v>
      </c>
    </row>
    <row r="497" spans="1:18">
      <c r="A497" s="84" t="s">
        <v>293</v>
      </c>
      <c r="C497" s="227">
        <v>0</v>
      </c>
      <c r="E497" s="44">
        <v>23.97</v>
      </c>
      <c r="F497" s="44"/>
      <c r="G497" s="6">
        <v>0</v>
      </c>
      <c r="I497" s="47">
        <v>0.14495702999999999</v>
      </c>
      <c r="J497" s="44"/>
      <c r="K497" s="6">
        <f t="shared" si="146"/>
        <v>0</v>
      </c>
      <c r="M497" s="47">
        <f t="shared" si="147"/>
        <v>0.16140203</v>
      </c>
      <c r="N497" s="44"/>
      <c r="O497" s="6">
        <f t="shared" si="148"/>
        <v>0</v>
      </c>
    </row>
    <row r="498" spans="1:18">
      <c r="A498" s="84" t="s">
        <v>10</v>
      </c>
      <c r="C498" s="277">
        <v>1229</v>
      </c>
    </row>
    <row r="499" spans="1:18" ht="16.5" thickBot="1">
      <c r="A499" s="84" t="s">
        <v>124</v>
      </c>
      <c r="C499" s="278">
        <v>26868874.204370789</v>
      </c>
      <c r="E499" s="18"/>
      <c r="F499" s="50"/>
      <c r="G499" s="198">
        <v>1384878.4946300006</v>
      </c>
      <c r="I499" s="48"/>
      <c r="K499" s="13">
        <f>SUM(K436:K498)</f>
        <v>200747.8734924357</v>
      </c>
      <c r="M499" s="48"/>
      <c r="O499" s="13">
        <f>SUM(O436:O498)</f>
        <v>223522.20033662609</v>
      </c>
    </row>
    <row r="500" spans="1:18" ht="16.5" thickTop="1">
      <c r="A500" s="84"/>
      <c r="C500" s="277"/>
    </row>
    <row r="501" spans="1:18">
      <c r="A501" s="281" t="s">
        <v>294</v>
      </c>
      <c r="I501" s="14"/>
      <c r="J501" s="44"/>
      <c r="M501" s="14"/>
      <c r="N501" s="44"/>
      <c r="Q501" s="255" t="s">
        <v>145</v>
      </c>
      <c r="R501" s="7">
        <f>O507</f>
        <v>330417.75638733001</v>
      </c>
    </row>
    <row r="502" spans="1:18">
      <c r="A502" s="84" t="s">
        <v>295</v>
      </c>
      <c r="C502" s="227">
        <v>21139</v>
      </c>
      <c r="E502" s="44">
        <v>7</v>
      </c>
      <c r="F502" s="44"/>
      <c r="G502" s="6">
        <v>147973</v>
      </c>
      <c r="I502" s="14"/>
      <c r="J502" s="44"/>
      <c r="M502" s="14"/>
      <c r="N502" s="44"/>
      <c r="Q502" s="230" t="s">
        <v>147</v>
      </c>
      <c r="R502" s="8">
        <f>'Exhibit-RMP(RMM-1) page 2'!K43*1000</f>
        <v>330417.75509426097</v>
      </c>
    </row>
    <row r="503" spans="1:18">
      <c r="A503" s="84" t="s">
        <v>296</v>
      </c>
      <c r="C503" s="227">
        <v>638</v>
      </c>
      <c r="E503" s="44">
        <v>49.02</v>
      </c>
      <c r="F503" s="44"/>
      <c r="G503" s="6">
        <v>31275</v>
      </c>
      <c r="J503" s="55"/>
      <c r="N503" s="55"/>
      <c r="Q503" s="231" t="s">
        <v>148</v>
      </c>
      <c r="R503" s="9">
        <f>R502-R501</f>
        <v>-1.2930690427310765E-3</v>
      </c>
    </row>
    <row r="504" spans="1:18">
      <c r="A504" s="84" t="s">
        <v>297</v>
      </c>
      <c r="C504" s="227">
        <v>0</v>
      </c>
      <c r="E504" s="44">
        <v>84.02000000000001</v>
      </c>
      <c r="F504" s="44"/>
      <c r="G504" s="6">
        <v>0</v>
      </c>
      <c r="I504" s="14"/>
      <c r="J504" s="44"/>
      <c r="M504" s="14"/>
      <c r="N504" s="44"/>
      <c r="Q504" s="31" t="s">
        <v>149</v>
      </c>
      <c r="R504" s="233">
        <f>ROUND(R502/G506,$R$9)</f>
        <v>0.57984608999999998</v>
      </c>
    </row>
    <row r="505" spans="1:18">
      <c r="A505" s="84" t="s">
        <v>298</v>
      </c>
      <c r="C505" s="227">
        <v>7644</v>
      </c>
      <c r="E505" s="44">
        <v>4.1900000000000004</v>
      </c>
      <c r="F505" s="44"/>
      <c r="G505" s="6">
        <v>32028</v>
      </c>
    </row>
    <row r="506" spans="1:18">
      <c r="A506" s="84" t="s">
        <v>299</v>
      </c>
      <c r="C506" s="227">
        <v>15963151.062719233</v>
      </c>
      <c r="E506" s="282">
        <v>3.5697000000000001</v>
      </c>
      <c r="F506" s="232" t="s">
        <v>153</v>
      </c>
      <c r="G506" s="6">
        <v>569837</v>
      </c>
      <c r="I506" s="236">
        <v>0.52076646999999998</v>
      </c>
      <c r="J506" s="44"/>
      <c r="K506" s="6">
        <f t="shared" ref="K506" si="149">$G506*I506</f>
        <v>296752.00296538998</v>
      </c>
      <c r="M506" s="236">
        <f>R504</f>
        <v>0.57984608999999998</v>
      </c>
      <c r="N506" s="44"/>
      <c r="O506" s="6">
        <f t="shared" ref="O506" si="150">$G506*M506</f>
        <v>330417.75638733001</v>
      </c>
    </row>
    <row r="507" spans="1:18" ht="16.5" thickBot="1">
      <c r="A507" s="3" t="s">
        <v>124</v>
      </c>
      <c r="C507" s="258">
        <v>15963151.062719233</v>
      </c>
      <c r="E507" s="68"/>
      <c r="G507" s="13">
        <v>781113</v>
      </c>
      <c r="I507" s="48"/>
      <c r="K507" s="13">
        <f>SUM(K506)</f>
        <v>296752.00296538998</v>
      </c>
      <c r="M507" s="48"/>
      <c r="O507" s="13">
        <f>SUM(O506)</f>
        <v>330417.75638733001</v>
      </c>
    </row>
    <row r="508" spans="1:18" ht="16.5" thickTop="1">
      <c r="A508" s="84"/>
      <c r="C508" s="277"/>
      <c r="J508" s="10"/>
      <c r="N508" s="10"/>
    </row>
    <row r="509" spans="1:18">
      <c r="A509" s="281" t="s">
        <v>300</v>
      </c>
      <c r="I509" s="14"/>
      <c r="J509" s="54"/>
      <c r="M509" s="14"/>
      <c r="N509" s="54"/>
      <c r="Q509" s="255" t="s">
        <v>145</v>
      </c>
      <c r="R509" s="7">
        <f>O512</f>
        <v>162133.16793266998</v>
      </c>
    </row>
    <row r="510" spans="1:18">
      <c r="A510" s="84" t="s">
        <v>301</v>
      </c>
      <c r="C510" s="227">
        <v>32811</v>
      </c>
      <c r="E510" s="44">
        <v>5.5</v>
      </c>
      <c r="F510" s="44"/>
      <c r="G510" s="6">
        <v>180461</v>
      </c>
      <c r="J510" s="55"/>
      <c r="N510" s="55"/>
      <c r="Q510" s="230" t="s">
        <v>147</v>
      </c>
      <c r="R510" s="8">
        <f>'Exhibit-RMP(RMM-1) page 2'!K44*1000</f>
        <v>162133.16909111795</v>
      </c>
    </row>
    <row r="511" spans="1:18">
      <c r="A511" s="84" t="s">
        <v>299</v>
      </c>
      <c r="C511" s="227">
        <v>7776370.4443165418</v>
      </c>
      <c r="E511" s="282">
        <v>8.0005000000000006</v>
      </c>
      <c r="F511" s="232" t="s">
        <v>153</v>
      </c>
      <c r="G511" s="6">
        <v>622149</v>
      </c>
      <c r="I511" s="236">
        <v>0.23404952000000001</v>
      </c>
      <c r="J511" s="44"/>
      <c r="K511" s="6">
        <f t="shared" ref="K511" si="151">$G511*I511</f>
        <v>145613.67481848001</v>
      </c>
      <c r="M511" s="236">
        <f>R512</f>
        <v>0.26060182999999998</v>
      </c>
      <c r="N511" s="44"/>
      <c r="O511" s="6">
        <f t="shared" ref="O511" si="152">$G511*M511</f>
        <v>162133.16793266998</v>
      </c>
      <c r="Q511" s="231" t="s">
        <v>148</v>
      </c>
      <c r="R511" s="9">
        <f>R510-R509</f>
        <v>1.1584479652810842E-3</v>
      </c>
    </row>
    <row r="512" spans="1:18" ht="16.5" thickBot="1">
      <c r="A512" s="3" t="s">
        <v>124</v>
      </c>
      <c r="C512" s="258">
        <v>7776370.4443165418</v>
      </c>
      <c r="E512" s="68"/>
      <c r="G512" s="13">
        <v>802610</v>
      </c>
      <c r="I512" s="48"/>
      <c r="K512" s="13">
        <f>SUM(K511)</f>
        <v>145613.67481848001</v>
      </c>
      <c r="M512" s="48"/>
      <c r="O512" s="13">
        <f>SUM(O511)</f>
        <v>162133.16793266998</v>
      </c>
      <c r="Q512" s="31" t="s">
        <v>149</v>
      </c>
      <c r="R512" s="233">
        <f>ROUND(R510/G511,$R$9)</f>
        <v>0.26060182999999998</v>
      </c>
    </row>
    <row r="513" spans="1:15" ht="16.5" thickTop="1">
      <c r="K513" s="3"/>
    </row>
    <row r="514" spans="1:15">
      <c r="A514" s="228" t="s">
        <v>302</v>
      </c>
      <c r="O514" s="142"/>
    </row>
    <row r="515" spans="1:15">
      <c r="A515" s="228" t="s">
        <v>303</v>
      </c>
    </row>
    <row r="516" spans="1:15">
      <c r="A516" s="84" t="s">
        <v>174</v>
      </c>
      <c r="C516" s="227">
        <v>15</v>
      </c>
      <c r="E516" s="44">
        <v>53</v>
      </c>
      <c r="F516" s="44"/>
      <c r="G516" s="283">
        <v>795</v>
      </c>
    </row>
    <row r="517" spans="1:15">
      <c r="A517" s="84" t="s">
        <v>183</v>
      </c>
      <c r="C517" s="227">
        <v>0</v>
      </c>
      <c r="E517" s="44">
        <v>-0.61</v>
      </c>
      <c r="F517" s="44"/>
      <c r="G517" s="283">
        <v>0</v>
      </c>
    </row>
    <row r="518" spans="1:15">
      <c r="A518" s="84" t="s">
        <v>190</v>
      </c>
      <c r="C518" s="227">
        <v>82147.641464615925</v>
      </c>
      <c r="D518" s="10"/>
      <c r="E518" s="259">
        <v>22.156199999999998</v>
      </c>
      <c r="F518" s="232" t="s">
        <v>153</v>
      </c>
      <c r="G518" s="6">
        <v>18201</v>
      </c>
      <c r="I518" s="47">
        <v>0.24504975000000001</v>
      </c>
      <c r="J518" s="44"/>
      <c r="K518" s="6">
        <f>$G518*I518</f>
        <v>4460.1504997500006</v>
      </c>
      <c r="M518" s="47">
        <f>M$284</f>
        <v>0.27285002000000003</v>
      </c>
      <c r="O518" s="6">
        <f>$G518*M518</f>
        <v>4966.1432140200004</v>
      </c>
    </row>
    <row r="519" spans="1:15">
      <c r="A519" s="84" t="s">
        <v>191</v>
      </c>
      <c r="C519" s="227">
        <v>0</v>
      </c>
      <c r="D519" s="10"/>
      <c r="E519" s="259">
        <v>4.309899999999999</v>
      </c>
      <c r="F519" s="232" t="s">
        <v>153</v>
      </c>
      <c r="G519" s="6">
        <v>0</v>
      </c>
      <c r="I519" s="47">
        <v>0.24504975000000001</v>
      </c>
      <c r="J519" s="44"/>
      <c r="K519" s="6">
        <f t="shared" ref="K519:K525" si="153">$G519*I519</f>
        <v>0</v>
      </c>
      <c r="M519" s="47">
        <f t="shared" ref="M519:M525" si="154">M$284</f>
        <v>0.27285002000000003</v>
      </c>
      <c r="O519" s="6">
        <f t="shared" ref="O519:O525" si="155">$G519*M519</f>
        <v>0</v>
      </c>
    </row>
    <row r="520" spans="1:15">
      <c r="A520" s="84" t="s">
        <v>192</v>
      </c>
      <c r="C520" s="227">
        <v>156310.35853538409</v>
      </c>
      <c r="D520" s="10"/>
      <c r="E520" s="259">
        <v>19.607299999999999</v>
      </c>
      <c r="F520" s="232" t="s">
        <v>153</v>
      </c>
      <c r="G520" s="6">
        <v>30648</v>
      </c>
      <c r="I520" s="47">
        <v>0.24504975000000001</v>
      </c>
      <c r="J520" s="44"/>
      <c r="K520" s="6">
        <f t="shared" si="153"/>
        <v>7510.2847380000003</v>
      </c>
      <c r="M520" s="47">
        <f t="shared" si="154"/>
        <v>0.27285002000000003</v>
      </c>
      <c r="O520" s="6">
        <f t="shared" si="155"/>
        <v>8362.3074129600009</v>
      </c>
    </row>
    <row r="521" spans="1:15">
      <c r="A521" s="84" t="s">
        <v>193</v>
      </c>
      <c r="C521" s="227">
        <v>0</v>
      </c>
      <c r="D521" s="10"/>
      <c r="E521" s="259">
        <v>3.8140999999999989</v>
      </c>
      <c r="F521" s="232" t="s">
        <v>153</v>
      </c>
      <c r="G521" s="6">
        <v>0</v>
      </c>
      <c r="I521" s="47">
        <v>0.24504975000000001</v>
      </c>
      <c r="J521" s="44"/>
      <c r="K521" s="6">
        <f t="shared" si="153"/>
        <v>0</v>
      </c>
      <c r="M521" s="47">
        <f t="shared" si="154"/>
        <v>0.27285002000000003</v>
      </c>
      <c r="O521" s="6">
        <f t="shared" si="155"/>
        <v>0</v>
      </c>
    </row>
    <row r="522" spans="1:15">
      <c r="A522" s="84" t="s">
        <v>194</v>
      </c>
      <c r="C522" s="227">
        <v>45620.73407194746</v>
      </c>
      <c r="D522" s="10"/>
      <c r="E522" s="259">
        <v>6</v>
      </c>
      <c r="F522" s="232" t="s">
        <v>153</v>
      </c>
      <c r="G522" s="6">
        <v>2737</v>
      </c>
      <c r="I522" s="47">
        <v>0.24504975000000001</v>
      </c>
      <c r="J522" s="44"/>
      <c r="K522" s="6">
        <f t="shared" si="153"/>
        <v>670.70116574999997</v>
      </c>
      <c r="M522" s="47">
        <f t="shared" si="154"/>
        <v>0.27285002000000003</v>
      </c>
      <c r="O522" s="6">
        <f t="shared" si="155"/>
        <v>746.79050474000007</v>
      </c>
    </row>
    <row r="523" spans="1:15">
      <c r="A523" s="84" t="s">
        <v>195</v>
      </c>
      <c r="C523" s="227">
        <v>36526.907392668458</v>
      </c>
      <c r="D523" s="10"/>
      <c r="E523" s="259">
        <v>-2.335799999999999</v>
      </c>
      <c r="F523" s="232" t="s">
        <v>153</v>
      </c>
      <c r="G523" s="6">
        <v>-853</v>
      </c>
      <c r="I523" s="47">
        <v>0.24504975000000001</v>
      </c>
      <c r="J523" s="44"/>
      <c r="K523" s="6">
        <f t="shared" si="153"/>
        <v>-209.02743675000002</v>
      </c>
      <c r="M523" s="47">
        <f t="shared" si="154"/>
        <v>0.27285002000000003</v>
      </c>
      <c r="O523" s="6">
        <f t="shared" si="155"/>
        <v>-232.74106706000003</v>
      </c>
    </row>
    <row r="524" spans="1:15">
      <c r="A524" s="84" t="s">
        <v>196</v>
      </c>
      <c r="C524" s="227">
        <v>86807.036359103586</v>
      </c>
      <c r="D524" s="10"/>
      <c r="E524" s="259">
        <v>5.3097000000000003</v>
      </c>
      <c r="F524" s="232" t="s">
        <v>153</v>
      </c>
      <c r="G524" s="6">
        <v>4609</v>
      </c>
      <c r="I524" s="47">
        <v>0.24504975000000001</v>
      </c>
      <c r="J524" s="44"/>
      <c r="K524" s="6">
        <f t="shared" si="153"/>
        <v>1129.43429775</v>
      </c>
      <c r="M524" s="47">
        <f t="shared" si="154"/>
        <v>0.27285002000000003</v>
      </c>
      <c r="O524" s="6">
        <f t="shared" si="155"/>
        <v>1257.5657421800001</v>
      </c>
    </row>
    <row r="525" spans="1:15">
      <c r="A525" s="84" t="s">
        <v>197</v>
      </c>
      <c r="C525" s="227">
        <v>69503.322176280475</v>
      </c>
      <c r="D525" s="10"/>
      <c r="E525" s="259">
        <v>-2.0670999999999999</v>
      </c>
      <c r="F525" s="232" t="s">
        <v>153</v>
      </c>
      <c r="G525" s="6">
        <v>-1437</v>
      </c>
      <c r="I525" s="47">
        <v>0.24504975000000001</v>
      </c>
      <c r="J525" s="44"/>
      <c r="K525" s="6">
        <f t="shared" si="153"/>
        <v>-352.13649075000001</v>
      </c>
      <c r="M525" s="47">
        <f t="shared" si="154"/>
        <v>0.27285002000000003</v>
      </c>
      <c r="O525" s="6">
        <f t="shared" si="155"/>
        <v>-392.08547874000004</v>
      </c>
    </row>
    <row r="526" spans="1:15">
      <c r="A526" s="84"/>
      <c r="C526" s="227">
        <f>SUM(C518:C521)</f>
        <v>238458</v>
      </c>
      <c r="E526" s="40"/>
      <c r="F526" s="10"/>
      <c r="G526" s="6">
        <v>54700</v>
      </c>
      <c r="I526" s="204"/>
      <c r="K526" s="205">
        <f>SUM(K518:K525)</f>
        <v>13209.406773750001</v>
      </c>
      <c r="O526" s="205">
        <f>SUM(O518:O525)</f>
        <v>14707.9803281</v>
      </c>
    </row>
    <row r="527" spans="1:15">
      <c r="A527" s="228" t="s">
        <v>304</v>
      </c>
    </row>
    <row r="528" spans="1:15">
      <c r="A528" s="84" t="s">
        <v>174</v>
      </c>
      <c r="C528" s="227">
        <v>21</v>
      </c>
      <c r="E528" s="44">
        <v>266</v>
      </c>
      <c r="F528" s="44"/>
      <c r="G528" s="283">
        <v>5586</v>
      </c>
    </row>
    <row r="529" spans="1:15">
      <c r="A529" s="84" t="s">
        <v>177</v>
      </c>
      <c r="C529" s="227">
        <v>25595.559913253968</v>
      </c>
      <c r="E529" s="44">
        <v>2.2799999999999998</v>
      </c>
      <c r="F529" s="44"/>
      <c r="G529" s="283">
        <v>58358</v>
      </c>
    </row>
    <row r="530" spans="1:15">
      <c r="A530" s="84" t="s">
        <v>213</v>
      </c>
      <c r="C530" s="227">
        <v>8667.6960527404663</v>
      </c>
      <c r="E530" s="10">
        <v>14.33</v>
      </c>
      <c r="F530" s="10"/>
      <c r="G530" s="283">
        <v>124208</v>
      </c>
      <c r="I530" s="47">
        <v>0.37140874000000001</v>
      </c>
      <c r="J530" s="44"/>
      <c r="K530" s="6">
        <f t="shared" ref="K530:K535" si="156">$G530*I530</f>
        <v>46131.936777920004</v>
      </c>
      <c r="M530" s="47">
        <f t="shared" ref="M530:M535" si="157">M$345</f>
        <v>0.38116348999999999</v>
      </c>
      <c r="N530" s="44"/>
      <c r="O530" s="6">
        <f t="shared" ref="O530:O535" si="158">$G530*M530</f>
        <v>47343.554765920002</v>
      </c>
    </row>
    <row r="531" spans="1:15">
      <c r="A531" s="84" t="s">
        <v>214</v>
      </c>
      <c r="C531" s="227">
        <v>16940.838927140219</v>
      </c>
      <c r="E531" s="10">
        <v>12.68</v>
      </c>
      <c r="F531" s="10"/>
      <c r="G531" s="283">
        <v>214810</v>
      </c>
      <c r="I531" s="47">
        <v>0.37140874000000001</v>
      </c>
      <c r="J531" s="44"/>
      <c r="K531" s="6">
        <f t="shared" si="156"/>
        <v>79782.3114394</v>
      </c>
      <c r="M531" s="47">
        <f t="shared" si="157"/>
        <v>0.38116348999999999</v>
      </c>
      <c r="N531" s="44"/>
      <c r="O531" s="6">
        <f t="shared" si="158"/>
        <v>81877.729286899994</v>
      </c>
    </row>
    <row r="532" spans="1:15">
      <c r="A532" s="84" t="s">
        <v>152</v>
      </c>
      <c r="C532" s="227">
        <v>91665.936485583297</v>
      </c>
      <c r="E532" s="49">
        <v>5.1477000000000004</v>
      </c>
      <c r="F532" s="232" t="s">
        <v>153</v>
      </c>
      <c r="G532" s="6">
        <v>4719</v>
      </c>
      <c r="I532" s="47">
        <v>0.37140874000000001</v>
      </c>
      <c r="J532" s="44"/>
      <c r="K532" s="6">
        <f t="shared" si="156"/>
        <v>1752.6778440600001</v>
      </c>
      <c r="M532" s="47">
        <f t="shared" si="157"/>
        <v>0.38116348999999999</v>
      </c>
      <c r="N532" s="44"/>
      <c r="O532" s="6">
        <f t="shared" si="158"/>
        <v>1798.7105093099999</v>
      </c>
    </row>
    <row r="533" spans="1:15">
      <c r="A533" s="84" t="s">
        <v>215</v>
      </c>
      <c r="C533" s="227">
        <v>244287.58536054517</v>
      </c>
      <c r="E533" s="49">
        <v>4.5555000000000003</v>
      </c>
      <c r="F533" s="232" t="s">
        <v>153</v>
      </c>
      <c r="G533" s="6">
        <v>11129</v>
      </c>
      <c r="I533" s="47">
        <v>0.37140874000000001</v>
      </c>
      <c r="J533" s="44"/>
      <c r="K533" s="6">
        <f t="shared" si="156"/>
        <v>4133.4078674600005</v>
      </c>
      <c r="M533" s="47">
        <f t="shared" si="157"/>
        <v>0.38116348999999999</v>
      </c>
      <c r="N533" s="44"/>
      <c r="O533" s="6">
        <f t="shared" si="158"/>
        <v>4241.9684802100001</v>
      </c>
    </row>
    <row r="534" spans="1:15">
      <c r="A534" s="84" t="s">
        <v>154</v>
      </c>
      <c r="C534" s="227">
        <v>362605.35849331866</v>
      </c>
      <c r="E534" s="49">
        <v>2.6164999999999998</v>
      </c>
      <c r="F534" s="232" t="s">
        <v>153</v>
      </c>
      <c r="G534" s="6">
        <v>9488</v>
      </c>
      <c r="I534" s="47">
        <v>0.37140874000000001</v>
      </c>
      <c r="J534" s="44"/>
      <c r="K534" s="6">
        <f t="shared" si="156"/>
        <v>3523.9261251200001</v>
      </c>
      <c r="M534" s="47">
        <f t="shared" si="157"/>
        <v>0.38116348999999999</v>
      </c>
      <c r="N534" s="44"/>
      <c r="O534" s="6">
        <f t="shared" si="158"/>
        <v>3616.4791931199998</v>
      </c>
    </row>
    <row r="535" spans="1:15">
      <c r="A535" s="84" t="s">
        <v>216</v>
      </c>
      <c r="C535" s="227">
        <v>900095.11966055306</v>
      </c>
      <c r="E535" s="49">
        <v>2.3155000000000001</v>
      </c>
      <c r="F535" s="232" t="s">
        <v>153</v>
      </c>
      <c r="G535" s="6">
        <v>20842</v>
      </c>
      <c r="I535" s="47">
        <v>0.37140874000000001</v>
      </c>
      <c r="J535" s="44"/>
      <c r="K535" s="6">
        <f t="shared" si="156"/>
        <v>7740.9009590800006</v>
      </c>
      <c r="M535" s="47">
        <f t="shared" si="157"/>
        <v>0.38116348999999999</v>
      </c>
      <c r="N535" s="44"/>
      <c r="O535" s="6">
        <f t="shared" si="158"/>
        <v>7944.2094585799996</v>
      </c>
    </row>
    <row r="536" spans="1:15">
      <c r="A536" s="84"/>
      <c r="C536" s="227">
        <f>SUM(C532:C535)</f>
        <v>1598654.0000000002</v>
      </c>
      <c r="E536" s="40"/>
      <c r="F536" s="10"/>
      <c r="G536" s="6">
        <v>449140</v>
      </c>
      <c r="I536" s="204"/>
      <c r="K536" s="205">
        <f>SUM(K530:K535)</f>
        <v>143065.16101303999</v>
      </c>
      <c r="O536" s="205">
        <f>SUM(O530:O535)</f>
        <v>146822.65169404002</v>
      </c>
    </row>
    <row r="537" spans="1:15" ht="16.5" thickBot="1">
      <c r="A537" s="84" t="s">
        <v>162</v>
      </c>
      <c r="C537" s="258">
        <v>1837112</v>
      </c>
      <c r="E537" s="68"/>
      <c r="G537" s="13">
        <v>503840</v>
      </c>
      <c r="I537" s="48"/>
      <c r="K537" s="12">
        <f>K526+K536</f>
        <v>156274.56778678999</v>
      </c>
      <c r="M537" s="45"/>
      <c r="O537" s="12">
        <f>O526+O536</f>
        <v>161530.63202214002</v>
      </c>
    </row>
    <row r="538" spans="1:15" ht="16.5" thickTop="1">
      <c r="A538" s="84"/>
    </row>
    <row r="539" spans="1:15">
      <c r="A539" s="228" t="s">
        <v>305</v>
      </c>
      <c r="E539" s="49"/>
      <c r="F539" s="49"/>
    </row>
    <row r="540" spans="1:15">
      <c r="A540" s="84" t="s">
        <v>306</v>
      </c>
      <c r="B540" s="84"/>
      <c r="E540" s="284"/>
      <c r="F540" s="44"/>
    </row>
    <row r="541" spans="1:15">
      <c r="A541" s="84" t="s">
        <v>307</v>
      </c>
      <c r="B541" s="84"/>
      <c r="E541" s="284">
        <v>73</v>
      </c>
      <c r="F541" s="44"/>
    </row>
    <row r="542" spans="1:15">
      <c r="A542" s="84" t="s">
        <v>308</v>
      </c>
      <c r="E542" s="284">
        <v>73</v>
      </c>
      <c r="F542" s="44"/>
    </row>
    <row r="543" spans="1:15">
      <c r="A543" s="84" t="s">
        <v>309</v>
      </c>
      <c r="E543" s="284">
        <v>269</v>
      </c>
      <c r="F543" s="10"/>
    </row>
    <row r="544" spans="1:15">
      <c r="A544" s="84" t="s">
        <v>310</v>
      </c>
      <c r="E544" s="284"/>
      <c r="F544" s="54"/>
    </row>
    <row r="545" spans="1:6">
      <c r="A545" s="84" t="s">
        <v>307</v>
      </c>
      <c r="E545" s="284">
        <v>1.42</v>
      </c>
      <c r="F545" s="54"/>
    </row>
    <row r="546" spans="1:6">
      <c r="A546" s="84" t="s">
        <v>308</v>
      </c>
      <c r="E546" s="284">
        <v>1.42</v>
      </c>
      <c r="F546" s="54"/>
    </row>
    <row r="547" spans="1:6">
      <c r="A547" s="84" t="s">
        <v>309</v>
      </c>
      <c r="E547" s="284">
        <v>1.42</v>
      </c>
      <c r="F547" s="55"/>
    </row>
    <row r="548" spans="1:6">
      <c r="A548" s="84" t="s">
        <v>311</v>
      </c>
      <c r="E548" s="284"/>
      <c r="F548" s="55"/>
    </row>
    <row r="549" spans="1:6">
      <c r="A549" s="84" t="s">
        <v>307</v>
      </c>
      <c r="E549" s="284"/>
      <c r="F549" s="55"/>
    </row>
    <row r="550" spans="1:6">
      <c r="A550" s="84" t="s">
        <v>312</v>
      </c>
      <c r="B550" s="84"/>
      <c r="D550" s="84"/>
      <c r="E550" s="284">
        <v>8.4600000000000009</v>
      </c>
      <c r="F550" s="84"/>
    </row>
    <row r="551" spans="1:6">
      <c r="A551" s="84" t="s">
        <v>313</v>
      </c>
      <c r="E551" s="284">
        <v>6.08</v>
      </c>
      <c r="F551" s="44"/>
    </row>
    <row r="552" spans="1:6">
      <c r="A552" s="84" t="s">
        <v>308</v>
      </c>
      <c r="E552" s="284"/>
      <c r="F552" s="44"/>
    </row>
    <row r="553" spans="1:6">
      <c r="A553" s="84" t="s">
        <v>312</v>
      </c>
      <c r="E553" s="284">
        <v>8.35</v>
      </c>
      <c r="F553" s="54"/>
    </row>
    <row r="554" spans="1:6">
      <c r="A554" s="84" t="s">
        <v>313</v>
      </c>
      <c r="E554" s="284">
        <v>5.82</v>
      </c>
      <c r="F554" s="54"/>
    </row>
    <row r="555" spans="1:6">
      <c r="A555" s="84" t="s">
        <v>314</v>
      </c>
      <c r="E555" s="284"/>
      <c r="F555" s="54"/>
    </row>
    <row r="556" spans="1:6">
      <c r="A556" s="84" t="s">
        <v>312</v>
      </c>
      <c r="E556" s="284">
        <v>8.1199999999999992</v>
      </c>
      <c r="F556" s="55"/>
    </row>
    <row r="557" spans="1:6">
      <c r="A557" s="84" t="s">
        <v>313</v>
      </c>
      <c r="E557" s="284">
        <v>5.51</v>
      </c>
      <c r="F557" s="55"/>
    </row>
    <row r="558" spans="1:6">
      <c r="A558" s="84" t="s">
        <v>315</v>
      </c>
      <c r="E558" s="285"/>
      <c r="F558" s="55"/>
    </row>
    <row r="559" spans="1:6">
      <c r="A559" s="84" t="s">
        <v>307</v>
      </c>
      <c r="E559" s="284"/>
      <c r="F559" s="44"/>
    </row>
    <row r="560" spans="1:6">
      <c r="A560" s="84" t="s">
        <v>316</v>
      </c>
      <c r="C560" s="259"/>
      <c r="E560" s="282">
        <v>9.5742999999999991</v>
      </c>
      <c r="F560" s="232" t="s">
        <v>153</v>
      </c>
    </row>
    <row r="561" spans="1:15">
      <c r="A561" s="84" t="s">
        <v>317</v>
      </c>
      <c r="C561" s="259"/>
      <c r="E561" s="282">
        <v>5.2656000000000001</v>
      </c>
      <c r="F561" s="232" t="s">
        <v>153</v>
      </c>
    </row>
    <row r="562" spans="1:15">
      <c r="A562" s="84" t="s">
        <v>318</v>
      </c>
      <c r="C562" s="259"/>
      <c r="E562" s="282">
        <v>4.2634999999999996</v>
      </c>
      <c r="F562" s="232" t="s">
        <v>153</v>
      </c>
    </row>
    <row r="563" spans="1:15">
      <c r="A563" s="84" t="s">
        <v>319</v>
      </c>
      <c r="C563" s="259"/>
      <c r="E563" s="282">
        <v>3.5632000000000001</v>
      </c>
      <c r="F563" s="232" t="s">
        <v>153</v>
      </c>
    </row>
    <row r="564" spans="1:15">
      <c r="A564" s="84" t="s">
        <v>308</v>
      </c>
      <c r="C564" s="259"/>
      <c r="E564" s="282"/>
      <c r="F564" s="10"/>
    </row>
    <row r="565" spans="1:15">
      <c r="A565" s="84" t="s">
        <v>316</v>
      </c>
      <c r="C565" s="259"/>
      <c r="E565" s="282">
        <v>9.1898999999999997</v>
      </c>
      <c r="F565" s="232" t="s">
        <v>153</v>
      </c>
    </row>
    <row r="566" spans="1:15">
      <c r="A566" s="84" t="s">
        <v>317</v>
      </c>
      <c r="C566" s="259"/>
      <c r="E566" s="282">
        <v>4.8811999999999998</v>
      </c>
      <c r="F566" s="232" t="s">
        <v>153</v>
      </c>
    </row>
    <row r="567" spans="1:15">
      <c r="A567" s="84" t="s">
        <v>318</v>
      </c>
      <c r="C567" s="259"/>
      <c r="E567" s="282">
        <v>3.8791000000000002</v>
      </c>
      <c r="F567" s="232" t="s">
        <v>153</v>
      </c>
    </row>
    <row r="568" spans="1:15">
      <c r="A568" s="84" t="s">
        <v>319</v>
      </c>
      <c r="C568" s="259"/>
      <c r="E568" s="282">
        <v>3.1789000000000001</v>
      </c>
      <c r="F568" s="232" t="s">
        <v>153</v>
      </c>
    </row>
    <row r="569" spans="1:15">
      <c r="A569" s="84" t="s">
        <v>309</v>
      </c>
      <c r="C569" s="259"/>
      <c r="E569" s="282"/>
      <c r="F569" s="232"/>
    </row>
    <row r="570" spans="1:15">
      <c r="A570" s="84" t="s">
        <v>316</v>
      </c>
      <c r="C570" s="259"/>
      <c r="E570" s="282">
        <v>8.9899000000000004</v>
      </c>
      <c r="F570" s="232" t="s">
        <v>153</v>
      </c>
    </row>
    <row r="571" spans="1:15">
      <c r="A571" s="84" t="s">
        <v>317</v>
      </c>
      <c r="C571" s="259"/>
      <c r="E571" s="282">
        <v>4.6810999999999998</v>
      </c>
      <c r="F571" s="232" t="s">
        <v>153</v>
      </c>
    </row>
    <row r="572" spans="1:15">
      <c r="A572" s="84" t="s">
        <v>318</v>
      </c>
      <c r="C572" s="259"/>
      <c r="E572" s="282">
        <v>3.6791</v>
      </c>
      <c r="F572" s="232" t="s">
        <v>153</v>
      </c>
    </row>
    <row r="573" spans="1:15">
      <c r="A573" s="84" t="s">
        <v>319</v>
      </c>
      <c r="C573" s="259"/>
      <c r="E573" s="282">
        <v>2.9788000000000001</v>
      </c>
      <c r="F573" s="232" t="s">
        <v>153</v>
      </c>
    </row>
    <row r="574" spans="1:15" ht="16.5" thickBot="1">
      <c r="A574" s="84" t="s">
        <v>162</v>
      </c>
      <c r="G574" s="6">
        <v>0</v>
      </c>
      <c r="I574" s="48"/>
      <c r="K574" s="13">
        <v>0</v>
      </c>
      <c r="M574" s="48"/>
      <c r="O574" s="13">
        <v>0</v>
      </c>
    </row>
    <row r="575" spans="1:15" ht="16.5" thickTop="1"/>
    <row r="576" spans="1:15">
      <c r="A576" s="228" t="s">
        <v>320</v>
      </c>
    </row>
    <row r="577" spans="1:18">
      <c r="A577" s="84" t="s">
        <v>174</v>
      </c>
      <c r="C577" s="227">
        <v>1134470.3348968814</v>
      </c>
      <c r="E577" s="44">
        <v>10</v>
      </c>
      <c r="F577" s="44"/>
      <c r="G577" s="6">
        <v>11344703</v>
      </c>
      <c r="Q577" s="255" t="s">
        <v>145</v>
      </c>
      <c r="R577" s="7">
        <f>O589+O602+O616</f>
        <v>29864329.017190795</v>
      </c>
    </row>
    <row r="578" spans="1:18">
      <c r="A578" s="84" t="s">
        <v>175</v>
      </c>
      <c r="C578" s="227">
        <v>0</v>
      </c>
      <c r="E578" s="44">
        <v>117</v>
      </c>
      <c r="F578" s="44"/>
      <c r="G578" s="6">
        <v>0</v>
      </c>
      <c r="Q578" s="230" t="s">
        <v>147</v>
      </c>
      <c r="R578" s="8">
        <f>'Exhibit-RMP(RMM-1) page 2'!K30*1000</f>
        <v>29864328.712285865</v>
      </c>
    </row>
    <row r="579" spans="1:18">
      <c r="A579" s="84" t="s">
        <v>176</v>
      </c>
      <c r="C579" s="227">
        <v>102</v>
      </c>
      <c r="E579" s="44">
        <v>10</v>
      </c>
      <c r="F579" s="10"/>
      <c r="G579" s="6">
        <v>1020</v>
      </c>
      <c r="Q579" s="231" t="s">
        <v>148</v>
      </c>
      <c r="R579" s="9">
        <f>R578-R577</f>
        <v>-0.30490493029356003</v>
      </c>
    </row>
    <row r="580" spans="1:18">
      <c r="A580" s="84" t="s">
        <v>321</v>
      </c>
      <c r="C580" s="227">
        <v>303570</v>
      </c>
      <c r="E580" s="10">
        <v>8.89</v>
      </c>
      <c r="F580" s="10"/>
      <c r="G580" s="6">
        <v>2698737</v>
      </c>
      <c r="I580" s="236">
        <v>0.21239153</v>
      </c>
      <c r="J580" s="44"/>
      <c r="K580" s="6">
        <f t="shared" ref="K580:K585" si="159">$G580*I580</f>
        <v>573188.88049760996</v>
      </c>
      <c r="M580" s="236">
        <f>R580</f>
        <v>0.2364868</v>
      </c>
      <c r="N580" s="44"/>
      <c r="O580" s="6">
        <f t="shared" ref="O580:O585" si="160">$G580*M580</f>
        <v>638215.67717159993</v>
      </c>
      <c r="Q580" s="31" t="s">
        <v>149</v>
      </c>
      <c r="R580" s="233">
        <f>ROUND(R578/SUM(G580:G585,G595:G600,G609:G614),$R$9)</f>
        <v>0.2364868</v>
      </c>
    </row>
    <row r="581" spans="1:18">
      <c r="A581" s="84" t="s">
        <v>322</v>
      </c>
      <c r="C581" s="227">
        <v>353344</v>
      </c>
      <c r="E581" s="10">
        <v>7.87</v>
      </c>
      <c r="F581" s="10"/>
      <c r="G581" s="6">
        <v>2780817</v>
      </c>
      <c r="I581" s="47">
        <v>0.21239153</v>
      </c>
      <c r="J581" s="44"/>
      <c r="K581" s="6">
        <f t="shared" si="159"/>
        <v>590621.97728001</v>
      </c>
      <c r="M581" s="47">
        <f>M$580</f>
        <v>0.2364868</v>
      </c>
      <c r="N581" s="44"/>
      <c r="O581" s="6">
        <f t="shared" si="160"/>
        <v>657626.51371560001</v>
      </c>
    </row>
    <row r="582" spans="1:18">
      <c r="A582" s="84" t="s">
        <v>323</v>
      </c>
      <c r="C582" s="227">
        <v>245732054.41468564</v>
      </c>
      <c r="E582" s="49">
        <v>11.712</v>
      </c>
      <c r="F582" s="232" t="s">
        <v>153</v>
      </c>
      <c r="G582" s="6">
        <v>28780138</v>
      </c>
      <c r="I582" s="47">
        <v>0.21239153</v>
      </c>
      <c r="J582" s="44"/>
      <c r="K582" s="6">
        <f t="shared" si="159"/>
        <v>6112657.5434311396</v>
      </c>
      <c r="M582" s="47">
        <f t="shared" ref="M582:M585" si="161">M$580</f>
        <v>0.2364868</v>
      </c>
      <c r="N582" s="44"/>
      <c r="O582" s="6">
        <f t="shared" si="160"/>
        <v>6806122.7391783996</v>
      </c>
    </row>
    <row r="583" spans="1:18">
      <c r="A583" s="84" t="s">
        <v>324</v>
      </c>
      <c r="C583" s="227">
        <v>255089575</v>
      </c>
      <c r="E583" s="49">
        <v>6.5567000000000002</v>
      </c>
      <c r="F583" s="232" t="s">
        <v>153</v>
      </c>
      <c r="G583" s="6">
        <v>16725458</v>
      </c>
      <c r="I583" s="47">
        <v>0.21239153</v>
      </c>
      <c r="J583" s="44"/>
      <c r="K583" s="6">
        <f t="shared" si="159"/>
        <v>3552345.6145707401</v>
      </c>
      <c r="M583" s="47">
        <f t="shared" si="161"/>
        <v>0.2364868</v>
      </c>
      <c r="N583" s="44"/>
      <c r="O583" s="6">
        <f t="shared" si="160"/>
        <v>3955350.0409543999</v>
      </c>
    </row>
    <row r="584" spans="1:18">
      <c r="A584" s="84" t="s">
        <v>325</v>
      </c>
      <c r="C584" s="227">
        <v>491138812</v>
      </c>
      <c r="E584" s="49">
        <v>10.364599999999999</v>
      </c>
      <c r="F584" s="232" t="s">
        <v>153</v>
      </c>
      <c r="G584" s="6">
        <v>50904573</v>
      </c>
      <c r="I584" s="47">
        <v>0.21239153</v>
      </c>
      <c r="J584" s="44"/>
      <c r="K584" s="6">
        <f t="shared" si="159"/>
        <v>10811700.143466691</v>
      </c>
      <c r="M584" s="47">
        <f t="shared" si="161"/>
        <v>0.2364868</v>
      </c>
      <c r="N584" s="44"/>
      <c r="O584" s="6">
        <f t="shared" si="160"/>
        <v>12038259.574136401</v>
      </c>
    </row>
    <row r="585" spans="1:18">
      <c r="A585" s="84" t="s">
        <v>326</v>
      </c>
      <c r="C585" s="227">
        <v>394638630</v>
      </c>
      <c r="E585" s="49">
        <v>5.8023999999999996</v>
      </c>
      <c r="F585" s="232" t="s">
        <v>153</v>
      </c>
      <c r="G585" s="6">
        <v>22898512</v>
      </c>
      <c r="I585" s="47">
        <v>0.21239153</v>
      </c>
      <c r="J585" s="44"/>
      <c r="K585" s="6">
        <f t="shared" si="159"/>
        <v>4863449.9984033601</v>
      </c>
      <c r="M585" s="47">
        <f t="shared" si="161"/>
        <v>0.2364868</v>
      </c>
      <c r="N585" s="44"/>
      <c r="O585" s="6">
        <f t="shared" si="160"/>
        <v>5415195.8276415998</v>
      </c>
    </row>
    <row r="586" spans="1:18">
      <c r="A586" s="84" t="s">
        <v>183</v>
      </c>
      <c r="C586" s="227">
        <v>11994</v>
      </c>
      <c r="E586" s="44">
        <v>-0.48</v>
      </c>
      <c r="F586" s="44"/>
      <c r="G586" s="6">
        <v>-5757</v>
      </c>
    </row>
    <row r="587" spans="1:18">
      <c r="A587" s="239" t="s">
        <v>160</v>
      </c>
      <c r="B587" s="240"/>
      <c r="C587" s="227">
        <v>2069676</v>
      </c>
      <c r="D587" s="240"/>
      <c r="E587" s="241">
        <v>10.3811</v>
      </c>
      <c r="F587" s="242" t="s">
        <v>153</v>
      </c>
      <c r="G587" s="248">
        <v>214855</v>
      </c>
    </row>
    <row r="588" spans="1:18">
      <c r="A588" s="239" t="s">
        <v>161</v>
      </c>
      <c r="C588" s="227">
        <v>-150134</v>
      </c>
      <c r="E588" s="40"/>
      <c r="F588" s="10"/>
    </row>
    <row r="589" spans="1:18" ht="16.5" thickBot="1">
      <c r="A589" s="84" t="s">
        <v>162</v>
      </c>
      <c r="C589" s="258">
        <v>1388518613.4146857</v>
      </c>
      <c r="E589" s="68"/>
      <c r="G589" s="13">
        <v>136343056</v>
      </c>
      <c r="I589" s="48"/>
      <c r="K589" s="13">
        <f>SUM(K580:K588)</f>
        <v>26503964.157649551</v>
      </c>
      <c r="M589" s="48"/>
      <c r="O589" s="13">
        <f>SUM(O580:O588)</f>
        <v>29510770.372797996</v>
      </c>
    </row>
    <row r="590" spans="1:18" ht="16.5" thickTop="1"/>
    <row r="591" spans="1:18">
      <c r="A591" s="228" t="s">
        <v>327</v>
      </c>
    </row>
    <row r="592" spans="1:18">
      <c r="A592" s="84" t="s">
        <v>174</v>
      </c>
      <c r="C592" s="227">
        <v>18738</v>
      </c>
      <c r="E592" s="44">
        <v>10</v>
      </c>
      <c r="F592" s="44"/>
      <c r="G592" s="6">
        <v>187380</v>
      </c>
    </row>
    <row r="593" spans="1:15">
      <c r="A593" s="84" t="s">
        <v>175</v>
      </c>
      <c r="C593" s="227">
        <v>0</v>
      </c>
      <c r="E593" s="44">
        <v>117</v>
      </c>
      <c r="F593" s="44"/>
      <c r="G593" s="6">
        <v>0</v>
      </c>
    </row>
    <row r="594" spans="1:15">
      <c r="A594" s="84" t="s">
        <v>176</v>
      </c>
      <c r="C594" s="227">
        <v>10</v>
      </c>
      <c r="E594" s="10">
        <v>10</v>
      </c>
      <c r="F594" s="10"/>
      <c r="G594" s="6">
        <v>100</v>
      </c>
    </row>
    <row r="595" spans="1:15">
      <c r="A595" s="84" t="s">
        <v>321</v>
      </c>
      <c r="C595" s="227">
        <v>6794</v>
      </c>
      <c r="E595" s="10">
        <v>8.89</v>
      </c>
      <c r="F595" s="10"/>
      <c r="G595" s="6">
        <v>60399</v>
      </c>
      <c r="I595" s="47">
        <v>0.21239153</v>
      </c>
      <c r="J595" s="44"/>
      <c r="K595" s="6">
        <f t="shared" ref="K595:K600" si="162">$G595*I595</f>
        <v>12828.23602047</v>
      </c>
      <c r="M595" s="47">
        <f t="shared" ref="M595:M600" si="163">M$580</f>
        <v>0.2364868</v>
      </c>
      <c r="N595" s="44"/>
      <c r="O595" s="6">
        <f t="shared" ref="O595:O600" si="164">$G595*M595</f>
        <v>14283.566233199999</v>
      </c>
    </row>
    <row r="596" spans="1:15">
      <c r="A596" s="84" t="s">
        <v>322</v>
      </c>
      <c r="C596" s="227">
        <v>9813</v>
      </c>
      <c r="E596" s="10">
        <v>7.87</v>
      </c>
      <c r="F596" s="10"/>
      <c r="G596" s="6">
        <v>77228</v>
      </c>
      <c r="I596" s="47">
        <v>0.21239153</v>
      </c>
      <c r="J596" s="44"/>
      <c r="K596" s="6">
        <f t="shared" si="162"/>
        <v>16402.57307884</v>
      </c>
      <c r="M596" s="47">
        <f t="shared" si="163"/>
        <v>0.2364868</v>
      </c>
      <c r="N596" s="44"/>
      <c r="O596" s="6">
        <f t="shared" si="164"/>
        <v>18263.402590400001</v>
      </c>
    </row>
    <row r="597" spans="1:15">
      <c r="A597" s="84" t="s">
        <v>323</v>
      </c>
      <c r="C597" s="227">
        <v>2193839.9420763389</v>
      </c>
      <c r="E597" s="49">
        <v>11.712</v>
      </c>
      <c r="F597" s="232" t="s">
        <v>153</v>
      </c>
      <c r="G597" s="6">
        <v>256943</v>
      </c>
      <c r="I597" s="47">
        <v>0.21239153</v>
      </c>
      <c r="J597" s="44"/>
      <c r="K597" s="6">
        <f t="shared" si="162"/>
        <v>54572.516892790001</v>
      </c>
      <c r="M597" s="47">
        <f t="shared" si="163"/>
        <v>0.2364868</v>
      </c>
      <c r="N597" s="44"/>
      <c r="O597" s="6">
        <f t="shared" si="164"/>
        <v>60763.627852400001</v>
      </c>
    </row>
    <row r="598" spans="1:15">
      <c r="A598" s="84" t="s">
        <v>324</v>
      </c>
      <c r="C598" s="227">
        <v>2240351</v>
      </c>
      <c r="E598" s="49">
        <v>6.5567000000000002</v>
      </c>
      <c r="F598" s="232" t="s">
        <v>153</v>
      </c>
      <c r="G598" s="6">
        <v>146893</v>
      </c>
      <c r="I598" s="47">
        <v>0.21239153</v>
      </c>
      <c r="J598" s="44"/>
      <c r="K598" s="6">
        <f t="shared" si="162"/>
        <v>31198.829016289998</v>
      </c>
      <c r="M598" s="47">
        <f t="shared" si="163"/>
        <v>0.2364868</v>
      </c>
      <c r="N598" s="44"/>
      <c r="O598" s="6">
        <f t="shared" si="164"/>
        <v>34738.255512399999</v>
      </c>
    </row>
    <row r="599" spans="1:15">
      <c r="A599" s="84" t="s">
        <v>325</v>
      </c>
      <c r="C599" s="227">
        <v>5247056</v>
      </c>
      <c r="E599" s="49">
        <v>10.364599999999999</v>
      </c>
      <c r="F599" s="232" t="s">
        <v>153</v>
      </c>
      <c r="G599" s="6">
        <v>543836</v>
      </c>
      <c r="I599" s="47">
        <v>0.21239153</v>
      </c>
      <c r="J599" s="44"/>
      <c r="K599" s="6">
        <f t="shared" si="162"/>
        <v>115506.16010908</v>
      </c>
      <c r="M599" s="47">
        <f t="shared" si="163"/>
        <v>0.2364868</v>
      </c>
      <c r="N599" s="44"/>
      <c r="O599" s="6">
        <f t="shared" si="164"/>
        <v>128610.0353648</v>
      </c>
    </row>
    <row r="600" spans="1:15">
      <c r="A600" s="84" t="s">
        <v>326</v>
      </c>
      <c r="C600" s="227">
        <v>4722287</v>
      </c>
      <c r="E600" s="49">
        <v>5.8023999999999996</v>
      </c>
      <c r="F600" s="232" t="s">
        <v>153</v>
      </c>
      <c r="G600" s="6">
        <v>274006</v>
      </c>
      <c r="I600" s="47">
        <v>0.21239153</v>
      </c>
      <c r="J600" s="44"/>
      <c r="K600" s="6">
        <f t="shared" si="162"/>
        <v>58196.553569179996</v>
      </c>
      <c r="M600" s="47">
        <f t="shared" si="163"/>
        <v>0.2364868</v>
      </c>
      <c r="N600" s="44"/>
      <c r="O600" s="6">
        <f t="shared" si="164"/>
        <v>64798.802120799999</v>
      </c>
    </row>
    <row r="601" spans="1:15">
      <c r="A601" s="84" t="s">
        <v>183</v>
      </c>
      <c r="C601" s="227">
        <v>0</v>
      </c>
      <c r="E601" s="44">
        <v>-0.48</v>
      </c>
      <c r="F601" s="44"/>
      <c r="G601" s="6">
        <v>0</v>
      </c>
    </row>
    <row r="602" spans="1:15" ht="16.5" thickBot="1">
      <c r="A602" s="84" t="s">
        <v>162</v>
      </c>
      <c r="C602" s="258">
        <v>14403533.942076338</v>
      </c>
      <c r="E602" s="68"/>
      <c r="F602" s="10"/>
      <c r="G602" s="12">
        <v>1546785</v>
      </c>
      <c r="I602" s="48"/>
      <c r="K602" s="13">
        <f>SUM(K595:K601)</f>
        <v>288704.86868665001</v>
      </c>
      <c r="M602" s="48"/>
      <c r="O602" s="13">
        <f>SUM(O595:O601)</f>
        <v>321457.68967400002</v>
      </c>
    </row>
    <row r="603" spans="1:15" ht="16.5" thickTop="1"/>
    <row r="604" spans="1:15">
      <c r="A604" s="228" t="s">
        <v>328</v>
      </c>
    </row>
    <row r="605" spans="1:15">
      <c r="A605" s="84" t="s">
        <v>174</v>
      </c>
      <c r="C605" s="227">
        <v>1546</v>
      </c>
      <c r="E605" s="10">
        <v>10</v>
      </c>
      <c r="F605" s="44"/>
      <c r="G605" s="6">
        <v>15460</v>
      </c>
    </row>
    <row r="606" spans="1:15">
      <c r="A606" s="84" t="s">
        <v>175</v>
      </c>
      <c r="C606" s="227">
        <v>0</v>
      </c>
      <c r="E606" s="10">
        <v>117</v>
      </c>
      <c r="F606" s="44"/>
      <c r="G606" s="6">
        <v>0</v>
      </c>
    </row>
    <row r="607" spans="1:15">
      <c r="A607" s="84" t="s">
        <v>150</v>
      </c>
      <c r="C607" s="227">
        <v>393</v>
      </c>
      <c r="E607" s="10">
        <v>2</v>
      </c>
      <c r="F607" s="10"/>
      <c r="G607" s="6">
        <v>786</v>
      </c>
    </row>
    <row r="608" spans="1:15">
      <c r="A608" s="84" t="s">
        <v>176</v>
      </c>
      <c r="C608" s="227">
        <v>0</v>
      </c>
      <c r="E608" s="10">
        <v>10</v>
      </c>
      <c r="F608" s="44"/>
      <c r="G608" s="6">
        <v>0</v>
      </c>
    </row>
    <row r="609" spans="1:15">
      <c r="A609" s="84" t="s">
        <v>321</v>
      </c>
      <c r="C609" s="227">
        <v>552</v>
      </c>
      <c r="E609" s="10">
        <v>8.89</v>
      </c>
      <c r="F609" s="10"/>
      <c r="G609" s="6">
        <v>4907</v>
      </c>
      <c r="I609" s="47">
        <v>0.21239153</v>
      </c>
      <c r="J609" s="44"/>
      <c r="K609" s="6">
        <f t="shared" ref="K609:K614" si="165">$G609*I609</f>
        <v>1042.2052377099999</v>
      </c>
      <c r="M609" s="47">
        <f t="shared" ref="M609:M614" si="166">M$580</f>
        <v>0.2364868</v>
      </c>
      <c r="N609" s="44"/>
      <c r="O609" s="6">
        <f t="shared" ref="O609:O614" si="167">$G609*M609</f>
        <v>1160.4407275999999</v>
      </c>
    </row>
    <row r="610" spans="1:15">
      <c r="A610" s="84" t="s">
        <v>322</v>
      </c>
      <c r="C610" s="227">
        <v>982</v>
      </c>
      <c r="E610" s="49">
        <v>7.87</v>
      </c>
      <c r="F610" s="10"/>
      <c r="G610" s="6">
        <v>7728</v>
      </c>
      <c r="I610" s="47">
        <v>0.21239153</v>
      </c>
      <c r="J610" s="44"/>
      <c r="K610" s="6">
        <f t="shared" si="165"/>
        <v>1641.3617438399999</v>
      </c>
      <c r="M610" s="47">
        <f t="shared" si="166"/>
        <v>0.2364868</v>
      </c>
      <c r="N610" s="44"/>
      <c r="O610" s="6">
        <f t="shared" si="167"/>
        <v>1827.5699904000001</v>
      </c>
    </row>
    <row r="611" spans="1:15">
      <c r="A611" s="84" t="s">
        <v>323</v>
      </c>
      <c r="C611" s="227">
        <v>228752.11425782187</v>
      </c>
      <c r="E611" s="49">
        <v>11.712</v>
      </c>
      <c r="F611" s="232" t="s">
        <v>153</v>
      </c>
      <c r="G611" s="6">
        <v>26791</v>
      </c>
      <c r="I611" s="47">
        <v>0.21239153</v>
      </c>
      <c r="J611" s="44"/>
      <c r="K611" s="6">
        <f t="shared" si="165"/>
        <v>5690.1814802299996</v>
      </c>
      <c r="M611" s="47">
        <f t="shared" si="166"/>
        <v>0.2364868</v>
      </c>
      <c r="N611" s="44"/>
      <c r="O611" s="6">
        <f t="shared" si="167"/>
        <v>6335.7178587999997</v>
      </c>
    </row>
    <row r="612" spans="1:15">
      <c r="A612" s="84" t="s">
        <v>324</v>
      </c>
      <c r="C612" s="227">
        <v>234472</v>
      </c>
      <c r="E612" s="49">
        <v>6.5567000000000002</v>
      </c>
      <c r="F612" s="232" t="s">
        <v>153</v>
      </c>
      <c r="G612" s="6">
        <v>15374</v>
      </c>
      <c r="I612" s="47">
        <v>0.21239153</v>
      </c>
      <c r="J612" s="44"/>
      <c r="K612" s="6">
        <f t="shared" si="165"/>
        <v>3265.3073822199999</v>
      </c>
      <c r="M612" s="47">
        <f t="shared" si="166"/>
        <v>0.2364868</v>
      </c>
      <c r="N612" s="44"/>
      <c r="O612" s="6">
        <f t="shared" si="167"/>
        <v>3635.7480632000002</v>
      </c>
    </row>
    <row r="613" spans="1:15">
      <c r="A613" s="84" t="s">
        <v>325</v>
      </c>
      <c r="C613" s="227">
        <v>417772</v>
      </c>
      <c r="E613" s="49">
        <v>10.364599999999999</v>
      </c>
      <c r="F613" s="232" t="s">
        <v>153</v>
      </c>
      <c r="G613" s="6">
        <v>43300</v>
      </c>
      <c r="I613" s="47">
        <v>0.21239153</v>
      </c>
      <c r="J613" s="44"/>
      <c r="K613" s="6">
        <f t="shared" si="165"/>
        <v>9196.5532490000005</v>
      </c>
      <c r="M613" s="47">
        <f t="shared" si="166"/>
        <v>0.2364868</v>
      </c>
      <c r="N613" s="44"/>
      <c r="O613" s="6">
        <f t="shared" si="167"/>
        <v>10239.87844</v>
      </c>
    </row>
    <row r="614" spans="1:15">
      <c r="A614" s="84" t="s">
        <v>326</v>
      </c>
      <c r="C614" s="227">
        <v>648715</v>
      </c>
      <c r="E614" s="49">
        <v>5.8023999999999996</v>
      </c>
      <c r="F614" s="232" t="s">
        <v>153</v>
      </c>
      <c r="G614" s="6">
        <v>37641</v>
      </c>
      <c r="I614" s="47">
        <v>0.21239153</v>
      </c>
      <c r="J614" s="44"/>
      <c r="K614" s="6">
        <f t="shared" si="165"/>
        <v>7994.6295807299994</v>
      </c>
      <c r="M614" s="47">
        <f t="shared" si="166"/>
        <v>0.2364868</v>
      </c>
      <c r="N614" s="44"/>
      <c r="O614" s="6">
        <f t="shared" si="167"/>
        <v>8901.5996388000003</v>
      </c>
    </row>
    <row r="615" spans="1:15">
      <c r="A615" s="84" t="s">
        <v>183</v>
      </c>
      <c r="C615" s="227">
        <v>0</v>
      </c>
      <c r="E615" s="44">
        <v>-0.48</v>
      </c>
      <c r="F615" s="44"/>
      <c r="G615" s="6">
        <v>0</v>
      </c>
    </row>
    <row r="616" spans="1:15" ht="16.5" thickBot="1">
      <c r="A616" s="84" t="s">
        <v>162</v>
      </c>
      <c r="C616" s="258">
        <v>1529711.1142578218</v>
      </c>
      <c r="E616" s="68"/>
      <c r="F616" s="10"/>
      <c r="G616" s="12">
        <v>151987</v>
      </c>
      <c r="I616" s="48"/>
      <c r="K616" s="13">
        <f>SUM(K609:K615)</f>
        <v>28830.238673729997</v>
      </c>
      <c r="M616" s="48"/>
      <c r="O616" s="13">
        <f>SUM(O609:O615)</f>
        <v>32100.9547188</v>
      </c>
    </row>
    <row r="617" spans="1:15" ht="16.5" thickTop="1"/>
    <row r="618" spans="1:15">
      <c r="A618" s="228" t="s">
        <v>329</v>
      </c>
      <c r="E618" s="49"/>
      <c r="F618" s="49"/>
    </row>
    <row r="619" spans="1:15">
      <c r="A619" s="286" t="s">
        <v>330</v>
      </c>
    </row>
    <row r="620" spans="1:15">
      <c r="A620" s="84" t="s">
        <v>331</v>
      </c>
      <c r="B620" s="84"/>
      <c r="C620" s="227">
        <v>0</v>
      </c>
      <c r="E620" s="284">
        <v>137</v>
      </c>
      <c r="F620" s="44"/>
      <c r="G620" s="6">
        <v>0</v>
      </c>
    </row>
    <row r="621" spans="1:15">
      <c r="A621" s="84" t="s">
        <v>332</v>
      </c>
      <c r="B621" s="84"/>
      <c r="C621" s="227">
        <v>0</v>
      </c>
      <c r="E621" s="284">
        <v>5.75</v>
      </c>
      <c r="F621" s="44"/>
      <c r="G621" s="6">
        <v>0</v>
      </c>
    </row>
    <row r="622" spans="1:15">
      <c r="A622" s="84" t="s">
        <v>333</v>
      </c>
      <c r="B622" s="84"/>
      <c r="E622" s="285"/>
      <c r="F622" s="10"/>
    </row>
    <row r="623" spans="1:15">
      <c r="A623" s="84" t="s">
        <v>334</v>
      </c>
      <c r="B623" s="84"/>
      <c r="E623" s="284"/>
      <c r="F623" s="54"/>
    </row>
    <row r="624" spans="1:15">
      <c r="A624" s="84" t="s">
        <v>335</v>
      </c>
      <c r="B624" s="84"/>
      <c r="C624" s="227">
        <v>0</v>
      </c>
      <c r="E624" s="284">
        <v>0.9</v>
      </c>
      <c r="F624" s="54"/>
      <c r="G624" s="6">
        <v>0</v>
      </c>
    </row>
    <row r="625" spans="1:7">
      <c r="A625" s="84" t="s">
        <v>336</v>
      </c>
      <c r="B625" s="84"/>
      <c r="C625" s="227">
        <v>0</v>
      </c>
      <c r="E625" s="284">
        <v>0.8</v>
      </c>
      <c r="F625" s="54"/>
      <c r="G625" s="6">
        <v>0</v>
      </c>
    </row>
    <row r="626" spans="1:7">
      <c r="A626" s="84" t="s">
        <v>337</v>
      </c>
      <c r="B626" s="84"/>
      <c r="E626" s="285"/>
      <c r="F626" s="55"/>
    </row>
    <row r="627" spans="1:7">
      <c r="A627" s="84" t="s">
        <v>335</v>
      </c>
      <c r="B627" s="84"/>
      <c r="C627" s="227">
        <v>0</v>
      </c>
      <c r="E627" s="284">
        <v>0.45</v>
      </c>
      <c r="F627" s="55"/>
      <c r="G627" s="6">
        <v>0</v>
      </c>
    </row>
    <row r="628" spans="1:7">
      <c r="A628" s="84" t="s">
        <v>336</v>
      </c>
      <c r="B628" s="84"/>
      <c r="C628" s="227">
        <v>0</v>
      </c>
      <c r="E628" s="284">
        <v>0.4</v>
      </c>
      <c r="F628" s="55"/>
      <c r="G628" s="6">
        <v>0</v>
      </c>
    </row>
    <row r="629" spans="1:7">
      <c r="A629" s="84" t="s">
        <v>338</v>
      </c>
      <c r="B629" s="84"/>
      <c r="E629" s="284"/>
      <c r="F629" s="44"/>
    </row>
    <row r="630" spans="1:7">
      <c r="A630" s="84" t="s">
        <v>335</v>
      </c>
      <c r="B630" s="84"/>
      <c r="C630" s="227">
        <v>0</v>
      </c>
      <c r="E630" s="284">
        <v>41.89</v>
      </c>
      <c r="F630" s="44"/>
      <c r="G630" s="6">
        <v>0</v>
      </c>
    </row>
    <row r="631" spans="1:7">
      <c r="A631" s="84" t="s">
        <v>336</v>
      </c>
      <c r="B631" s="84"/>
      <c r="C631" s="227">
        <v>0</v>
      </c>
      <c r="E631" s="284">
        <v>37.07</v>
      </c>
      <c r="F631" s="44"/>
      <c r="G631" s="6">
        <v>0</v>
      </c>
    </row>
    <row r="632" spans="1:7">
      <c r="A632" s="286" t="s">
        <v>339</v>
      </c>
      <c r="E632" s="285"/>
    </row>
    <row r="633" spans="1:7">
      <c r="A633" s="84" t="s">
        <v>331</v>
      </c>
      <c r="C633" s="227">
        <v>25</v>
      </c>
      <c r="E633" s="284">
        <v>621</v>
      </c>
      <c r="F633" s="44"/>
      <c r="G633" s="6">
        <v>15525</v>
      </c>
    </row>
    <row r="634" spans="1:7">
      <c r="A634" s="84" t="s">
        <v>332</v>
      </c>
      <c r="C634" s="227">
        <v>34929</v>
      </c>
      <c r="E634" s="284">
        <v>4.58</v>
      </c>
      <c r="F634" s="44"/>
      <c r="G634" s="6">
        <v>159975</v>
      </c>
    </row>
    <row r="635" spans="1:7">
      <c r="A635" s="84" t="s">
        <v>333</v>
      </c>
      <c r="E635" s="285"/>
      <c r="F635" s="44"/>
    </row>
    <row r="636" spans="1:7">
      <c r="A636" s="84" t="s">
        <v>334</v>
      </c>
      <c r="E636" s="284"/>
      <c r="F636" s="54"/>
    </row>
    <row r="637" spans="1:7">
      <c r="A637" s="84" t="s">
        <v>335</v>
      </c>
      <c r="C637" s="227">
        <v>67470</v>
      </c>
      <c r="E637" s="284">
        <v>0.88</v>
      </c>
      <c r="F637" s="54"/>
      <c r="G637" s="6">
        <v>59374</v>
      </c>
    </row>
    <row r="638" spans="1:7">
      <c r="A638" s="84" t="s">
        <v>336</v>
      </c>
      <c r="C638" s="227">
        <v>47316</v>
      </c>
      <c r="E638" s="284">
        <v>0.78</v>
      </c>
      <c r="F638" s="54"/>
      <c r="G638" s="6">
        <v>36906</v>
      </c>
    </row>
    <row r="639" spans="1:7">
      <c r="A639" s="84" t="s">
        <v>337</v>
      </c>
      <c r="E639" s="285"/>
      <c r="F639" s="55"/>
    </row>
    <row r="640" spans="1:7">
      <c r="A640" s="84" t="s">
        <v>335</v>
      </c>
      <c r="C640" s="227">
        <v>1510</v>
      </c>
      <c r="E640" s="284">
        <v>0.44</v>
      </c>
      <c r="F640" s="55"/>
      <c r="G640" s="6">
        <v>664</v>
      </c>
    </row>
    <row r="641" spans="1:7">
      <c r="A641" s="84" t="s">
        <v>336</v>
      </c>
      <c r="C641" s="227">
        <v>0</v>
      </c>
      <c r="E641" s="284">
        <v>0.39</v>
      </c>
      <c r="F641" s="55"/>
      <c r="G641" s="6">
        <v>0</v>
      </c>
    </row>
    <row r="642" spans="1:7">
      <c r="A642" s="84" t="s">
        <v>338</v>
      </c>
      <c r="E642" s="284"/>
      <c r="F642" s="44"/>
    </row>
    <row r="643" spans="1:7">
      <c r="A643" s="84" t="s">
        <v>335</v>
      </c>
      <c r="C643" s="227">
        <v>142</v>
      </c>
      <c r="E643" s="284">
        <v>39.56</v>
      </c>
      <c r="F643" s="44"/>
      <c r="G643" s="6">
        <v>5618</v>
      </c>
    </row>
    <row r="644" spans="1:7">
      <c r="A644" s="84" t="s">
        <v>336</v>
      </c>
      <c r="C644" s="227">
        <v>655</v>
      </c>
      <c r="E644" s="284">
        <v>35.01</v>
      </c>
      <c r="F644" s="44"/>
      <c r="G644" s="6">
        <v>22932</v>
      </c>
    </row>
    <row r="645" spans="1:7">
      <c r="A645" s="286" t="s">
        <v>340</v>
      </c>
      <c r="E645" s="285"/>
    </row>
    <row r="646" spans="1:7">
      <c r="A646" s="84" t="s">
        <v>331</v>
      </c>
      <c r="C646" s="227">
        <v>59</v>
      </c>
      <c r="E646" s="284">
        <v>696</v>
      </c>
      <c r="F646" s="44"/>
      <c r="G646" s="6">
        <v>41064</v>
      </c>
    </row>
    <row r="647" spans="1:7">
      <c r="A647" s="84" t="s">
        <v>332</v>
      </c>
      <c r="C647" s="227">
        <v>291905</v>
      </c>
      <c r="E647" s="284">
        <v>2.7</v>
      </c>
      <c r="F647" s="44"/>
      <c r="G647" s="6">
        <v>788144</v>
      </c>
    </row>
    <row r="648" spans="1:7">
      <c r="A648" s="84" t="s">
        <v>333</v>
      </c>
      <c r="E648" s="285"/>
      <c r="F648" s="10"/>
    </row>
    <row r="649" spans="1:7">
      <c r="A649" s="84" t="s">
        <v>334</v>
      </c>
      <c r="E649" s="284"/>
      <c r="F649" s="54"/>
    </row>
    <row r="650" spans="1:7">
      <c r="A650" s="84" t="s">
        <v>335</v>
      </c>
      <c r="C650" s="227">
        <v>657860</v>
      </c>
      <c r="E650" s="284">
        <v>0.78</v>
      </c>
      <c r="F650" s="54"/>
      <c r="G650" s="6">
        <v>513131</v>
      </c>
    </row>
    <row r="651" spans="1:7">
      <c r="A651" s="84" t="s">
        <v>336</v>
      </c>
      <c r="C651" s="227">
        <v>307104</v>
      </c>
      <c r="E651" s="284">
        <v>0.69</v>
      </c>
      <c r="F651" s="54"/>
      <c r="G651" s="6">
        <v>211902</v>
      </c>
    </row>
    <row r="652" spans="1:7">
      <c r="A652" s="84" t="s">
        <v>337</v>
      </c>
      <c r="E652" s="285"/>
      <c r="F652" s="55"/>
    </row>
    <row r="653" spans="1:7">
      <c r="A653" s="84" t="s">
        <v>335</v>
      </c>
      <c r="C653" s="227">
        <v>0</v>
      </c>
      <c r="E653" s="284">
        <v>0.39</v>
      </c>
      <c r="F653" s="55"/>
      <c r="G653" s="6">
        <v>0</v>
      </c>
    </row>
    <row r="654" spans="1:7">
      <c r="A654" s="84" t="s">
        <v>336</v>
      </c>
      <c r="C654" s="227">
        <v>150561</v>
      </c>
      <c r="E654" s="284">
        <v>0.34499999999999997</v>
      </c>
      <c r="F654" s="55"/>
      <c r="G654" s="6">
        <v>51944</v>
      </c>
    </row>
    <row r="655" spans="1:7">
      <c r="A655" s="84" t="s">
        <v>338</v>
      </c>
      <c r="E655" s="284"/>
      <c r="F655" s="44"/>
    </row>
    <row r="656" spans="1:7">
      <c r="A656" s="84" t="s">
        <v>335</v>
      </c>
      <c r="C656" s="227">
        <v>6767</v>
      </c>
      <c r="E656" s="284">
        <v>33.21</v>
      </c>
      <c r="F656" s="44"/>
      <c r="G656" s="6">
        <v>224732</v>
      </c>
    </row>
    <row r="657" spans="1:15">
      <c r="A657" s="84" t="s">
        <v>336</v>
      </c>
      <c r="C657" s="227">
        <v>1067</v>
      </c>
      <c r="E657" s="284">
        <v>29.39</v>
      </c>
      <c r="F657" s="44"/>
      <c r="G657" s="6">
        <v>31359</v>
      </c>
    </row>
    <row r="658" spans="1:15">
      <c r="A658" s="84" t="s">
        <v>341</v>
      </c>
      <c r="C658" s="287"/>
      <c r="E658" s="49"/>
      <c r="F658" s="49"/>
      <c r="G658" s="11">
        <v>2163270</v>
      </c>
    </row>
    <row r="659" spans="1:15">
      <c r="A659" s="286" t="s">
        <v>342</v>
      </c>
    </row>
    <row r="660" spans="1:15">
      <c r="A660" s="228" t="s">
        <v>343</v>
      </c>
      <c r="E660" s="10"/>
      <c r="F660" s="10"/>
    </row>
    <row r="661" spans="1:15">
      <c r="A661" s="84" t="s">
        <v>177</v>
      </c>
      <c r="C661" s="227">
        <v>27799</v>
      </c>
      <c r="E661" s="10">
        <v>4.8099999999999996</v>
      </c>
      <c r="F661" s="10"/>
      <c r="G661" s="6">
        <v>133713</v>
      </c>
    </row>
    <row r="662" spans="1:15">
      <c r="A662" s="84" t="s">
        <v>213</v>
      </c>
      <c r="C662" s="227">
        <v>2699</v>
      </c>
      <c r="E662" s="10">
        <v>15.73</v>
      </c>
      <c r="F662" s="10"/>
      <c r="G662" s="6">
        <v>42455</v>
      </c>
      <c r="I662" s="47">
        <v>0.29716491</v>
      </c>
      <c r="J662" s="44"/>
      <c r="K662" s="6">
        <f t="shared" ref="K662:K667" si="168">$G662*I662</f>
        <v>12616.136254049999</v>
      </c>
      <c r="M662" s="47">
        <f t="shared" ref="M662:M667" si="169">M$321</f>
        <v>0.32985656000000002</v>
      </c>
      <c r="N662" s="44"/>
      <c r="O662" s="6">
        <f t="shared" ref="O662:O667" si="170">$G662*M662</f>
        <v>14004.060254800001</v>
      </c>
    </row>
    <row r="663" spans="1:15">
      <c r="A663" s="84" t="s">
        <v>214</v>
      </c>
      <c r="C663" s="227">
        <v>26884</v>
      </c>
      <c r="E663" s="10">
        <v>13.92</v>
      </c>
      <c r="F663" s="10"/>
      <c r="G663" s="6">
        <v>374225</v>
      </c>
      <c r="I663" s="47">
        <v>0.29716491</v>
      </c>
      <c r="J663" s="44"/>
      <c r="K663" s="6">
        <f t="shared" si="168"/>
        <v>111206.53844475</v>
      </c>
      <c r="M663" s="47">
        <f t="shared" si="169"/>
        <v>0.32985656000000002</v>
      </c>
      <c r="N663" s="44"/>
      <c r="O663" s="6">
        <f t="shared" si="170"/>
        <v>123440.57116600001</v>
      </c>
    </row>
    <row r="664" spans="1:15">
      <c r="A664" s="84" t="s">
        <v>152</v>
      </c>
      <c r="C664" s="227">
        <v>905085</v>
      </c>
      <c r="E664" s="49">
        <v>5.8281999999999998</v>
      </c>
      <c r="F664" s="232" t="s">
        <v>153</v>
      </c>
      <c r="G664" s="6">
        <v>52750</v>
      </c>
      <c r="I664" s="47">
        <v>0.29716491</v>
      </c>
      <c r="J664" s="44"/>
      <c r="K664" s="6">
        <f t="shared" si="168"/>
        <v>15675.4490025</v>
      </c>
      <c r="M664" s="47">
        <f t="shared" si="169"/>
        <v>0.32985656000000002</v>
      </c>
      <c r="N664" s="44"/>
      <c r="O664" s="6">
        <f t="shared" si="170"/>
        <v>17399.933540000002</v>
      </c>
    </row>
    <row r="665" spans="1:15">
      <c r="A665" s="84" t="s">
        <v>215</v>
      </c>
      <c r="C665" s="227">
        <v>2558532</v>
      </c>
      <c r="E665" s="49">
        <v>5.1577000000000002</v>
      </c>
      <c r="F665" s="232" t="s">
        <v>153</v>
      </c>
      <c r="G665" s="6">
        <v>131961</v>
      </c>
      <c r="I665" s="47">
        <v>0.29716491</v>
      </c>
      <c r="J665" s="44"/>
      <c r="K665" s="6">
        <f t="shared" si="168"/>
        <v>39214.178688510001</v>
      </c>
      <c r="M665" s="47">
        <f t="shared" si="169"/>
        <v>0.32985656000000002</v>
      </c>
      <c r="N665" s="44"/>
      <c r="O665" s="6">
        <f t="shared" si="170"/>
        <v>43528.201514160006</v>
      </c>
    </row>
    <row r="666" spans="1:15">
      <c r="A666" s="84" t="s">
        <v>154</v>
      </c>
      <c r="C666" s="227">
        <v>4024260</v>
      </c>
      <c r="E666" s="49">
        <v>2.9624000000000001</v>
      </c>
      <c r="F666" s="232" t="s">
        <v>153</v>
      </c>
      <c r="G666" s="6">
        <v>119215</v>
      </c>
      <c r="I666" s="47">
        <v>0.29716491</v>
      </c>
      <c r="J666" s="44"/>
      <c r="K666" s="6">
        <f t="shared" si="168"/>
        <v>35426.514745649998</v>
      </c>
      <c r="M666" s="47">
        <f t="shared" si="169"/>
        <v>0.32985656000000002</v>
      </c>
      <c r="N666" s="44"/>
      <c r="O666" s="6">
        <f t="shared" si="170"/>
        <v>39323.849800399999</v>
      </c>
    </row>
    <row r="667" spans="1:15">
      <c r="A667" s="84" t="s">
        <v>216</v>
      </c>
      <c r="C667" s="227">
        <v>7522766</v>
      </c>
      <c r="E667" s="49">
        <v>2.6215999999999999</v>
      </c>
      <c r="F667" s="232" t="s">
        <v>153</v>
      </c>
      <c r="G667" s="6">
        <v>197217</v>
      </c>
      <c r="I667" s="47">
        <v>0.29716491</v>
      </c>
      <c r="J667" s="44"/>
      <c r="K667" s="6">
        <f t="shared" si="168"/>
        <v>58605.972055470003</v>
      </c>
      <c r="M667" s="47">
        <f t="shared" si="169"/>
        <v>0.32985656000000002</v>
      </c>
      <c r="N667" s="44"/>
      <c r="O667" s="6">
        <f t="shared" si="170"/>
        <v>65053.321193520002</v>
      </c>
    </row>
    <row r="668" spans="1:15">
      <c r="A668" s="84" t="s">
        <v>183</v>
      </c>
      <c r="C668" s="227">
        <v>27713</v>
      </c>
      <c r="E668" s="10">
        <v>-1.1299999999999999</v>
      </c>
      <c r="F668" s="10"/>
      <c r="G668" s="6">
        <v>-31316</v>
      </c>
    </row>
    <row r="669" spans="1:15">
      <c r="A669" s="228" t="s">
        <v>344</v>
      </c>
      <c r="E669" s="10"/>
      <c r="F669" s="10"/>
      <c r="I669" s="204"/>
      <c r="K669" s="205">
        <f>SUM(K662:K668)</f>
        <v>272744.78919093002</v>
      </c>
      <c r="M669" s="204"/>
      <c r="O669" s="205">
        <f>SUM(O662:O668)</f>
        <v>302749.93746887997</v>
      </c>
    </row>
    <row r="670" spans="1:15">
      <c r="A670" s="84" t="s">
        <v>177</v>
      </c>
      <c r="C670" s="227">
        <v>283278</v>
      </c>
      <c r="E670" s="10">
        <v>2.2799999999999998</v>
      </c>
      <c r="F670" s="10"/>
      <c r="G670" s="6">
        <v>645874</v>
      </c>
    </row>
    <row r="671" spans="1:15">
      <c r="A671" s="84" t="s">
        <v>213</v>
      </c>
      <c r="C671" s="227">
        <v>96907</v>
      </c>
      <c r="E671" s="10">
        <v>14.33</v>
      </c>
      <c r="F671" s="10"/>
      <c r="G671" s="6">
        <v>1388677</v>
      </c>
      <c r="I671" s="47">
        <v>0.37140874000000001</v>
      </c>
      <c r="J671" s="44"/>
      <c r="K671" s="6">
        <f t="shared" ref="K671:K676" si="171">$G671*I671</f>
        <v>515766.77483698004</v>
      </c>
      <c r="M671" s="47">
        <f t="shared" ref="M671:M676" si="172">M$345</f>
        <v>0.38116348999999999</v>
      </c>
      <c r="N671" s="44"/>
      <c r="O671" s="6">
        <f t="shared" ref="O671:O676" si="173">$G671*M671</f>
        <v>529312.97180273</v>
      </c>
    </row>
    <row r="672" spans="1:15">
      <c r="A672" s="84" t="s">
        <v>214</v>
      </c>
      <c r="C672" s="227">
        <v>180946</v>
      </c>
      <c r="E672" s="10">
        <v>12.68</v>
      </c>
      <c r="F672" s="10"/>
      <c r="G672" s="6">
        <v>2294395</v>
      </c>
      <c r="I672" s="47">
        <v>0.37140874000000001</v>
      </c>
      <c r="J672" s="44"/>
      <c r="K672" s="6">
        <f t="shared" si="171"/>
        <v>852158.35601230001</v>
      </c>
      <c r="M672" s="47">
        <f t="shared" si="172"/>
        <v>0.38116348999999999</v>
      </c>
      <c r="N672" s="44"/>
      <c r="O672" s="6">
        <f t="shared" si="173"/>
        <v>874539.60563855001</v>
      </c>
    </row>
    <row r="673" spans="1:18">
      <c r="A673" s="84" t="s">
        <v>152</v>
      </c>
      <c r="C673" s="227">
        <v>14609917</v>
      </c>
      <c r="E673" s="259">
        <v>5.1477000000000004</v>
      </c>
      <c r="F673" s="232" t="s">
        <v>153</v>
      </c>
      <c r="G673" s="6">
        <v>752075</v>
      </c>
      <c r="I673" s="47">
        <v>0.37140874000000001</v>
      </c>
      <c r="J673" s="44"/>
      <c r="K673" s="6">
        <f t="shared" si="171"/>
        <v>279327.22813549999</v>
      </c>
      <c r="M673" s="47">
        <f t="shared" si="172"/>
        <v>0.38116348999999999</v>
      </c>
      <c r="N673" s="44"/>
      <c r="O673" s="6">
        <f t="shared" si="173"/>
        <v>286663.53174175002</v>
      </c>
    </row>
    <row r="674" spans="1:18">
      <c r="A674" s="84" t="s">
        <v>215</v>
      </c>
      <c r="C674" s="227">
        <v>21736230</v>
      </c>
      <c r="E674" s="259">
        <v>4.5555000000000003</v>
      </c>
      <c r="F674" s="232" t="s">
        <v>153</v>
      </c>
      <c r="G674" s="6">
        <v>990194</v>
      </c>
      <c r="I674" s="47">
        <v>0.37140874000000001</v>
      </c>
      <c r="J674" s="44"/>
      <c r="K674" s="6">
        <f t="shared" si="171"/>
        <v>367766.70589556004</v>
      </c>
      <c r="M674" s="47">
        <f t="shared" si="172"/>
        <v>0.38116348999999999</v>
      </c>
      <c r="N674" s="44"/>
      <c r="O674" s="6">
        <f t="shared" si="173"/>
        <v>377425.80081705999</v>
      </c>
    </row>
    <row r="675" spans="1:18">
      <c r="A675" s="84" t="s">
        <v>154</v>
      </c>
      <c r="C675" s="227">
        <v>47389695</v>
      </c>
      <c r="E675" s="259">
        <v>2.6164999999999998</v>
      </c>
      <c r="F675" s="232" t="s">
        <v>153</v>
      </c>
      <c r="G675" s="6">
        <v>1239951</v>
      </c>
      <c r="I675" s="47">
        <v>0.37140874000000001</v>
      </c>
      <c r="J675" s="44"/>
      <c r="K675" s="6">
        <f t="shared" si="171"/>
        <v>460528.63857174001</v>
      </c>
      <c r="M675" s="47">
        <f t="shared" si="172"/>
        <v>0.38116348999999999</v>
      </c>
      <c r="N675" s="44"/>
      <c r="O675" s="6">
        <f t="shared" si="173"/>
        <v>472624.05058898998</v>
      </c>
    </row>
    <row r="676" spans="1:18">
      <c r="A676" s="84" t="s">
        <v>216</v>
      </c>
      <c r="C676" s="288">
        <v>90512657.666666657</v>
      </c>
      <c r="E676" s="289">
        <v>2.3155000000000001</v>
      </c>
      <c r="F676" s="232" t="s">
        <v>153</v>
      </c>
      <c r="G676" s="6">
        <v>2095821</v>
      </c>
      <c r="I676" s="47">
        <v>0.37140874000000001</v>
      </c>
      <c r="J676" s="44"/>
      <c r="K676" s="6">
        <f t="shared" si="171"/>
        <v>778406.23687553999</v>
      </c>
      <c r="M676" s="47">
        <f t="shared" si="172"/>
        <v>0.38116348999999999</v>
      </c>
      <c r="N676" s="44"/>
      <c r="O676" s="6">
        <f t="shared" si="173"/>
        <v>798850.44677528995</v>
      </c>
    </row>
    <row r="677" spans="1:18">
      <c r="A677" s="84"/>
      <c r="E677" s="259"/>
      <c r="F677" s="232"/>
      <c r="I677" s="204"/>
      <c r="K677" s="205">
        <f>SUM(K671:K676)</f>
        <v>3253953.9403276201</v>
      </c>
      <c r="M677" s="204"/>
      <c r="O677" s="205">
        <f>SUM(O671:O676)</f>
        <v>3339416.4073643703</v>
      </c>
    </row>
    <row r="678" spans="1:18" ht="16.5" thickBot="1">
      <c r="A678" s="84" t="s">
        <v>345</v>
      </c>
      <c r="C678" s="258">
        <v>189259142.66666666</v>
      </c>
      <c r="E678" s="68"/>
      <c r="G678" s="13">
        <v>12590477</v>
      </c>
      <c r="I678" s="48"/>
      <c r="K678" s="13">
        <f>K669+K677</f>
        <v>3526698.72951855</v>
      </c>
      <c r="M678" s="48"/>
      <c r="O678" s="13">
        <f>O669+O677</f>
        <v>3642166.3448332502</v>
      </c>
    </row>
    <row r="679" spans="1:18" ht="16.5" thickTop="1"/>
    <row r="680" spans="1:18" s="246" customFormat="1" ht="18.75">
      <c r="A680" s="290" t="s">
        <v>346</v>
      </c>
      <c r="C680" s="247"/>
      <c r="D680" s="247"/>
      <c r="G680" s="248"/>
      <c r="I680" s="40"/>
      <c r="J680" s="3"/>
      <c r="K680" s="6"/>
      <c r="L680" s="3"/>
      <c r="M680" s="40"/>
      <c r="N680" s="3"/>
      <c r="O680" s="6"/>
      <c r="Q680" s="2"/>
      <c r="R680" s="2"/>
    </row>
    <row r="681" spans="1:18" s="246" customFormat="1">
      <c r="A681" s="239" t="s">
        <v>347</v>
      </c>
      <c r="C681" s="247"/>
      <c r="D681" s="247"/>
      <c r="G681" s="248"/>
      <c r="I681" s="40"/>
      <c r="J681" s="3"/>
      <c r="K681" s="6"/>
      <c r="L681" s="3"/>
      <c r="M681" s="40"/>
      <c r="N681" s="3"/>
      <c r="O681" s="6"/>
      <c r="Q681" s="2"/>
      <c r="R681" s="2"/>
    </row>
    <row r="682" spans="1:18" s="246" customFormat="1">
      <c r="A682" s="239" t="s">
        <v>348</v>
      </c>
      <c r="B682" s="239"/>
      <c r="C682" s="247"/>
      <c r="D682" s="247"/>
      <c r="E682" s="291">
        <v>55</v>
      </c>
      <c r="F682" s="248"/>
      <c r="G682" s="248">
        <v>0</v>
      </c>
      <c r="I682" s="40"/>
      <c r="J682" s="3"/>
      <c r="K682" s="6"/>
      <c r="L682" s="3"/>
      <c r="M682" s="40"/>
      <c r="N682" s="3"/>
      <c r="O682" s="6"/>
      <c r="Q682" s="2"/>
      <c r="R682" s="2"/>
    </row>
    <row r="683" spans="1:18" s="246" customFormat="1">
      <c r="A683" s="239" t="s">
        <v>349</v>
      </c>
      <c r="B683" s="239"/>
      <c r="C683" s="247"/>
      <c r="D683" s="247"/>
      <c r="E683" s="291">
        <v>72</v>
      </c>
      <c r="F683" s="248"/>
      <c r="G683" s="248">
        <v>0</v>
      </c>
      <c r="I683" s="40"/>
      <c r="J683" s="3"/>
      <c r="K683" s="6"/>
      <c r="L683" s="3"/>
      <c r="M683" s="40"/>
      <c r="N683" s="3"/>
      <c r="O683" s="6"/>
      <c r="Q683" s="2"/>
      <c r="R683" s="2"/>
    </row>
    <row r="684" spans="1:18" s="246" customFormat="1">
      <c r="A684" s="239" t="s">
        <v>350</v>
      </c>
      <c r="B684" s="239"/>
      <c r="C684" s="247">
        <v>36</v>
      </c>
      <c r="D684" s="247"/>
      <c r="E684" s="291">
        <v>266</v>
      </c>
      <c r="F684" s="248"/>
      <c r="G684" s="248">
        <v>9576</v>
      </c>
      <c r="I684" s="40"/>
      <c r="J684" s="3"/>
      <c r="K684" s="6"/>
      <c r="L684" s="3"/>
      <c r="M684" s="40"/>
      <c r="N684" s="3"/>
      <c r="O684" s="6"/>
      <c r="Q684" s="2"/>
      <c r="R684" s="2"/>
    </row>
    <row r="685" spans="1:18" s="246" customFormat="1">
      <c r="A685" s="239" t="s">
        <v>351</v>
      </c>
      <c r="B685" s="239"/>
      <c r="C685" s="247"/>
      <c r="D685" s="247"/>
      <c r="E685" s="291"/>
      <c r="F685" s="248"/>
      <c r="G685" s="248"/>
      <c r="I685" s="40"/>
      <c r="J685" s="3"/>
      <c r="K685" s="6"/>
      <c r="L685" s="3"/>
      <c r="M685" s="40"/>
      <c r="N685" s="3"/>
      <c r="O685" s="6"/>
      <c r="Q685" s="2"/>
      <c r="R685" s="2"/>
    </row>
    <row r="686" spans="1:18" s="246" customFormat="1">
      <c r="A686" s="239" t="s">
        <v>352</v>
      </c>
      <c r="B686" s="239"/>
      <c r="C686" s="247">
        <v>12.83952950842653</v>
      </c>
      <c r="D686" s="247"/>
      <c r="E686" s="291">
        <v>113</v>
      </c>
      <c r="F686" s="248"/>
      <c r="G686" s="248">
        <v>1451</v>
      </c>
      <c r="I686" s="40"/>
      <c r="J686" s="3"/>
      <c r="K686" s="6"/>
      <c r="L686" s="3"/>
      <c r="M686" s="40"/>
      <c r="N686" s="3"/>
      <c r="O686" s="6"/>
      <c r="Q686" s="2"/>
      <c r="R686" s="2"/>
    </row>
    <row r="687" spans="1:18" s="292" customFormat="1">
      <c r="A687" s="239" t="s">
        <v>353</v>
      </c>
      <c r="B687" s="239"/>
      <c r="C687" s="247">
        <v>38.518588525279576</v>
      </c>
      <c r="D687" s="247"/>
      <c r="E687" s="291">
        <v>154</v>
      </c>
      <c r="F687" s="248"/>
      <c r="G687" s="248">
        <v>5932</v>
      </c>
      <c r="I687" s="40"/>
      <c r="J687" s="3"/>
      <c r="K687" s="6"/>
      <c r="L687" s="3"/>
      <c r="M687" s="40"/>
      <c r="N687" s="3"/>
      <c r="O687" s="6"/>
      <c r="Q687" s="2"/>
      <c r="R687" s="2"/>
    </row>
    <row r="688" spans="1:18" s="292" customFormat="1">
      <c r="A688" s="239" t="s">
        <v>354</v>
      </c>
      <c r="B688" s="239"/>
      <c r="C688" s="247"/>
      <c r="D688" s="247"/>
      <c r="E688" s="293"/>
      <c r="F688" s="248"/>
      <c r="G688" s="248"/>
      <c r="I688" s="40"/>
      <c r="J688" s="3"/>
      <c r="K688" s="6"/>
      <c r="L688" s="3"/>
      <c r="M688" s="40"/>
      <c r="N688" s="3"/>
      <c r="O688" s="6"/>
      <c r="Q688" s="2"/>
      <c r="R688" s="2"/>
    </row>
    <row r="689" spans="1:18" s="292" customFormat="1">
      <c r="A689" s="239" t="s">
        <v>355</v>
      </c>
      <c r="B689" s="239"/>
      <c r="C689" s="247"/>
      <c r="D689" s="247"/>
      <c r="E689" s="291">
        <v>7.52</v>
      </c>
      <c r="F689" s="248"/>
      <c r="G689" s="248">
        <v>0</v>
      </c>
      <c r="I689" s="40"/>
      <c r="J689" s="3"/>
      <c r="K689" s="6"/>
      <c r="L689" s="3"/>
      <c r="M689" s="40"/>
      <c r="N689" s="3"/>
      <c r="O689" s="6"/>
      <c r="Q689" s="2"/>
      <c r="R689" s="2"/>
    </row>
    <row r="690" spans="1:18" s="292" customFormat="1">
      <c r="A690" s="239" t="s">
        <v>356</v>
      </c>
      <c r="B690" s="239"/>
      <c r="C690" s="247"/>
      <c r="D690" s="247"/>
      <c r="E690" s="291">
        <v>6.56</v>
      </c>
      <c r="F690" s="248"/>
      <c r="G690" s="248">
        <v>0</v>
      </c>
      <c r="I690" s="40"/>
      <c r="J690" s="3"/>
      <c r="K690" s="6"/>
      <c r="L690" s="3"/>
      <c r="M690" s="40"/>
      <c r="N690" s="3"/>
      <c r="O690" s="6"/>
      <c r="Q690" s="2"/>
      <c r="R690" s="2"/>
    </row>
    <row r="691" spans="1:18" s="292" customFormat="1">
      <c r="A691" s="239" t="s">
        <v>357</v>
      </c>
      <c r="B691" s="239"/>
      <c r="C691" s="247"/>
      <c r="D691" s="247"/>
      <c r="E691" s="291">
        <v>8.3699999999999992</v>
      </c>
      <c r="F691" s="248"/>
      <c r="G691" s="248">
        <v>0</v>
      </c>
      <c r="I691" s="40"/>
      <c r="J691" s="3"/>
      <c r="K691" s="6"/>
      <c r="L691" s="3"/>
      <c r="M691" s="40"/>
      <c r="N691" s="3"/>
      <c r="O691" s="6"/>
      <c r="Q691" s="2"/>
      <c r="R691" s="2"/>
    </row>
    <row r="692" spans="1:18" s="292" customFormat="1">
      <c r="A692" s="239" t="s">
        <v>358</v>
      </c>
      <c r="B692" s="239"/>
      <c r="C692" s="247"/>
      <c r="D692" s="247"/>
      <c r="E692" s="291">
        <v>7.24</v>
      </c>
      <c r="F692" s="248"/>
      <c r="G692" s="248">
        <v>0</v>
      </c>
      <c r="I692" s="40"/>
      <c r="J692" s="3"/>
      <c r="K692" s="6"/>
      <c r="L692" s="3"/>
      <c r="M692" s="40"/>
      <c r="N692" s="3"/>
      <c r="O692" s="6"/>
      <c r="Q692" s="2"/>
      <c r="R692" s="2"/>
    </row>
    <row r="693" spans="1:18" s="292" customFormat="1">
      <c r="A693" s="239" t="s">
        <v>350</v>
      </c>
      <c r="B693" s="239"/>
      <c r="C693" s="247">
        <v>245395.50772980196</v>
      </c>
      <c r="D693" s="247"/>
      <c r="E693" s="291">
        <v>4.3499999999999996</v>
      </c>
      <c r="F693" s="248"/>
      <c r="G693" s="248">
        <v>1067470</v>
      </c>
      <c r="I693" s="40"/>
      <c r="J693" s="3"/>
      <c r="K693" s="6"/>
      <c r="L693" s="3"/>
      <c r="M693" s="40"/>
      <c r="N693" s="3"/>
      <c r="O693" s="6"/>
      <c r="Q693" s="2"/>
      <c r="R693" s="2"/>
    </row>
    <row r="694" spans="1:18" s="292" customFormat="1">
      <c r="A694" s="239" t="s">
        <v>359</v>
      </c>
      <c r="B694" s="246"/>
      <c r="C694" s="247"/>
      <c r="D694" s="247"/>
      <c r="E694" s="293"/>
      <c r="F694" s="246"/>
      <c r="G694" s="248"/>
      <c r="I694" s="40"/>
      <c r="J694" s="3"/>
      <c r="K694" s="6"/>
      <c r="L694" s="3"/>
      <c r="M694" s="40"/>
      <c r="N694" s="3"/>
      <c r="O694" s="6"/>
      <c r="Q694" s="2"/>
      <c r="R694" s="2"/>
    </row>
    <row r="695" spans="1:18" s="292" customFormat="1">
      <c r="A695" s="239" t="s">
        <v>360</v>
      </c>
      <c r="B695" s="246"/>
      <c r="C695" s="247"/>
      <c r="D695" s="247"/>
      <c r="E695" s="291"/>
      <c r="F695" s="248"/>
      <c r="G695" s="248"/>
      <c r="I695" s="40"/>
      <c r="J695" s="3"/>
      <c r="K695" s="6"/>
      <c r="L695" s="3"/>
      <c r="M695" s="40"/>
      <c r="N695" s="3"/>
      <c r="O695" s="6"/>
      <c r="Q695" s="2"/>
      <c r="R695" s="2"/>
    </row>
    <row r="696" spans="1:18" s="292" customFormat="1">
      <c r="A696" s="239" t="s">
        <v>361</v>
      </c>
      <c r="B696" s="246"/>
      <c r="C696" s="247"/>
      <c r="D696" s="247"/>
      <c r="E696" s="291">
        <v>0.56999999999999995</v>
      </c>
      <c r="F696" s="248"/>
      <c r="G696" s="248">
        <v>0</v>
      </c>
      <c r="I696" s="40"/>
      <c r="J696" s="3"/>
      <c r="K696" s="6"/>
      <c r="L696" s="3"/>
      <c r="M696" s="40"/>
      <c r="N696" s="3"/>
      <c r="O696" s="6"/>
      <c r="Q696" s="2"/>
      <c r="R696" s="2"/>
    </row>
    <row r="697" spans="1:18" s="292" customFormat="1">
      <c r="A697" s="239" t="s">
        <v>362</v>
      </c>
      <c r="B697" s="246"/>
      <c r="C697" s="247"/>
      <c r="D697" s="247"/>
      <c r="E697" s="291">
        <v>0.48</v>
      </c>
      <c r="F697" s="248"/>
      <c r="G697" s="248">
        <v>0</v>
      </c>
      <c r="I697" s="40"/>
      <c r="J697" s="3"/>
      <c r="K697" s="6"/>
      <c r="L697" s="3"/>
      <c r="M697" s="40"/>
      <c r="N697" s="3"/>
      <c r="O697" s="6"/>
      <c r="Q697" s="2"/>
      <c r="R697" s="2"/>
    </row>
    <row r="698" spans="1:18" s="292" customFormat="1">
      <c r="A698" s="239" t="s">
        <v>363</v>
      </c>
      <c r="B698" s="246"/>
      <c r="C698" s="247"/>
      <c r="D698" s="247"/>
      <c r="E698" s="291"/>
      <c r="F698" s="248"/>
      <c r="G698" s="248"/>
      <c r="I698" s="40"/>
      <c r="J698" s="3"/>
      <c r="K698" s="6"/>
      <c r="L698" s="3"/>
      <c r="M698" s="40"/>
      <c r="N698" s="3"/>
      <c r="O698" s="6"/>
      <c r="Q698" s="2"/>
      <c r="R698" s="2"/>
    </row>
    <row r="699" spans="1:18" s="292" customFormat="1">
      <c r="A699" s="239" t="s">
        <v>361</v>
      </c>
      <c r="B699" s="246"/>
      <c r="C699" s="247"/>
      <c r="D699" s="247"/>
      <c r="E699" s="291">
        <v>0.56999999999999995</v>
      </c>
      <c r="F699" s="248"/>
      <c r="G699" s="248">
        <v>0</v>
      </c>
      <c r="I699" s="40"/>
      <c r="J699" s="3"/>
      <c r="K699" s="6"/>
      <c r="L699" s="3"/>
      <c r="M699" s="40"/>
      <c r="N699" s="3"/>
      <c r="O699" s="6"/>
      <c r="Q699" s="2"/>
      <c r="R699" s="2"/>
    </row>
    <row r="700" spans="1:18" s="292" customFormat="1">
      <c r="A700" s="239" t="s">
        <v>362</v>
      </c>
      <c r="B700" s="246"/>
      <c r="C700" s="247"/>
      <c r="D700" s="247"/>
      <c r="E700" s="291">
        <v>0.47</v>
      </c>
      <c r="F700" s="248"/>
      <c r="G700" s="248">
        <v>0</v>
      </c>
      <c r="I700" s="40"/>
      <c r="J700" s="3"/>
      <c r="K700" s="6"/>
      <c r="L700" s="3"/>
      <c r="M700" s="40"/>
      <c r="N700" s="3"/>
      <c r="O700" s="6"/>
      <c r="Q700" s="2"/>
      <c r="R700" s="2"/>
    </row>
    <row r="701" spans="1:18" s="292" customFormat="1">
      <c r="A701" s="239" t="s">
        <v>364</v>
      </c>
      <c r="B701" s="246"/>
      <c r="C701" s="247"/>
      <c r="D701" s="247"/>
      <c r="E701" s="293"/>
      <c r="F701" s="248"/>
      <c r="G701" s="248"/>
      <c r="I701" s="40"/>
      <c r="J701" s="3"/>
      <c r="K701" s="6"/>
      <c r="L701" s="3"/>
      <c r="M701" s="40"/>
      <c r="N701" s="3"/>
      <c r="O701" s="6"/>
      <c r="Q701" s="2"/>
      <c r="R701" s="2"/>
    </row>
    <row r="702" spans="1:18" s="292" customFormat="1">
      <c r="A702" s="239" t="s">
        <v>361</v>
      </c>
      <c r="B702" s="246"/>
      <c r="C702" s="247"/>
      <c r="D702" s="247"/>
      <c r="E702" s="291">
        <v>0.72</v>
      </c>
      <c r="F702" s="248"/>
      <c r="G702" s="248">
        <v>0</v>
      </c>
      <c r="I702" s="40"/>
      <c r="J702" s="3"/>
      <c r="K702" s="6"/>
      <c r="L702" s="3"/>
      <c r="M702" s="40"/>
      <c r="N702" s="3"/>
      <c r="O702" s="6"/>
      <c r="Q702" s="2"/>
      <c r="R702" s="2"/>
    </row>
    <row r="703" spans="1:18" s="292" customFormat="1">
      <c r="A703" s="239" t="s">
        <v>362</v>
      </c>
      <c r="B703" s="246"/>
      <c r="C703" s="247"/>
      <c r="D703" s="247"/>
      <c r="E703" s="291">
        <v>0.61</v>
      </c>
      <c r="F703" s="248"/>
      <c r="G703" s="248">
        <v>0</v>
      </c>
      <c r="I703" s="40"/>
      <c r="J703" s="3"/>
      <c r="K703" s="6"/>
      <c r="L703" s="3"/>
      <c r="M703" s="40"/>
      <c r="N703" s="3"/>
      <c r="O703" s="6"/>
      <c r="Q703" s="2"/>
      <c r="R703" s="2"/>
    </row>
    <row r="704" spans="1:18" s="292" customFormat="1">
      <c r="A704" s="239" t="s">
        <v>365</v>
      </c>
      <c r="B704" s="246"/>
      <c r="C704" s="247"/>
      <c r="D704" s="247"/>
      <c r="E704" s="291"/>
      <c r="F704" s="248"/>
      <c r="G704" s="248"/>
      <c r="I704" s="40"/>
      <c r="J704" s="3"/>
      <c r="K704" s="6"/>
      <c r="L704" s="3"/>
      <c r="M704" s="40"/>
      <c r="N704" s="3"/>
      <c r="O704" s="6"/>
      <c r="Q704" s="2"/>
      <c r="R704" s="2"/>
    </row>
    <row r="705" spans="1:18" s="292" customFormat="1">
      <c r="A705" s="239" t="s">
        <v>361</v>
      </c>
      <c r="B705" s="246"/>
      <c r="C705" s="247"/>
      <c r="D705" s="247"/>
      <c r="E705" s="291">
        <v>0.71</v>
      </c>
      <c r="F705" s="248"/>
      <c r="G705" s="248">
        <v>0</v>
      </c>
      <c r="I705" s="40"/>
      <c r="J705" s="3"/>
      <c r="K705" s="6"/>
      <c r="L705" s="3"/>
      <c r="M705" s="40"/>
      <c r="N705" s="3"/>
      <c r="O705" s="6"/>
      <c r="Q705" s="2"/>
      <c r="R705" s="2"/>
    </row>
    <row r="706" spans="1:18" s="292" customFormat="1">
      <c r="A706" s="239" t="s">
        <v>362</v>
      </c>
      <c r="B706" s="246"/>
      <c r="C706" s="247"/>
      <c r="D706" s="247"/>
      <c r="E706" s="291">
        <v>0.59</v>
      </c>
      <c r="F706" s="248"/>
      <c r="G706" s="248">
        <v>0</v>
      </c>
      <c r="I706" s="40"/>
      <c r="J706" s="3"/>
      <c r="K706" s="6"/>
      <c r="L706" s="3"/>
      <c r="M706" s="40"/>
      <c r="N706" s="3"/>
      <c r="O706" s="6"/>
      <c r="Q706" s="2"/>
      <c r="R706" s="2"/>
    </row>
    <row r="707" spans="1:18" s="292" customFormat="1">
      <c r="A707" s="239" t="s">
        <v>366</v>
      </c>
      <c r="B707" s="246"/>
      <c r="C707" s="247"/>
      <c r="D707" s="247"/>
      <c r="E707" s="293"/>
      <c r="F707" s="246"/>
      <c r="G707" s="248"/>
      <c r="I707" s="40"/>
      <c r="J707" s="3"/>
      <c r="K707" s="6"/>
      <c r="L707" s="3"/>
      <c r="M707" s="40"/>
      <c r="N707" s="3"/>
      <c r="O707" s="6"/>
      <c r="Q707" s="2"/>
      <c r="R707" s="2"/>
    </row>
    <row r="708" spans="1:18" s="292" customFormat="1">
      <c r="A708" s="239" t="s">
        <v>361</v>
      </c>
      <c r="B708" s="246"/>
      <c r="C708" s="247">
        <v>526626.49852888589</v>
      </c>
      <c r="D708" s="247"/>
      <c r="E708" s="291">
        <v>0.71</v>
      </c>
      <c r="F708" s="248"/>
      <c r="G708" s="248">
        <v>373905</v>
      </c>
      <c r="I708" s="40"/>
      <c r="J708" s="3"/>
      <c r="K708" s="6"/>
      <c r="L708" s="3"/>
      <c r="M708" s="40"/>
      <c r="N708" s="3"/>
      <c r="O708" s="6"/>
      <c r="Q708" s="2"/>
      <c r="R708" s="2"/>
    </row>
    <row r="709" spans="1:18" s="292" customFormat="1">
      <c r="A709" s="239" t="s">
        <v>362</v>
      </c>
      <c r="B709" s="246"/>
      <c r="C709" s="247">
        <v>913270.88847378257</v>
      </c>
      <c r="D709" s="247"/>
      <c r="E709" s="291">
        <v>0.61</v>
      </c>
      <c r="F709" s="248"/>
      <c r="G709" s="248">
        <v>557095</v>
      </c>
      <c r="I709" s="40"/>
      <c r="J709" s="3"/>
      <c r="K709" s="6"/>
      <c r="L709" s="3"/>
      <c r="M709" s="40"/>
      <c r="N709" s="3"/>
      <c r="O709" s="6"/>
      <c r="Q709" s="2"/>
      <c r="R709" s="2"/>
    </row>
    <row r="710" spans="1:18" s="292" customFormat="1">
      <c r="A710" s="239" t="s">
        <v>367</v>
      </c>
      <c r="B710" s="246"/>
      <c r="C710" s="247">
        <v>172556856.82849827</v>
      </c>
      <c r="D710" s="247"/>
      <c r="E710" s="294">
        <v>5.7290000000000001</v>
      </c>
      <c r="F710" s="295" t="s">
        <v>153</v>
      </c>
      <c r="G710" s="248">
        <v>9885782</v>
      </c>
      <c r="I710" s="40"/>
      <c r="J710" s="3"/>
      <c r="K710" s="6"/>
      <c r="L710" s="3"/>
      <c r="M710" s="40"/>
      <c r="N710" s="3"/>
      <c r="O710" s="6"/>
      <c r="Q710" s="2"/>
      <c r="R710" s="2"/>
    </row>
    <row r="711" spans="1:18" s="246" customFormat="1">
      <c r="A711" s="239" t="s">
        <v>341</v>
      </c>
      <c r="C711" s="296">
        <v>172556856.82849827</v>
      </c>
      <c r="D711" s="297"/>
      <c r="E711" s="248"/>
      <c r="F711" s="248"/>
      <c r="G711" s="298">
        <v>11901211</v>
      </c>
      <c r="I711" s="40"/>
      <c r="J711" s="3"/>
      <c r="K711" s="6"/>
      <c r="L711" s="3"/>
      <c r="M711" s="40"/>
      <c r="N711" s="3"/>
      <c r="O711" s="6"/>
      <c r="Q711" s="2"/>
      <c r="R711" s="2"/>
    </row>
    <row r="712" spans="1:18" s="246" customFormat="1">
      <c r="A712" s="299" t="s">
        <v>342</v>
      </c>
      <c r="C712" s="247"/>
      <c r="G712" s="248"/>
      <c r="I712" s="40"/>
      <c r="J712" s="3"/>
      <c r="K712" s="6"/>
      <c r="L712" s="3"/>
      <c r="M712" s="40"/>
      <c r="N712" s="3"/>
      <c r="O712" s="6"/>
      <c r="Q712" s="2"/>
      <c r="R712" s="2"/>
    </row>
    <row r="713" spans="1:18" s="246" customFormat="1">
      <c r="A713" s="245" t="s">
        <v>344</v>
      </c>
      <c r="C713" s="247"/>
      <c r="D713" s="247"/>
      <c r="E713" s="248"/>
      <c r="F713" s="248"/>
      <c r="G713" s="248"/>
      <c r="I713" s="40"/>
      <c r="J713" s="3"/>
      <c r="K713" s="6"/>
      <c r="L713" s="3"/>
      <c r="M713" s="40"/>
      <c r="N713" s="3"/>
      <c r="O713" s="6"/>
      <c r="Q713" s="2"/>
      <c r="R713" s="2"/>
    </row>
    <row r="714" spans="1:18" s="246" customFormat="1">
      <c r="A714" s="239" t="s">
        <v>177</v>
      </c>
      <c r="C714" s="247">
        <v>41882.545256487327</v>
      </c>
      <c r="D714" s="247"/>
      <c r="E714" s="300">
        <v>2.2799999999999998</v>
      </c>
      <c r="F714" s="300"/>
      <c r="G714" s="301">
        <v>95492</v>
      </c>
      <c r="I714" s="40"/>
      <c r="J714" s="3"/>
      <c r="K714" s="6"/>
      <c r="L714" s="3"/>
      <c r="M714" s="40"/>
      <c r="N714" s="3"/>
      <c r="O714" s="6"/>
      <c r="Q714" s="2"/>
      <c r="R714" s="2"/>
    </row>
    <row r="715" spans="1:18" s="246" customFormat="1">
      <c r="A715" s="84" t="s">
        <v>213</v>
      </c>
      <c r="C715" s="227">
        <v>15180.02958676651</v>
      </c>
      <c r="D715" s="247"/>
      <c r="E715" s="300">
        <v>14.33</v>
      </c>
      <c r="F715" s="300"/>
      <c r="G715" s="6">
        <v>217530</v>
      </c>
      <c r="I715" s="47">
        <v>0.37140874000000001</v>
      </c>
      <c r="J715" s="44"/>
      <c r="K715" s="6">
        <f t="shared" ref="K715:K720" si="174">$G715*I715</f>
        <v>80792.543212200006</v>
      </c>
      <c r="L715" s="3"/>
      <c r="M715" s="47">
        <f t="shared" ref="M715:M720" si="175">M$345</f>
        <v>0.38116348999999999</v>
      </c>
      <c r="N715" s="44"/>
      <c r="O715" s="6">
        <f t="shared" ref="O715:O720" si="176">$G715*M715</f>
        <v>82914.493979699997</v>
      </c>
      <c r="Q715" s="2"/>
      <c r="R715" s="2"/>
    </row>
    <row r="716" spans="1:18" s="246" customFormat="1">
      <c r="A716" s="84" t="s">
        <v>214</v>
      </c>
      <c r="C716" s="227">
        <v>26325.06937362958</v>
      </c>
      <c r="D716" s="247"/>
      <c r="E716" s="300">
        <v>12.68</v>
      </c>
      <c r="F716" s="300"/>
      <c r="G716" s="6">
        <v>333802</v>
      </c>
      <c r="I716" s="47">
        <v>0.37140874000000001</v>
      </c>
      <c r="J716" s="44"/>
      <c r="K716" s="6">
        <f t="shared" si="174"/>
        <v>123976.98022948</v>
      </c>
      <c r="L716" s="3"/>
      <c r="M716" s="47">
        <f t="shared" si="175"/>
        <v>0.38116348999999999</v>
      </c>
      <c r="N716" s="44"/>
      <c r="O716" s="6">
        <f t="shared" si="176"/>
        <v>127233.13528898</v>
      </c>
      <c r="Q716" s="2"/>
      <c r="R716" s="2"/>
    </row>
    <row r="717" spans="1:18" s="246" customFormat="1">
      <c r="A717" s="84" t="s">
        <v>152</v>
      </c>
      <c r="C717" s="227">
        <v>4703542.3042796534</v>
      </c>
      <c r="D717" s="247"/>
      <c r="E717" s="294">
        <v>5.1477000000000004</v>
      </c>
      <c r="F717" s="295" t="s">
        <v>153</v>
      </c>
      <c r="G717" s="6">
        <v>242124</v>
      </c>
      <c r="I717" s="47">
        <v>0.37140874000000001</v>
      </c>
      <c r="J717" s="44"/>
      <c r="K717" s="6">
        <f t="shared" si="174"/>
        <v>89926.969763760004</v>
      </c>
      <c r="L717" s="3"/>
      <c r="M717" s="47">
        <f t="shared" si="175"/>
        <v>0.38116348999999999</v>
      </c>
      <c r="N717" s="44"/>
      <c r="O717" s="6">
        <f t="shared" si="176"/>
        <v>92288.828852759994</v>
      </c>
      <c r="Q717" s="2"/>
      <c r="R717" s="2"/>
    </row>
    <row r="718" spans="1:18" s="246" customFormat="1">
      <c r="A718" s="84" t="s">
        <v>215</v>
      </c>
      <c r="C718" s="227">
        <v>4209024.1937161162</v>
      </c>
      <c r="D718" s="247"/>
      <c r="E718" s="294">
        <v>4.5555000000000003</v>
      </c>
      <c r="F718" s="295" t="s">
        <v>153</v>
      </c>
      <c r="G718" s="6">
        <v>191742</v>
      </c>
      <c r="I718" s="47">
        <v>0.37140874000000001</v>
      </c>
      <c r="J718" s="44"/>
      <c r="K718" s="6">
        <f t="shared" si="174"/>
        <v>71214.654625080002</v>
      </c>
      <c r="L718" s="3"/>
      <c r="M718" s="47">
        <f t="shared" si="175"/>
        <v>0.38116348999999999</v>
      </c>
      <c r="N718" s="44"/>
      <c r="O718" s="6">
        <f t="shared" si="176"/>
        <v>73085.049899580001</v>
      </c>
      <c r="Q718" s="2"/>
      <c r="R718" s="2"/>
    </row>
    <row r="719" spans="1:18" s="246" customFormat="1">
      <c r="A719" s="84" t="s">
        <v>154</v>
      </c>
      <c r="C719" s="227">
        <v>6552516.860153473</v>
      </c>
      <c r="D719" s="247"/>
      <c r="E719" s="294">
        <v>2.6164999999999998</v>
      </c>
      <c r="F719" s="295" t="s">
        <v>153</v>
      </c>
      <c r="G719" s="6">
        <v>171447</v>
      </c>
      <c r="I719" s="47">
        <v>0.37140874000000001</v>
      </c>
      <c r="J719" s="44"/>
      <c r="K719" s="6">
        <f t="shared" si="174"/>
        <v>63676.914246780005</v>
      </c>
      <c r="L719" s="3"/>
      <c r="M719" s="47">
        <f t="shared" si="175"/>
        <v>0.38116348999999999</v>
      </c>
      <c r="N719" s="44"/>
      <c r="O719" s="6">
        <f t="shared" si="176"/>
        <v>65349.336870029998</v>
      </c>
      <c r="Q719" s="2"/>
      <c r="R719" s="2"/>
    </row>
    <row r="720" spans="1:18" s="246" customFormat="1">
      <c r="A720" s="84" t="s">
        <v>216</v>
      </c>
      <c r="C720" s="227">
        <v>8628049.8133524694</v>
      </c>
      <c r="D720" s="247"/>
      <c r="E720" s="302">
        <v>2.3155000000000001</v>
      </c>
      <c r="F720" s="295" t="s">
        <v>153</v>
      </c>
      <c r="G720" s="6">
        <v>199782</v>
      </c>
      <c r="I720" s="47">
        <v>0.37140874000000001</v>
      </c>
      <c r="J720" s="44"/>
      <c r="K720" s="6">
        <f t="shared" si="174"/>
        <v>74200.780894680007</v>
      </c>
      <c r="L720" s="3"/>
      <c r="M720" s="47">
        <f t="shared" si="175"/>
        <v>0.38116348999999999</v>
      </c>
      <c r="N720" s="44"/>
      <c r="O720" s="6">
        <f t="shared" si="176"/>
        <v>76149.604359179997</v>
      </c>
      <c r="Q720" s="2"/>
      <c r="R720" s="2"/>
    </row>
    <row r="721" spans="1:18" s="246" customFormat="1" ht="16.5" thickBot="1">
      <c r="A721" s="239" t="s">
        <v>345</v>
      </c>
      <c r="C721" s="303">
        <v>196649989.99999997</v>
      </c>
      <c r="D721" s="247"/>
      <c r="E721" s="248"/>
      <c r="F721" s="248"/>
      <c r="G721" s="304">
        <v>13353130</v>
      </c>
      <c r="I721" s="48"/>
      <c r="J721" s="3"/>
      <c r="K721" s="13">
        <f>SUM(K715:K720)</f>
        <v>503788.84297197999</v>
      </c>
      <c r="L721" s="3"/>
      <c r="M721" s="48"/>
      <c r="N721" s="3"/>
      <c r="O721" s="13">
        <f>SUM(O715:O720)</f>
        <v>517020.44925022998</v>
      </c>
      <c r="Q721" s="2"/>
      <c r="R721" s="2"/>
    </row>
    <row r="722" spans="1:18" s="246" customFormat="1" ht="16.5" thickTop="1">
      <c r="C722" s="247"/>
      <c r="G722" s="248"/>
      <c r="I722" s="40"/>
      <c r="J722" s="3"/>
      <c r="K722" s="6"/>
      <c r="L722" s="3"/>
      <c r="M722" s="40"/>
      <c r="N722" s="3"/>
      <c r="O722" s="6"/>
      <c r="Q722" s="2"/>
      <c r="R722" s="2"/>
    </row>
    <row r="723" spans="1:18" s="246" customFormat="1">
      <c r="A723" s="245" t="s">
        <v>368</v>
      </c>
      <c r="C723" s="247"/>
      <c r="D723" s="247"/>
      <c r="G723" s="248"/>
      <c r="I723" s="40"/>
      <c r="J723" s="3"/>
      <c r="K723" s="6"/>
      <c r="L723" s="3"/>
      <c r="M723" s="40"/>
      <c r="N723" s="3"/>
      <c r="O723" s="6"/>
      <c r="Q723" s="2"/>
      <c r="R723" s="2"/>
    </row>
    <row r="724" spans="1:18" s="246" customFormat="1">
      <c r="A724" s="84" t="s">
        <v>369</v>
      </c>
      <c r="C724" s="247">
        <v>12</v>
      </c>
      <c r="D724" s="247"/>
      <c r="G724" s="248"/>
      <c r="I724" s="40"/>
      <c r="J724" s="3"/>
      <c r="K724" s="6"/>
      <c r="L724" s="3"/>
      <c r="M724" s="40"/>
      <c r="N724" s="3"/>
      <c r="O724" s="6"/>
      <c r="Q724" s="2"/>
      <c r="R724" s="2"/>
    </row>
    <row r="725" spans="1:18" s="246" customFormat="1" ht="16.5" thickBot="1">
      <c r="A725" s="239" t="s">
        <v>370</v>
      </c>
      <c r="C725" s="303">
        <v>242230000</v>
      </c>
      <c r="D725" s="247"/>
      <c r="E725" s="259">
        <v>5.3783000000000003</v>
      </c>
      <c r="F725" s="232" t="s">
        <v>153</v>
      </c>
      <c r="G725" s="305">
        <v>13027758.191234671</v>
      </c>
      <c r="I725" s="48"/>
      <c r="J725" s="3"/>
      <c r="K725" s="13">
        <v>0</v>
      </c>
      <c r="L725" s="3"/>
      <c r="M725" s="48"/>
      <c r="N725" s="3"/>
      <c r="O725" s="13">
        <v>0</v>
      </c>
      <c r="Q725" s="2"/>
      <c r="R725" s="2"/>
    </row>
    <row r="726" spans="1:18" ht="16.5" thickTop="1"/>
    <row r="727" spans="1:18">
      <c r="A727" s="228" t="s">
        <v>49</v>
      </c>
    </row>
    <row r="728" spans="1:18">
      <c r="A728" s="84" t="s">
        <v>371</v>
      </c>
      <c r="C728" s="227">
        <v>12</v>
      </c>
      <c r="E728" s="300">
        <v>232</v>
      </c>
      <c r="F728" s="49"/>
      <c r="G728" s="6">
        <v>2784</v>
      </c>
    </row>
    <row r="729" spans="1:18">
      <c r="A729" s="84" t="s">
        <v>372</v>
      </c>
      <c r="C729" s="227">
        <v>1004562</v>
      </c>
      <c r="E729" s="300">
        <v>1.92</v>
      </c>
      <c r="F729" s="49"/>
      <c r="G729" s="6">
        <v>1928759</v>
      </c>
      <c r="Q729" s="255" t="s">
        <v>145</v>
      </c>
      <c r="R729" s="7">
        <f>O736</f>
        <v>7393695.7092246599</v>
      </c>
    </row>
    <row r="730" spans="1:18">
      <c r="A730" s="84" t="s">
        <v>373</v>
      </c>
      <c r="C730" s="227">
        <v>381956</v>
      </c>
      <c r="E730" s="300">
        <v>12.93</v>
      </c>
      <c r="F730" s="49"/>
      <c r="G730" s="6">
        <v>4938691</v>
      </c>
      <c r="I730" s="236">
        <v>0.22596479</v>
      </c>
      <c r="J730" s="44"/>
      <c r="K730" s="6">
        <f t="shared" ref="K730:K735" si="177">$G730*I730</f>
        <v>1115970.27468989</v>
      </c>
      <c r="M730" s="236">
        <f>R732</f>
        <v>0.24692734</v>
      </c>
      <c r="N730" s="44"/>
      <c r="O730" s="6">
        <f t="shared" ref="O730:O735" si="178">$G730*M730</f>
        <v>1219497.83171194</v>
      </c>
      <c r="Q730" s="230" t="s">
        <v>147</v>
      </c>
      <c r="R730" s="8">
        <f>'Exhibit-RMP(RMM-1) page 2'!K34*1000</f>
        <v>7393695.7485229466</v>
      </c>
    </row>
    <row r="731" spans="1:18">
      <c r="A731" s="84" t="s">
        <v>374</v>
      </c>
      <c r="C731" s="227">
        <v>622606</v>
      </c>
      <c r="E731" s="300">
        <v>8.67</v>
      </c>
      <c r="F731" s="49"/>
      <c r="G731" s="6">
        <v>5397994</v>
      </c>
      <c r="I731" s="47">
        <v>0.22596479</v>
      </c>
      <c r="J731" s="44"/>
      <c r="K731" s="6">
        <f t="shared" si="177"/>
        <v>1219756.5806312601</v>
      </c>
      <c r="M731" s="47">
        <f>M$730</f>
        <v>0.24692734</v>
      </c>
      <c r="N731" s="44"/>
      <c r="O731" s="6">
        <f t="shared" si="178"/>
        <v>1332912.29975596</v>
      </c>
      <c r="Q731" s="231" t="s">
        <v>148</v>
      </c>
      <c r="R731" s="9">
        <f>R730-R729</f>
        <v>3.9298286661505699E-2</v>
      </c>
    </row>
    <row r="732" spans="1:18">
      <c r="A732" s="84" t="s">
        <v>375</v>
      </c>
      <c r="C732" s="227">
        <v>101240704</v>
      </c>
      <c r="E732" s="259">
        <v>4.3940000000000001</v>
      </c>
      <c r="F732" s="232" t="s">
        <v>153</v>
      </c>
      <c r="G732" s="6">
        <v>4448517</v>
      </c>
      <c r="I732" s="47">
        <v>0.22596479</v>
      </c>
      <c r="J732" s="44"/>
      <c r="K732" s="6">
        <f t="shared" si="177"/>
        <v>1005208.2097164301</v>
      </c>
      <c r="M732" s="47">
        <f t="shared" ref="M732:M735" si="179">M$730</f>
        <v>0.24692734</v>
      </c>
      <c r="N732" s="44"/>
      <c r="O732" s="6">
        <f t="shared" si="178"/>
        <v>1098460.4697547799</v>
      </c>
      <c r="Q732" s="31" t="s">
        <v>149</v>
      </c>
      <c r="R732" s="233">
        <f>ROUND(R730/SUM(G730:G735),$R$9)</f>
        <v>0.24692734</v>
      </c>
    </row>
    <row r="733" spans="1:18">
      <c r="A733" s="84" t="s">
        <v>376</v>
      </c>
      <c r="C733" s="227">
        <v>142951672</v>
      </c>
      <c r="E733" s="259">
        <v>2.76</v>
      </c>
      <c r="F733" s="232" t="s">
        <v>153</v>
      </c>
      <c r="G733" s="6">
        <v>3945466</v>
      </c>
      <c r="I733" s="47">
        <v>0.22596479</v>
      </c>
      <c r="J733" s="44"/>
      <c r="K733" s="6">
        <f t="shared" si="177"/>
        <v>891536.39614214003</v>
      </c>
      <c r="M733" s="47">
        <f t="shared" si="179"/>
        <v>0.24692734</v>
      </c>
      <c r="N733" s="44"/>
      <c r="O733" s="6">
        <f t="shared" si="178"/>
        <v>974243.42444044002</v>
      </c>
    </row>
    <row r="734" spans="1:18">
      <c r="A734" s="84" t="s">
        <v>377</v>
      </c>
      <c r="C734" s="227">
        <v>168476287</v>
      </c>
      <c r="E734" s="259">
        <v>3.306</v>
      </c>
      <c r="F734" s="232" t="s">
        <v>153</v>
      </c>
      <c r="G734" s="6">
        <v>5569826</v>
      </c>
      <c r="I734" s="47">
        <v>0.22596479</v>
      </c>
      <c r="J734" s="44"/>
      <c r="K734" s="6">
        <f t="shared" si="177"/>
        <v>1258584.5624265401</v>
      </c>
      <c r="M734" s="47">
        <f t="shared" si="179"/>
        <v>0.24692734</v>
      </c>
      <c r="N734" s="44"/>
      <c r="O734" s="6">
        <f t="shared" si="178"/>
        <v>1375342.3184428399</v>
      </c>
    </row>
    <row r="735" spans="1:18">
      <c r="A735" s="84" t="s">
        <v>378</v>
      </c>
      <c r="C735" s="306">
        <v>204431337</v>
      </c>
      <c r="E735" s="259">
        <v>2.76</v>
      </c>
      <c r="F735" s="232" t="s">
        <v>153</v>
      </c>
      <c r="G735" s="6">
        <v>5642305</v>
      </c>
      <c r="I735" s="47">
        <v>0.22596479</v>
      </c>
      <c r="J735" s="44"/>
      <c r="K735" s="6">
        <f t="shared" si="177"/>
        <v>1274962.26444095</v>
      </c>
      <c r="M735" s="47">
        <f t="shared" si="179"/>
        <v>0.24692734</v>
      </c>
      <c r="N735" s="44"/>
      <c r="O735" s="6">
        <f t="shared" si="178"/>
        <v>1393239.3651187001</v>
      </c>
    </row>
    <row r="736" spans="1:18" ht="16.5" thickBot="1">
      <c r="A736" s="84" t="s">
        <v>162</v>
      </c>
      <c r="C736" s="258">
        <v>617100000</v>
      </c>
      <c r="E736" s="307"/>
      <c r="F736" s="49"/>
      <c r="G736" s="13">
        <v>31874342</v>
      </c>
      <c r="I736" s="48"/>
      <c r="K736" s="13">
        <f>SUM(K730:K735)</f>
        <v>6766018.2880472103</v>
      </c>
      <c r="M736" s="48"/>
      <c r="O736" s="13">
        <f>SUM(O730:O735)</f>
        <v>7393695.7092246599</v>
      </c>
    </row>
    <row r="737" spans="1:18" ht="16.5" thickTop="1"/>
    <row r="738" spans="1:18">
      <c r="A738" s="228" t="s">
        <v>50</v>
      </c>
      <c r="E738" s="49"/>
      <c r="F738" s="49"/>
    </row>
    <row r="739" spans="1:18">
      <c r="A739" s="84" t="s">
        <v>174</v>
      </c>
      <c r="C739" s="227">
        <v>12</v>
      </c>
      <c r="Q739" s="255" t="s">
        <v>145</v>
      </c>
      <c r="R739" s="7">
        <f>O744</f>
        <v>7417998.3467195705</v>
      </c>
    </row>
    <row r="740" spans="1:18">
      <c r="A740" s="239" t="s">
        <v>379</v>
      </c>
      <c r="C740" s="227">
        <v>57264151</v>
      </c>
      <c r="E740" s="259">
        <v>6.5679999999999996</v>
      </c>
      <c r="F740" s="232" t="s">
        <v>153</v>
      </c>
      <c r="G740" s="6">
        <v>3761109</v>
      </c>
      <c r="I740" s="236">
        <v>0.21227161999999999</v>
      </c>
      <c r="J740" s="44"/>
      <c r="K740" s="6">
        <f>$G740*I740</f>
        <v>798376.70042658004</v>
      </c>
      <c r="M740" s="236">
        <f>R742</f>
        <v>0.23196386999999999</v>
      </c>
      <c r="N740" s="44"/>
      <c r="O740" s="6">
        <f>$G740*M740</f>
        <v>872441.39913182997</v>
      </c>
      <c r="Q740" s="230" t="s">
        <v>147</v>
      </c>
      <c r="R740" s="8">
        <f>'Exhibit-RMP(RMM-1) page 2'!K35*1000</f>
        <v>7417998.3712995052</v>
      </c>
    </row>
    <row r="741" spans="1:18">
      <c r="A741" s="239" t="s">
        <v>380</v>
      </c>
      <c r="C741" s="227">
        <v>179663027</v>
      </c>
      <c r="E741" s="259">
        <v>4.9409999999999998</v>
      </c>
      <c r="F741" s="232" t="s">
        <v>153</v>
      </c>
      <c r="G741" s="6">
        <v>8877150</v>
      </c>
      <c r="I741" s="47">
        <v>0.21227161999999999</v>
      </c>
      <c r="J741" s="44"/>
      <c r="K741" s="6">
        <f>$G741*I741</f>
        <v>1884367.0114829999</v>
      </c>
      <c r="M741" s="47">
        <f>M$740</f>
        <v>0.23196386999999999</v>
      </c>
      <c r="N741" s="44"/>
      <c r="O741" s="6">
        <f>$G741*M741</f>
        <v>2059178.0685705</v>
      </c>
      <c r="Q741" s="231" t="s">
        <v>148</v>
      </c>
      <c r="R741" s="9">
        <f>R740-R739</f>
        <v>2.4579934775829315E-2</v>
      </c>
    </row>
    <row r="742" spans="1:18">
      <c r="A742" s="239" t="s">
        <v>381</v>
      </c>
      <c r="C742" s="227">
        <v>239492625.9472512</v>
      </c>
      <c r="E742" s="259">
        <v>4.1280000000000001</v>
      </c>
      <c r="F742" s="232" t="s">
        <v>153</v>
      </c>
      <c r="G742" s="6">
        <v>9886256</v>
      </c>
      <c r="I742" s="47">
        <v>0.21227161999999999</v>
      </c>
      <c r="J742" s="44"/>
      <c r="K742" s="6">
        <f>$G742*I742</f>
        <v>2098571.5768547198</v>
      </c>
      <c r="M742" s="47">
        <f t="shared" ref="M742:M743" si="180">M$740</f>
        <v>0.23196386999999999</v>
      </c>
      <c r="N742" s="44"/>
      <c r="O742" s="6">
        <f>$G742*M742</f>
        <v>2293254.2015707199</v>
      </c>
      <c r="Q742" s="31" t="s">
        <v>149</v>
      </c>
      <c r="R742" s="233">
        <f>ROUND(R740/SUM(G740:G743),$R$9)</f>
        <v>0.23196386999999999</v>
      </c>
    </row>
    <row r="743" spans="1:18">
      <c r="A743" s="239" t="s">
        <v>382</v>
      </c>
      <c r="C743" s="306">
        <v>229035744.99930882</v>
      </c>
      <c r="E743" s="259">
        <v>4.1280000000000001</v>
      </c>
      <c r="F743" s="232" t="s">
        <v>153</v>
      </c>
      <c r="G743" s="11">
        <v>9454596</v>
      </c>
      <c r="I743" s="47">
        <v>0.21227161999999999</v>
      </c>
      <c r="J743" s="44"/>
      <c r="K743" s="6">
        <f>$G743*I743</f>
        <v>2006942.4093655199</v>
      </c>
      <c r="M743" s="47">
        <f t="shared" si="180"/>
        <v>0.23196386999999999</v>
      </c>
      <c r="N743" s="44"/>
      <c r="O743" s="6">
        <f>$G743*M743</f>
        <v>2193124.67744652</v>
      </c>
    </row>
    <row r="744" spans="1:18" ht="16.5" thickBot="1">
      <c r="A744" s="84" t="s">
        <v>162</v>
      </c>
      <c r="C744" s="308">
        <v>705455548.94656003</v>
      </c>
      <c r="E744" s="309"/>
      <c r="F744" s="49"/>
      <c r="G744" s="12">
        <v>31979111</v>
      </c>
      <c r="I744" s="48"/>
      <c r="K744" s="13">
        <f>SUM(K740:K743)</f>
        <v>6788257.6981298197</v>
      </c>
      <c r="M744" s="48"/>
      <c r="O744" s="13">
        <f>SUM(O740:O743)</f>
        <v>7417998.3467195705</v>
      </c>
    </row>
    <row r="745" spans="1:18" ht="16.5" thickTop="1">
      <c r="A745" s="84"/>
      <c r="E745" s="47"/>
      <c r="F745" s="47"/>
    </row>
    <row r="746" spans="1:18">
      <c r="A746" s="228" t="s">
        <v>51</v>
      </c>
      <c r="E746" s="49"/>
      <c r="F746" s="49"/>
    </row>
    <row r="747" spans="1:18">
      <c r="A747" s="84" t="s">
        <v>174</v>
      </c>
      <c r="C747" s="227">
        <v>12</v>
      </c>
    </row>
    <row r="748" spans="1:18">
      <c r="A748" s="84" t="s">
        <v>383</v>
      </c>
      <c r="C748" s="227">
        <v>376680000</v>
      </c>
      <c r="E748" s="259">
        <v>5.8418999999999999</v>
      </c>
      <c r="F748" s="232" t="s">
        <v>153</v>
      </c>
      <c r="G748" s="6">
        <v>22005408.239999995</v>
      </c>
    </row>
    <row r="749" spans="1:18">
      <c r="A749" s="84" t="s">
        <v>384</v>
      </c>
      <c r="E749" s="259"/>
      <c r="F749" s="232"/>
    </row>
    <row r="750" spans="1:18">
      <c r="A750" s="84" t="s">
        <v>385</v>
      </c>
      <c r="C750" s="227">
        <v>911946197</v>
      </c>
      <c r="E750" s="259">
        <v>4.4905999999999997</v>
      </c>
      <c r="F750" s="232" t="s">
        <v>153</v>
      </c>
      <c r="G750" s="6">
        <v>40952184.777309686</v>
      </c>
    </row>
    <row r="751" spans="1:18" ht="16.5" thickBot="1">
      <c r="A751" s="84" t="s">
        <v>370</v>
      </c>
      <c r="C751" s="258">
        <v>1288626197</v>
      </c>
      <c r="E751" s="307"/>
      <c r="F751" s="49"/>
      <c r="G751" s="13">
        <v>62957593.017309681</v>
      </c>
      <c r="I751" s="48"/>
      <c r="K751" s="13">
        <v>0</v>
      </c>
      <c r="M751" s="48"/>
      <c r="O751" s="13">
        <v>0</v>
      </c>
    </row>
    <row r="752" spans="1:18" ht="16.5" thickTop="1">
      <c r="E752" s="49"/>
      <c r="F752" s="49"/>
    </row>
    <row r="753" spans="1:15">
      <c r="A753" s="228" t="s">
        <v>386</v>
      </c>
    </row>
    <row r="754" spans="1:15">
      <c r="A754" s="84" t="s">
        <v>10</v>
      </c>
      <c r="C754" s="277">
        <v>4</v>
      </c>
    </row>
    <row r="755" spans="1:15">
      <c r="A755" s="84" t="s">
        <v>387</v>
      </c>
      <c r="C755" s="227">
        <v>48</v>
      </c>
      <c r="E755" s="54">
        <v>2.1800000000000002</v>
      </c>
      <c r="F755" s="44"/>
      <c r="G755" s="6">
        <v>105</v>
      </c>
    </row>
    <row r="756" spans="1:15">
      <c r="A756" s="84" t="s">
        <v>388</v>
      </c>
      <c r="C756" s="227">
        <v>207</v>
      </c>
      <c r="E756" s="55">
        <v>2.1858</v>
      </c>
      <c r="F756" s="232"/>
      <c r="G756" s="6">
        <v>452</v>
      </c>
    </row>
    <row r="757" spans="1:15">
      <c r="A757" s="84" t="s">
        <v>389</v>
      </c>
      <c r="C757" s="306">
        <v>255</v>
      </c>
      <c r="E757" s="310"/>
      <c r="F757" s="232"/>
      <c r="G757" s="311">
        <v>557</v>
      </c>
    </row>
    <row r="758" spans="1:15" ht="16.5" thickBot="1">
      <c r="A758" s="84" t="s">
        <v>124</v>
      </c>
      <c r="C758" s="278">
        <v>7387</v>
      </c>
      <c r="E758" s="18"/>
      <c r="F758" s="50"/>
      <c r="G758" s="169">
        <v>557</v>
      </c>
      <c r="I758" s="48"/>
      <c r="K758" s="13">
        <v>0</v>
      </c>
      <c r="M758" s="48"/>
      <c r="O758" s="13">
        <v>0</v>
      </c>
    </row>
    <row r="759" spans="1:15" ht="16.5" thickTop="1">
      <c r="E759" s="49"/>
      <c r="F759" s="49"/>
    </row>
    <row r="760" spans="1:15">
      <c r="A760" s="228" t="s">
        <v>390</v>
      </c>
      <c r="E760" s="49"/>
      <c r="F760" s="49"/>
    </row>
    <row r="761" spans="1:15">
      <c r="A761" s="84" t="s">
        <v>391</v>
      </c>
      <c r="C761" s="199"/>
      <c r="E761" s="49"/>
      <c r="F761" s="49"/>
      <c r="G761" s="6">
        <v>6795.090000000062</v>
      </c>
    </row>
    <row r="762" spans="1:15">
      <c r="A762" s="84" t="s">
        <v>392</v>
      </c>
      <c r="C762" s="199"/>
      <c r="E762" s="49"/>
      <c r="F762" s="49"/>
      <c r="G762" s="6">
        <v>3742344.1399999997</v>
      </c>
    </row>
    <row r="763" spans="1:15">
      <c r="A763" s="84" t="s">
        <v>393</v>
      </c>
      <c r="C763" s="199"/>
      <c r="E763" s="49"/>
      <c r="F763" s="49"/>
      <c r="G763" s="6">
        <v>823369.79999999993</v>
      </c>
    </row>
    <row r="764" spans="1:15">
      <c r="A764" s="84" t="s">
        <v>394</v>
      </c>
      <c r="C764" s="199"/>
      <c r="E764" s="49"/>
      <c r="F764" s="49"/>
      <c r="G764" s="6">
        <v>231622.84</v>
      </c>
    </row>
    <row r="765" spans="1:15">
      <c r="A765" s="84" t="s">
        <v>395</v>
      </c>
      <c r="C765" s="199"/>
      <c r="E765" s="49"/>
      <c r="F765" s="49"/>
      <c r="G765" s="6">
        <v>4655.0400000000009</v>
      </c>
    </row>
    <row r="766" spans="1:15" ht="16.5" thickBot="1">
      <c r="A766" s="84" t="s">
        <v>396</v>
      </c>
      <c r="C766" s="200"/>
      <c r="E766" s="309"/>
      <c r="F766" s="49"/>
      <c r="G766" s="12">
        <v>4808786.9099999992</v>
      </c>
      <c r="I766" s="48"/>
      <c r="K766" s="13">
        <v>0</v>
      </c>
      <c r="M766" s="48"/>
      <c r="O766" s="13">
        <v>0</v>
      </c>
    </row>
    <row r="767" spans="1:15" ht="16.5" thickTop="1">
      <c r="E767" s="49"/>
      <c r="F767" s="49"/>
    </row>
    <row r="768" spans="1:15" ht="16.5" thickBot="1">
      <c r="A768" s="67" t="s">
        <v>397</v>
      </c>
      <c r="B768" s="67"/>
      <c r="C768" s="200">
        <v>24837388160.662254</v>
      </c>
      <c r="E768" s="67"/>
      <c r="G768" s="12">
        <f>G28+G49+G69+G90+G111+G132+G195-G207+G221-G232+G246-G257+G271-G281+G146+G158+G170+G181+G296+G309+G316+G328+G340+G351+G362+G377+G394+G409+G431+G499+G507+G512+G526+G536+G589+G602+G616+G678+G721+G725+G736+G744+G751+G758+G766</f>
        <v>2033141225.3536203</v>
      </c>
      <c r="I768" s="48"/>
      <c r="K768" s="13">
        <f>SUM(K28,K49,K69,K90,K111,K132,K195-K207,K221-K232,K246-K257,K271-K281,K146,K158,K170,K181,K296,K309,K316,K328,K340,K351,K362,K377,K394,K409,K431,K499,K507,K512,K526,K536,K574,K589,K602,K616,K669,K677,K721,K725,K736,K744,K751,K758,K766)</f>
        <v>431578188.25682575</v>
      </c>
      <c r="M768" s="48"/>
      <c r="O768" s="13">
        <f>SUM(O28,O49,O69,O90,O111,O132,O195-O207,O221-O232,O246-O257,O271-O281,O146,O158,O170,O181,O296,O309,O316,O328,O340,O351,O362,O377,O394,O409,O431,O499,O507,O512,O526,O536,O574,O589,O602,O616,O678,O721,O725,O736,O744,O751,O758,O766)</f>
        <v>471615305.25667536</v>
      </c>
    </row>
    <row r="769" spans="5:15" ht="16.5" thickTop="1">
      <c r="K769" s="6">
        <f>K768-'Exhibit-RMP(RMM-1) page 1'!M49*1000</f>
        <v>0</v>
      </c>
      <c r="O769" s="6">
        <f>O768-'Exhibit-RMP(RMM-1) page 2'!K49*1000</f>
        <v>-3.189719021320343</v>
      </c>
    </row>
    <row r="770" spans="5:15">
      <c r="E770" s="312"/>
      <c r="O770" s="6">
        <f>O768-'Exhibit-RMP(RMM-1) page 1'!S49*1000</f>
        <v>0</v>
      </c>
    </row>
    <row r="772" spans="5:15">
      <c r="G772" s="313"/>
    </row>
  </sheetData>
  <pageMargins left="0.7" right="0.7" top="0.75" bottom="0.75" header="0.3" footer="0.3"/>
  <pageSetup scale="66" orientation="portrait" r:id="rId1"/>
  <rowBreaks count="17" manualBreakCount="17">
    <brk id="50" max="14" man="1"/>
    <brk id="91" max="14" man="1"/>
    <brk id="133" max="14" man="1"/>
    <brk id="171" max="14" man="1"/>
    <brk id="208" max="14" man="1"/>
    <brk id="282" max="14" man="1"/>
    <brk id="317" max="14" man="1"/>
    <brk id="363" max="14" man="1"/>
    <brk id="410" max="14" man="1"/>
    <brk id="446" max="14" man="1"/>
    <brk id="477" max="14" man="1"/>
    <brk id="513" max="14" man="1"/>
    <brk id="538" max="14" man="1"/>
    <brk id="590" max="14" man="1"/>
    <brk id="617" max="14" man="1"/>
    <brk id="658" max="14" man="1"/>
    <brk id="711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G26"/>
  <sheetViews>
    <sheetView topLeftCell="A3" zoomScale="80" zoomScaleNormal="80" workbookViewId="0">
      <selection activeCell="C20" sqref="C20"/>
    </sheetView>
  </sheetViews>
  <sheetFormatPr defaultColWidth="9" defaultRowHeight="15.75"/>
  <cols>
    <col min="1" max="1" width="12.625" style="3" customWidth="1"/>
    <col min="2" max="2" width="1.625" style="3" customWidth="1"/>
    <col min="3" max="3" width="12.625" style="40" customWidth="1"/>
    <col min="4" max="4" width="1.625" style="2" customWidth="1"/>
    <col min="5" max="5" width="12.625" style="2" customWidth="1"/>
    <col min="6" max="6" width="4.25" style="2" customWidth="1"/>
    <col min="7" max="7" width="14.375" style="2" customWidth="1"/>
    <col min="8" max="16384" width="9" style="2"/>
  </cols>
  <sheetData>
    <row r="1" spans="1:7" ht="18.75">
      <c r="A1" s="1" t="s">
        <v>398</v>
      </c>
      <c r="B1" s="83"/>
      <c r="C1" s="175"/>
      <c r="D1" s="176"/>
      <c r="E1" s="176"/>
      <c r="F1" s="176"/>
    </row>
    <row r="2" spans="1:7">
      <c r="C2" s="177"/>
    </row>
    <row r="3" spans="1:7">
      <c r="C3" s="42" t="s">
        <v>399</v>
      </c>
      <c r="D3" s="178"/>
      <c r="E3" s="178"/>
      <c r="F3" s="176"/>
    </row>
    <row r="4" spans="1:7">
      <c r="A4" s="179" t="s">
        <v>400</v>
      </c>
      <c r="C4" s="183" t="s">
        <v>401</v>
      </c>
      <c r="D4" s="180"/>
      <c r="E4" s="184" t="s">
        <v>402</v>
      </c>
      <c r="F4" s="472"/>
      <c r="G4" s="473" t="s">
        <v>403</v>
      </c>
    </row>
    <row r="5" spans="1:7">
      <c r="A5" s="181">
        <v>1</v>
      </c>
      <c r="C5" s="194">
        <f>'Exhibit-RMP(RMM-2)'!I21</f>
        <v>0.19879865999999999</v>
      </c>
      <c r="D5" s="194"/>
      <c r="E5" s="194">
        <f>'Exhibit-RMP(RMM-2)'!M21</f>
        <v>0.22135184999999999</v>
      </c>
      <c r="F5" s="194"/>
      <c r="G5" s="471">
        <f>(E5-C5)/C5</f>
        <v>0.11344739446432889</v>
      </c>
    </row>
    <row r="6" spans="1:7">
      <c r="A6" s="181">
        <v>2</v>
      </c>
      <c r="C6" s="194">
        <f>$C$5</f>
        <v>0.19879865999999999</v>
      </c>
      <c r="D6" s="194"/>
      <c r="E6" s="194">
        <f>$E$5</f>
        <v>0.22135184999999999</v>
      </c>
      <c r="F6" s="194"/>
      <c r="G6" s="471">
        <f t="shared" ref="G6:G21" si="0">(E6-C6)/C6</f>
        <v>0.11344739446432889</v>
      </c>
    </row>
    <row r="7" spans="1:7">
      <c r="A7" s="181" t="s">
        <v>404</v>
      </c>
      <c r="C7" s="194">
        <f t="shared" ref="C7:C8" si="1">$C$5</f>
        <v>0.19879865999999999</v>
      </c>
      <c r="D7" s="194"/>
      <c r="E7" s="194">
        <f t="shared" ref="E7:E8" si="2">$E$5</f>
        <v>0.22135184999999999</v>
      </c>
      <c r="F7" s="194"/>
      <c r="G7" s="471">
        <f t="shared" si="0"/>
        <v>0.11344739446432889</v>
      </c>
    </row>
    <row r="8" spans="1:7">
      <c r="A8" s="181">
        <v>3</v>
      </c>
      <c r="C8" s="194">
        <f t="shared" si="1"/>
        <v>0.19879865999999999</v>
      </c>
      <c r="D8" s="194"/>
      <c r="E8" s="194">
        <f t="shared" si="2"/>
        <v>0.22135184999999999</v>
      </c>
      <c r="F8" s="194"/>
      <c r="G8" s="471">
        <f t="shared" si="0"/>
        <v>0.11344739446432889</v>
      </c>
    </row>
    <row r="9" spans="1:7">
      <c r="A9" s="181">
        <v>6</v>
      </c>
      <c r="C9" s="194">
        <f>'Exhibit-RMP(RMM-2)'!I139</f>
        <v>0.26373608999999998</v>
      </c>
      <c r="D9" s="194"/>
      <c r="E9" s="194">
        <f>'Exhibit-RMP(RMM-2)'!M139</f>
        <v>0.29365625000000001</v>
      </c>
      <c r="F9" s="194"/>
      <c r="G9" s="471">
        <f t="shared" si="0"/>
        <v>0.11344734806677399</v>
      </c>
    </row>
    <row r="10" spans="1:7">
      <c r="A10" s="181" t="s">
        <v>34</v>
      </c>
      <c r="C10" s="194">
        <f>'Exhibit-RMP(RMM-2)'!I284</f>
        <v>0.24504975000000001</v>
      </c>
      <c r="D10" s="194"/>
      <c r="E10" s="194">
        <f>'Exhibit-RMP(RMM-2)'!M284</f>
        <v>0.27285002000000003</v>
      </c>
      <c r="F10" s="194"/>
      <c r="G10" s="471">
        <f t="shared" si="0"/>
        <v>0.1134474530171935</v>
      </c>
    </row>
    <row r="11" spans="1:7">
      <c r="A11" s="181">
        <v>7</v>
      </c>
      <c r="C11" s="194">
        <f>'Exhibit-RMP(RMM-2)'!I312</f>
        <v>0.14495702999999999</v>
      </c>
      <c r="D11" s="194"/>
      <c r="E11" s="194">
        <f>'Exhibit-RMP(RMM-2)'!M312</f>
        <v>0.16140203</v>
      </c>
      <c r="F11" s="194"/>
      <c r="G11" s="471">
        <f t="shared" si="0"/>
        <v>0.11344741265739244</v>
      </c>
    </row>
    <row r="12" spans="1:7">
      <c r="A12" s="181">
        <v>8</v>
      </c>
      <c r="C12" s="194">
        <f>'Exhibit-RMP(RMM-2)'!I321</f>
        <v>0.29716491</v>
      </c>
      <c r="D12" s="194"/>
      <c r="E12" s="194">
        <f>'Exhibit-RMP(RMM-2)'!M321</f>
        <v>0.32985656000000002</v>
      </c>
      <c r="F12" s="194"/>
      <c r="G12" s="471">
        <f t="shared" si="0"/>
        <v>0.11001181128687104</v>
      </c>
    </row>
    <row r="13" spans="1:7">
      <c r="A13" s="181">
        <v>9</v>
      </c>
      <c r="C13" s="194">
        <f>'Exhibit-RMP(RMM-2)'!I345</f>
        <v>0.37140874000000001</v>
      </c>
      <c r="D13" s="194"/>
      <c r="E13" s="194">
        <f>'Exhibit-RMP(RMM-2)'!M345</f>
        <v>0.38116348999999999</v>
      </c>
      <c r="F13" s="194"/>
      <c r="G13" s="471">
        <f t="shared" si="0"/>
        <v>2.6264190767293139E-2</v>
      </c>
    </row>
    <row r="14" spans="1:7">
      <c r="A14" s="181" t="s">
        <v>39</v>
      </c>
      <c r="C14" s="194">
        <f>'Exhibit-RMP(RMM-2)'!I356</f>
        <v>0.40671371000000001</v>
      </c>
      <c r="D14" s="194"/>
      <c r="E14" s="194">
        <f>'Exhibit-RMP(RMM-2)'!M356</f>
        <v>0.45285434000000002</v>
      </c>
      <c r="F14" s="194"/>
      <c r="G14" s="471">
        <f t="shared" si="0"/>
        <v>0.11344744193649144</v>
      </c>
    </row>
    <row r="15" spans="1:7">
      <c r="A15" s="181">
        <v>10</v>
      </c>
      <c r="C15" s="194">
        <f>'Exhibit-RMP(RMM-2)'!I368</f>
        <v>0.24967128</v>
      </c>
      <c r="D15" s="194"/>
      <c r="E15" s="194">
        <f>'Exhibit-RMP(RMM-2)'!M368</f>
        <v>0.27799584999999999</v>
      </c>
      <c r="F15" s="194"/>
      <c r="G15" s="471">
        <f t="shared" si="0"/>
        <v>0.11344744978277034</v>
      </c>
    </row>
    <row r="16" spans="1:7">
      <c r="A16" s="181">
        <v>11</v>
      </c>
      <c r="C16" s="194">
        <f>C11</f>
        <v>0.14495702999999999</v>
      </c>
      <c r="D16" s="194"/>
      <c r="E16" s="194">
        <f>E11</f>
        <v>0.16140203</v>
      </c>
      <c r="F16" s="194"/>
      <c r="G16" s="471">
        <f t="shared" si="0"/>
        <v>0.11344741265739244</v>
      </c>
    </row>
    <row r="17" spans="1:7">
      <c r="A17" s="181">
        <v>12</v>
      </c>
      <c r="C17" s="194">
        <f>C11</f>
        <v>0.14495702999999999</v>
      </c>
      <c r="D17" s="194"/>
      <c r="E17" s="194">
        <f>E11</f>
        <v>0.16140203</v>
      </c>
      <c r="F17" s="194"/>
      <c r="G17" s="471">
        <f t="shared" si="0"/>
        <v>0.11344741265739244</v>
      </c>
    </row>
    <row r="18" spans="1:7">
      <c r="A18" s="181" t="s">
        <v>405</v>
      </c>
      <c r="C18" s="194">
        <f>'Exhibit-RMP(RMM-2)'!I511</f>
        <v>0.23404952000000001</v>
      </c>
      <c r="D18" s="194"/>
      <c r="E18" s="194">
        <f>'Exhibit-RMP(RMM-2)'!M511</f>
        <v>0.26060182999999998</v>
      </c>
      <c r="F18" s="194"/>
      <c r="G18" s="471">
        <f>(E18-C18)/C18</f>
        <v>0.1134474020711513</v>
      </c>
    </row>
    <row r="19" spans="1:7">
      <c r="A19" s="181" t="s">
        <v>406</v>
      </c>
      <c r="C19" s="194">
        <f>'Exhibit-RMP(RMM-2)'!I506</f>
        <v>0.52076646999999998</v>
      </c>
      <c r="D19" s="194"/>
      <c r="E19" s="194">
        <f>'Exhibit-RMP(RMM-2)'!M506</f>
        <v>0.57984608999999998</v>
      </c>
      <c r="F19" s="194"/>
      <c r="G19" s="471">
        <f t="shared" si="0"/>
        <v>0.11344743450936848</v>
      </c>
    </row>
    <row r="20" spans="1:7">
      <c r="A20" s="181">
        <v>22</v>
      </c>
      <c r="C20" s="194">
        <f>C13</f>
        <v>0.37140874000000001</v>
      </c>
      <c r="D20" s="194"/>
      <c r="E20" s="194">
        <f>E13</f>
        <v>0.38116348999999999</v>
      </c>
      <c r="F20" s="194"/>
      <c r="G20" s="471">
        <f t="shared" si="0"/>
        <v>2.6264190767293139E-2</v>
      </c>
    </row>
    <row r="21" spans="1:7">
      <c r="A21" s="181">
        <v>23</v>
      </c>
      <c r="C21" s="194">
        <f>'Exhibit-RMP(RMM-2)'!I580</f>
        <v>0.21239153</v>
      </c>
      <c r="D21" s="194"/>
      <c r="E21" s="194">
        <f>'Exhibit-RMP(RMM-2)'!M580</f>
        <v>0.2364868</v>
      </c>
      <c r="F21" s="194"/>
      <c r="G21" s="471">
        <f t="shared" si="0"/>
        <v>0.11344741478155933</v>
      </c>
    </row>
    <row r="22" spans="1:7">
      <c r="A22" s="181">
        <v>31</v>
      </c>
      <c r="C22" s="194" t="s">
        <v>407</v>
      </c>
      <c r="D22" s="194"/>
      <c r="E22" s="194" t="s">
        <v>407</v>
      </c>
      <c r="F22" s="194"/>
      <c r="G22" s="471"/>
    </row>
    <row r="23" spans="1:7" ht="16.5" thickBot="1">
      <c r="A23" s="182">
        <v>32</v>
      </c>
      <c r="B23" s="67"/>
      <c r="C23" s="195" t="s">
        <v>407</v>
      </c>
      <c r="D23" s="195"/>
      <c r="E23" s="195" t="s">
        <v>407</v>
      </c>
      <c r="F23" s="194"/>
      <c r="G23" s="471"/>
    </row>
    <row r="24" spans="1:7" ht="16.5" thickTop="1">
      <c r="C24" s="3"/>
      <c r="E24" s="3"/>
      <c r="F24" s="3"/>
    </row>
    <row r="25" spans="1:7">
      <c r="A25" s="84" t="s">
        <v>408</v>
      </c>
    </row>
    <row r="26" spans="1:7">
      <c r="A26" s="3" t="s">
        <v>409</v>
      </c>
    </row>
  </sheetData>
  <printOptions horizontalCentered="1"/>
  <pageMargins left="0.5" right="0.5" top="1" bottom="1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16967-4B29-40AA-A39C-21185B4CD160}">
  <dimension ref="A1:AC34"/>
  <sheetViews>
    <sheetView view="pageBreakPreview" topLeftCell="A6" zoomScale="90" zoomScaleNormal="100" zoomScaleSheetLayoutView="90" workbookViewId="0">
      <selection activeCell="A34" sqref="A34"/>
    </sheetView>
  </sheetViews>
  <sheetFormatPr defaultColWidth="8" defaultRowHeight="12.75"/>
  <cols>
    <col min="1" max="1" width="7" style="92" customWidth="1"/>
    <col min="2" max="2" width="2" style="91" bestFit="1" customWidth="1"/>
    <col min="3" max="3" width="6.75" style="93" bestFit="1" customWidth="1"/>
    <col min="4" max="4" width="0.75" style="91" customWidth="1"/>
    <col min="5" max="5" width="7.625" style="93" customWidth="1"/>
    <col min="6" max="6" width="0.75" style="91" customWidth="1"/>
    <col min="7" max="7" width="6.375" style="94" bestFit="1" customWidth="1"/>
    <col min="8" max="8" width="0.75" style="91" customWidth="1"/>
    <col min="9" max="9" width="5.375" style="91" bestFit="1" customWidth="1"/>
    <col min="10" max="10" width="0.75" style="91" customWidth="1"/>
    <col min="11" max="11" width="6.75" style="93" bestFit="1" customWidth="1"/>
    <col min="12" max="12" width="0.75" style="91" customWidth="1"/>
    <col min="13" max="13" width="7.375" style="93" customWidth="1"/>
    <col min="14" max="14" width="0.75" style="91" customWidth="1"/>
    <col min="15" max="15" width="6.375" style="94" bestFit="1" customWidth="1"/>
    <col min="16" max="16" width="0.75" style="91" customWidth="1"/>
    <col min="17" max="17" width="5.375" style="91" bestFit="1" customWidth="1"/>
    <col min="18" max="18" width="3.125" style="91" customWidth="1"/>
    <col min="19" max="19" width="12.375" style="91" bestFit="1" customWidth="1"/>
    <col min="20" max="20" width="6.75" style="91" bestFit="1" customWidth="1"/>
    <col min="21" max="21" width="7.875" style="91" bestFit="1" customWidth="1"/>
    <col min="22" max="22" width="3.625" style="91" customWidth="1"/>
    <col min="23" max="23" width="6.625" style="91" bestFit="1" customWidth="1"/>
    <col min="24" max="24" width="4.125" style="91" bestFit="1" customWidth="1"/>
    <col min="25" max="25" width="6.75" style="91" bestFit="1" customWidth="1"/>
    <col min="26" max="26" width="7.375" style="91" bestFit="1" customWidth="1"/>
    <col min="27" max="27" width="5.75" style="91" bestFit="1" customWidth="1"/>
    <col min="28" max="28" width="5.375" style="91" bestFit="1" customWidth="1"/>
    <col min="29" max="16384" width="8" style="91"/>
  </cols>
  <sheetData>
    <row r="1" spans="1:29" ht="16.5">
      <c r="A1" s="87" t="s">
        <v>1</v>
      </c>
      <c r="B1" s="88"/>
      <c r="C1" s="89"/>
      <c r="D1" s="88"/>
      <c r="E1" s="89"/>
      <c r="F1" s="88"/>
      <c r="G1" s="90"/>
      <c r="H1" s="88"/>
      <c r="I1" s="88"/>
      <c r="J1" s="88"/>
      <c r="K1" s="89"/>
      <c r="L1" s="88"/>
      <c r="M1" s="89"/>
      <c r="N1" s="88"/>
      <c r="O1" s="90"/>
      <c r="P1" s="88"/>
      <c r="Q1" s="88"/>
      <c r="T1" s="208"/>
      <c r="U1" s="209"/>
    </row>
    <row r="2" spans="1:29" ht="16.5">
      <c r="A2" s="87" t="s">
        <v>410</v>
      </c>
      <c r="B2" s="88"/>
      <c r="C2" s="89"/>
      <c r="D2" s="88"/>
      <c r="E2" s="89"/>
      <c r="F2" s="88"/>
      <c r="G2" s="90"/>
      <c r="H2" s="88"/>
      <c r="I2" s="88"/>
      <c r="J2" s="88"/>
      <c r="K2" s="89"/>
      <c r="L2" s="88"/>
      <c r="M2" s="89"/>
      <c r="N2" s="88"/>
      <c r="O2" s="90"/>
      <c r="P2" s="88"/>
      <c r="Q2" s="88"/>
      <c r="T2" s="208"/>
      <c r="U2" s="210"/>
    </row>
    <row r="3" spans="1:29" ht="16.5">
      <c r="A3" s="87" t="s">
        <v>411</v>
      </c>
      <c r="B3" s="88"/>
      <c r="C3" s="89"/>
      <c r="D3" s="88"/>
      <c r="E3" s="89"/>
      <c r="F3" s="88"/>
      <c r="G3" s="90"/>
      <c r="H3" s="88"/>
      <c r="I3" s="88"/>
      <c r="J3" s="88"/>
      <c r="K3" s="89"/>
      <c r="L3" s="88"/>
      <c r="M3" s="89"/>
      <c r="N3" s="88"/>
      <c r="O3" s="90"/>
      <c r="P3" s="88"/>
      <c r="Q3" s="88"/>
      <c r="T3" s="208"/>
      <c r="U3" s="209"/>
    </row>
    <row r="4" spans="1:29" ht="16.5">
      <c r="A4" s="87" t="s">
        <v>412</v>
      </c>
      <c r="B4" s="88"/>
      <c r="C4" s="89"/>
      <c r="D4" s="88"/>
      <c r="E4" s="89"/>
      <c r="F4" s="88"/>
      <c r="G4" s="90"/>
      <c r="H4" s="88"/>
      <c r="I4" s="88"/>
      <c r="J4" s="88"/>
      <c r="K4" s="89"/>
      <c r="L4" s="88"/>
      <c r="M4" s="89"/>
      <c r="N4" s="88"/>
      <c r="O4" s="90"/>
      <c r="P4" s="88"/>
      <c r="Q4" s="88"/>
      <c r="T4" s="211"/>
      <c r="U4" s="212"/>
    </row>
    <row r="5" spans="1:29">
      <c r="G5" s="550"/>
      <c r="H5" s="550"/>
      <c r="I5" s="550"/>
      <c r="K5" s="89"/>
      <c r="L5" s="88"/>
      <c r="M5" s="89"/>
      <c r="O5" s="550"/>
      <c r="P5" s="550"/>
      <c r="Q5" s="550"/>
    </row>
    <row r="6" spans="1:29">
      <c r="C6" s="536" t="s">
        <v>413</v>
      </c>
      <c r="D6" s="537"/>
      <c r="E6" s="538"/>
      <c r="F6" s="539"/>
      <c r="G6" s="540"/>
      <c r="H6" s="539"/>
      <c r="I6" s="539"/>
      <c r="K6" s="536" t="s">
        <v>414</v>
      </c>
      <c r="L6" s="537"/>
      <c r="M6" s="538"/>
      <c r="N6" s="539"/>
      <c r="O6" s="540"/>
      <c r="P6" s="539"/>
      <c r="Q6" s="539"/>
      <c r="W6" s="88"/>
      <c r="X6" s="88"/>
    </row>
    <row r="7" spans="1:29" ht="15.75">
      <c r="C7" s="538" t="s">
        <v>415</v>
      </c>
      <c r="D7" s="539"/>
      <c r="E7" s="538"/>
      <c r="G7" s="538" t="s">
        <v>7</v>
      </c>
      <c r="H7" s="539"/>
      <c r="I7" s="538"/>
      <c r="K7" s="538" t="s">
        <v>415</v>
      </c>
      <c r="L7" s="539"/>
      <c r="M7" s="538"/>
      <c r="O7" s="538" t="s">
        <v>7</v>
      </c>
      <c r="P7" s="539"/>
      <c r="Q7" s="538"/>
      <c r="T7" s="94"/>
      <c r="U7" s="94"/>
      <c r="W7" s="88"/>
      <c r="X7" s="88"/>
    </row>
    <row r="8" spans="1:29">
      <c r="A8" s="95" t="s">
        <v>29</v>
      </c>
      <c r="C8" s="96" t="s">
        <v>401</v>
      </c>
      <c r="E8" s="97" t="s">
        <v>402</v>
      </c>
      <c r="G8" s="541" t="s">
        <v>416</v>
      </c>
      <c r="I8" s="542" t="s">
        <v>70</v>
      </c>
      <c r="K8" s="96" t="s">
        <v>401</v>
      </c>
      <c r="M8" s="97" t="s">
        <v>402</v>
      </c>
      <c r="O8" s="541" t="s">
        <v>416</v>
      </c>
      <c r="Q8" s="542" t="s">
        <v>70</v>
      </c>
      <c r="W8" s="98"/>
      <c r="X8" s="98"/>
    </row>
    <row r="9" spans="1:29">
      <c r="A9" s="92">
        <v>100</v>
      </c>
      <c r="C9" s="93">
        <f>ROUND($T$11+(MIN(400,$A9)*$T$12+MAX(0,$A9-400)*$T$13)/100*(1+$T$27)*(1+$T$15)+$T$14,2)</f>
        <v>21.41</v>
      </c>
      <c r="E9" s="93">
        <f>ROUND($U$11+(MIN(400,$A9)*$U$12+MAX(0,$A9-400)*$U$13)/100*(1+$U$27)*(1+$U$15)+$U$14,2)</f>
        <v>21.63</v>
      </c>
      <c r="F9" s="93"/>
      <c r="G9" s="213">
        <f t="shared" ref="G9" si="0">E9-C9</f>
        <v>0.21999999999999886</v>
      </c>
      <c r="I9" s="214">
        <f t="shared" ref="I9" si="1">ROUND(IF(C9=0,0,E9/C9-1),3)</f>
        <v>0.01</v>
      </c>
      <c r="K9" s="93">
        <f>ROUND($T$17+(MIN(400,$A9)*$T$18+MAX(0,$A9-400)*$T$19)/100*(1+$T$27)*(1+$T$21)+$T$20,2)</f>
        <v>20.12</v>
      </c>
      <c r="M9" s="93">
        <f>ROUND($U$17+(MIN(400,$A9)*$U$18+MAX(0,$A9-400)*$U$19)/100*(1+$U$27)*(1+$U$21)+$U$20,2)</f>
        <v>20.309999999999999</v>
      </c>
      <c r="N9" s="93"/>
      <c r="O9" s="213">
        <f t="shared" ref="O9" si="2">M9-K9</f>
        <v>0.18999999999999773</v>
      </c>
      <c r="Q9" s="214">
        <f t="shared" ref="Q9" si="3">ROUND(IF(K9=0,0,M9/K9-1),3)</f>
        <v>8.9999999999999993E-3</v>
      </c>
      <c r="S9" s="99" t="s">
        <v>99</v>
      </c>
      <c r="T9" s="100" t="s">
        <v>401</v>
      </c>
      <c r="U9" s="101" t="s">
        <v>402</v>
      </c>
      <c r="X9" s="112" t="s">
        <v>417</v>
      </c>
      <c r="Y9" s="113"/>
      <c r="Z9" s="113"/>
      <c r="AA9" s="114" t="s">
        <v>7</v>
      </c>
      <c r="AB9" s="115"/>
    </row>
    <row r="10" spans="1:29" ht="13.5">
      <c r="A10" s="92">
        <v>200</v>
      </c>
      <c r="C10" s="93">
        <f t="shared" ref="C10:C14" si="4">ROUND($T$11+(MIN(400,$A10)*$T$12+MAX(0,$A10-400)*$T$13)/100*(1+$T$27)*(1+$T$15)+$T$14,2)</f>
        <v>32.67</v>
      </c>
      <c r="E10" s="93">
        <f t="shared" ref="E10:E14" si="5">ROUND($U$11+(MIN(400,$A10)*$U$12+MAX(0,$A10-400)*$U$13)/100*(1+$U$27)*(1+$U$15)+$U$14,2)</f>
        <v>33.090000000000003</v>
      </c>
      <c r="F10" s="93"/>
      <c r="G10" s="213">
        <f t="shared" ref="G10:G14" si="6">E10-C10</f>
        <v>0.42000000000000171</v>
      </c>
      <c r="I10" s="214">
        <f t="shared" ref="I10:I14" si="7">ROUND(IF(C10=0,0,E10/C10-1),3)</f>
        <v>1.2999999999999999E-2</v>
      </c>
      <c r="K10" s="93">
        <f t="shared" ref="K10:K15" si="8">ROUND($T$17+(MIN(400,$A10)*$T$18+MAX(0,$A10-400)*$T$19)/100*(1+$T$27)*(1+$T$21)+$T$20,2)</f>
        <v>30.08</v>
      </c>
      <c r="M10" s="93">
        <f t="shared" ref="M10:M15" si="9">ROUND($U$17+(MIN(400,$A10)*$U$18+MAX(0,$A10-400)*$U$19)/100*(1+$U$27)*(1+$U$21)+$U$20,2)</f>
        <v>30.45</v>
      </c>
      <c r="N10" s="93"/>
      <c r="O10" s="213">
        <f t="shared" ref="O10:O14" si="10">M10-K10</f>
        <v>0.37000000000000099</v>
      </c>
      <c r="Q10" s="214">
        <f t="shared" ref="Q10:Q14" si="11">ROUND(IF(K10=0,0,M10/K10-1),3)</f>
        <v>1.2E-2</v>
      </c>
      <c r="S10" s="103" t="s">
        <v>413</v>
      </c>
      <c r="U10" s="104"/>
      <c r="X10" s="116" t="s">
        <v>29</v>
      </c>
      <c r="Y10" s="116" t="s">
        <v>401</v>
      </c>
      <c r="Z10" s="116" t="s">
        <v>402</v>
      </c>
      <c r="AA10" s="117" t="s">
        <v>416</v>
      </c>
      <c r="AB10" s="118" t="s">
        <v>70</v>
      </c>
    </row>
    <row r="11" spans="1:29">
      <c r="A11" s="92">
        <v>300</v>
      </c>
      <c r="C11" s="93">
        <f t="shared" si="4"/>
        <v>43.92</v>
      </c>
      <c r="E11" s="93">
        <f t="shared" si="5"/>
        <v>44.56</v>
      </c>
      <c r="F11" s="93"/>
      <c r="G11" s="213">
        <f t="shared" si="6"/>
        <v>0.64000000000000057</v>
      </c>
      <c r="I11" s="214">
        <f t="shared" si="7"/>
        <v>1.4999999999999999E-2</v>
      </c>
      <c r="K11" s="93">
        <f t="shared" si="8"/>
        <v>40.04</v>
      </c>
      <c r="M11" s="93">
        <f t="shared" si="9"/>
        <v>40.6</v>
      </c>
      <c r="N11" s="93"/>
      <c r="O11" s="213">
        <f t="shared" si="10"/>
        <v>0.56000000000000227</v>
      </c>
      <c r="Q11" s="214">
        <f t="shared" si="11"/>
        <v>1.4E-2</v>
      </c>
      <c r="S11" s="105" t="s">
        <v>418</v>
      </c>
      <c r="T11" s="185">
        <f>'Exhibit-RMP(RMM-2)'!E12</f>
        <v>10</v>
      </c>
      <c r="U11" s="186">
        <f>T11</f>
        <v>10</v>
      </c>
      <c r="V11" s="106"/>
      <c r="W11" s="119" t="s">
        <v>413</v>
      </c>
      <c r="X11" s="215">
        <v>931</v>
      </c>
      <c r="Y11" s="120">
        <f>C20</f>
        <v>132.76</v>
      </c>
      <c r="Z11" s="120">
        <f>E20</f>
        <v>135.07</v>
      </c>
      <c r="AA11" s="120">
        <f>Z11-Y11</f>
        <v>2.3100000000000023</v>
      </c>
      <c r="AB11" s="216">
        <f>Z11/Y11-1</f>
        <v>1.7399819222657431E-2</v>
      </c>
    </row>
    <row r="12" spans="1:29">
      <c r="A12" s="92">
        <v>400</v>
      </c>
      <c r="C12" s="93">
        <f t="shared" si="4"/>
        <v>55.18</v>
      </c>
      <c r="E12" s="93">
        <f t="shared" si="5"/>
        <v>56.02</v>
      </c>
      <c r="F12" s="93"/>
      <c r="G12" s="213">
        <f t="shared" si="6"/>
        <v>0.84000000000000341</v>
      </c>
      <c r="I12" s="214">
        <f t="shared" si="7"/>
        <v>1.4999999999999999E-2</v>
      </c>
      <c r="K12" s="93">
        <f t="shared" si="8"/>
        <v>50</v>
      </c>
      <c r="M12" s="93">
        <f t="shared" si="9"/>
        <v>50.75</v>
      </c>
      <c r="N12" s="93"/>
      <c r="O12" s="213">
        <f t="shared" si="10"/>
        <v>0.75</v>
      </c>
      <c r="Q12" s="214">
        <f t="shared" si="11"/>
        <v>1.4999999999999999E-2</v>
      </c>
      <c r="S12" s="105" t="s">
        <v>419</v>
      </c>
      <c r="T12" s="187">
        <f>'Exhibit-RMP(RMM-2)'!E21</f>
        <v>9.0279000000000007</v>
      </c>
      <c r="U12" s="188">
        <f t="shared" ref="U12:U14" si="12">T12</f>
        <v>9.0279000000000007</v>
      </c>
      <c r="V12" s="106"/>
      <c r="W12" s="121" t="s">
        <v>414</v>
      </c>
      <c r="X12" s="215">
        <v>697</v>
      </c>
      <c r="Y12" s="120">
        <f>K15</f>
        <v>88.4</v>
      </c>
      <c r="Z12" s="120">
        <f>M15</f>
        <v>89.87</v>
      </c>
      <c r="AA12" s="120">
        <f>Z12-Y12</f>
        <v>1.4699999999999989</v>
      </c>
      <c r="AB12" s="217">
        <f>Z12/Y12-1</f>
        <v>1.662895927601804E-2</v>
      </c>
      <c r="AC12" s="219">
        <f>Z11/Z12-1</f>
        <v>0.50294870368309774</v>
      </c>
    </row>
    <row r="13" spans="1:29">
      <c r="A13" s="92">
        <v>500</v>
      </c>
      <c r="C13" s="93">
        <f t="shared" si="4"/>
        <v>69.790000000000006</v>
      </c>
      <c r="E13" s="93">
        <f t="shared" si="5"/>
        <v>70.91</v>
      </c>
      <c r="F13" s="93"/>
      <c r="G13" s="213">
        <f t="shared" si="6"/>
        <v>1.1199999999999903</v>
      </c>
      <c r="I13" s="214">
        <f t="shared" si="7"/>
        <v>1.6E-2</v>
      </c>
      <c r="K13" s="93">
        <f t="shared" si="8"/>
        <v>62.93</v>
      </c>
      <c r="M13" s="93">
        <f t="shared" si="9"/>
        <v>63.92</v>
      </c>
      <c r="N13" s="93"/>
      <c r="O13" s="213">
        <f t="shared" si="10"/>
        <v>0.99000000000000199</v>
      </c>
      <c r="Q13" s="214">
        <f t="shared" si="11"/>
        <v>1.6E-2</v>
      </c>
      <c r="S13" s="105" t="s">
        <v>420</v>
      </c>
      <c r="T13" s="187">
        <f>'Exhibit-RMP(RMM-2)'!E22</f>
        <v>11.721</v>
      </c>
      <c r="U13" s="188">
        <f t="shared" si="12"/>
        <v>11.721</v>
      </c>
      <c r="V13" s="106"/>
      <c r="W13" s="152" t="s">
        <v>421</v>
      </c>
      <c r="X13" s="543">
        <v>775</v>
      </c>
      <c r="Y13" s="153">
        <f>(C17*4+K17*8)/12</f>
        <v>102.31</v>
      </c>
      <c r="Z13" s="153">
        <f>(E17*4+M17*8)/12</f>
        <v>104.05</v>
      </c>
      <c r="AA13" s="153">
        <f>Z13-Y13</f>
        <v>1.7399999999999949</v>
      </c>
      <c r="AB13" s="218">
        <f>Z13/Y13-1</f>
        <v>1.7007135177401933E-2</v>
      </c>
    </row>
    <row r="14" spans="1:29">
      <c r="A14" s="92">
        <v>600</v>
      </c>
      <c r="C14" s="93">
        <f t="shared" si="4"/>
        <v>84.4</v>
      </c>
      <c r="E14" s="93">
        <f t="shared" si="5"/>
        <v>85.8</v>
      </c>
      <c r="F14" s="93"/>
      <c r="G14" s="213">
        <f t="shared" si="6"/>
        <v>1.3999999999999915</v>
      </c>
      <c r="I14" s="214">
        <f t="shared" si="7"/>
        <v>1.7000000000000001E-2</v>
      </c>
      <c r="K14" s="93">
        <f t="shared" si="8"/>
        <v>75.86</v>
      </c>
      <c r="M14" s="93">
        <f t="shared" si="9"/>
        <v>77.09</v>
      </c>
      <c r="N14" s="93"/>
      <c r="O14" s="213">
        <f t="shared" si="10"/>
        <v>1.230000000000004</v>
      </c>
      <c r="Q14" s="214">
        <f t="shared" si="11"/>
        <v>1.6E-2</v>
      </c>
      <c r="S14" s="105" t="s">
        <v>422</v>
      </c>
      <c r="T14" s="185">
        <v>0.16</v>
      </c>
      <c r="U14" s="186">
        <f t="shared" si="12"/>
        <v>0.16</v>
      </c>
      <c r="V14" s="106"/>
      <c r="W14" s="152" t="s">
        <v>421</v>
      </c>
      <c r="X14" s="543">
        <v>800</v>
      </c>
      <c r="Y14" s="153">
        <f>(C18*4+K18*8)/12</f>
        <v>105.68666666666667</v>
      </c>
      <c r="Z14" s="153">
        <f>(E18*4+M18*8)/12</f>
        <v>107.48333333333333</v>
      </c>
      <c r="AA14" s="153">
        <f>Z14-Y14</f>
        <v>1.7966666666666669</v>
      </c>
      <c r="AB14" s="218">
        <f>Z14/Y14-1</f>
        <v>1.699993692045676E-2</v>
      </c>
    </row>
    <row r="15" spans="1:29">
      <c r="A15" s="92">
        <f>X12</f>
        <v>697</v>
      </c>
      <c r="B15" s="91" t="s">
        <v>423</v>
      </c>
      <c r="F15" s="93"/>
      <c r="G15" s="213"/>
      <c r="I15" s="214"/>
      <c r="K15" s="93">
        <f t="shared" si="8"/>
        <v>88.4</v>
      </c>
      <c r="M15" s="93">
        <f t="shared" si="9"/>
        <v>89.87</v>
      </c>
      <c r="N15" s="93"/>
      <c r="O15" s="213">
        <f t="shared" ref="O15" si="13">M15-K15</f>
        <v>1.4699999999999989</v>
      </c>
      <c r="Q15" s="214">
        <f t="shared" ref="Q15" si="14">ROUND(IF(K15=0,0,M15/K15-1),3)</f>
        <v>1.7000000000000001E-2</v>
      </c>
      <c r="S15" s="105" t="s">
        <v>424</v>
      </c>
      <c r="T15" s="220">
        <f>T23+T24+T22</f>
        <v>4.1399999999999999E-2</v>
      </c>
      <c r="U15" s="220">
        <f>U23+U24+U22</f>
        <v>4.1399999999999999E-2</v>
      </c>
      <c r="V15" s="106"/>
      <c r="AB15" s="219"/>
    </row>
    <row r="16" spans="1:29" ht="13.5">
      <c r="A16" s="92">
        <v>700</v>
      </c>
      <c r="C16" s="93">
        <f t="shared" ref="C16:C20" si="15">ROUND($T$11+(MIN(400,$A16)*$T$12+MAX(0,$A16-400)*$T$13)/100*(1+$T$27)*(1+$T$15)+$T$14,2)</f>
        <v>99.01</v>
      </c>
      <c r="E16" s="93">
        <f t="shared" ref="E16:E20" si="16">ROUND($U$11+(MIN(400,$A16)*$U$12+MAX(0,$A16-400)*$U$13)/100*(1+$U$27)*(1+$U$15)+$U$14,2)</f>
        <v>100.68</v>
      </c>
      <c r="F16" s="93"/>
      <c r="G16" s="213">
        <f t="shared" ref="G16:G19" si="17">E16-C16</f>
        <v>1.6700000000000017</v>
      </c>
      <c r="I16" s="214">
        <f t="shared" ref="I16:I19" si="18">ROUND(IF(C16=0,0,E16/C16-1),3)</f>
        <v>1.7000000000000001E-2</v>
      </c>
      <c r="K16" s="93">
        <f t="shared" ref="K16:K19" si="19">ROUND($T$17+(MIN(400,$A16)*$T$18+MAX(0,$A16-400)*$T$19)/100*(1+$T$27)*(1+$T$21)+$T$20,2)</f>
        <v>88.79</v>
      </c>
      <c r="M16" s="93">
        <f t="shared" ref="M16:M19" si="20">ROUND($U$17+(MIN(400,$A16)*$U$18+MAX(0,$A16-400)*$U$19)/100*(1+$U$27)*(1+$U$21)+$U$20,2)</f>
        <v>90.27</v>
      </c>
      <c r="N16" s="93"/>
      <c r="O16" s="213">
        <f t="shared" ref="O16:O19" si="21">M16-K16</f>
        <v>1.4799999999999898</v>
      </c>
      <c r="Q16" s="214">
        <f t="shared" ref="Q16:Q19" si="22">ROUND(IF(K16=0,0,M16/K16-1),3)</f>
        <v>1.7000000000000001E-2</v>
      </c>
      <c r="S16" s="103" t="s">
        <v>414</v>
      </c>
      <c r="T16" s="189"/>
      <c r="U16" s="190"/>
      <c r="V16" s="106"/>
      <c r="W16" s="102"/>
      <c r="X16" s="102"/>
    </row>
    <row r="17" spans="1:24">
      <c r="A17" s="92">
        <f>X13</f>
        <v>775</v>
      </c>
      <c r="B17" s="91" t="s">
        <v>425</v>
      </c>
      <c r="C17" s="93">
        <f t="shared" si="15"/>
        <v>109.97</v>
      </c>
      <c r="E17" s="93">
        <f t="shared" si="16"/>
        <v>111.85</v>
      </c>
      <c r="F17" s="93"/>
      <c r="G17" s="213">
        <f t="shared" si="17"/>
        <v>1.8799999999999955</v>
      </c>
      <c r="I17" s="214">
        <f t="shared" si="18"/>
        <v>1.7000000000000001E-2</v>
      </c>
      <c r="K17" s="93">
        <f t="shared" si="19"/>
        <v>98.48</v>
      </c>
      <c r="M17" s="93">
        <f t="shared" si="20"/>
        <v>100.15</v>
      </c>
      <c r="N17" s="93"/>
      <c r="O17" s="213">
        <f t="shared" si="21"/>
        <v>1.6700000000000017</v>
      </c>
      <c r="Q17" s="214">
        <f t="shared" si="22"/>
        <v>1.7000000000000001E-2</v>
      </c>
      <c r="S17" s="105" t="s">
        <v>418</v>
      </c>
      <c r="T17" s="185">
        <f>T11</f>
        <v>10</v>
      </c>
      <c r="U17" s="186">
        <f>U11</f>
        <v>10</v>
      </c>
      <c r="V17" s="106"/>
      <c r="W17" s="102"/>
      <c r="X17" s="102"/>
    </row>
    <row r="18" spans="1:24">
      <c r="A18" s="92">
        <v>800</v>
      </c>
      <c r="C18" s="93">
        <f t="shared" si="15"/>
        <v>113.62</v>
      </c>
      <c r="E18" s="93">
        <f t="shared" si="16"/>
        <v>115.57</v>
      </c>
      <c r="F18" s="93"/>
      <c r="G18" s="213">
        <f t="shared" si="17"/>
        <v>1.9499999999999886</v>
      </c>
      <c r="I18" s="214">
        <f t="shared" si="18"/>
        <v>1.7000000000000001E-2</v>
      </c>
      <c r="K18" s="93">
        <f t="shared" si="19"/>
        <v>101.72</v>
      </c>
      <c r="M18" s="93">
        <f t="shared" si="20"/>
        <v>103.44</v>
      </c>
      <c r="N18" s="93"/>
      <c r="O18" s="213">
        <f t="shared" si="21"/>
        <v>1.7199999999999989</v>
      </c>
      <c r="Q18" s="214">
        <f t="shared" si="22"/>
        <v>1.7000000000000001E-2</v>
      </c>
      <c r="S18" s="105" t="s">
        <v>419</v>
      </c>
      <c r="T18" s="107">
        <f>'Exhibit-RMP(RMM-2)'!E24</f>
        <v>7.9893000000000001</v>
      </c>
      <c r="U18" s="221">
        <f t="shared" ref="U18:U19" si="23">T18</f>
        <v>7.9893000000000001</v>
      </c>
      <c r="V18" s="106"/>
      <c r="W18" s="102"/>
      <c r="X18" s="102"/>
    </row>
    <row r="19" spans="1:24">
      <c r="A19" s="92">
        <v>900</v>
      </c>
      <c r="C19" s="93">
        <f t="shared" si="15"/>
        <v>128.22999999999999</v>
      </c>
      <c r="E19" s="93">
        <f t="shared" si="16"/>
        <v>130.44999999999999</v>
      </c>
      <c r="F19" s="93"/>
      <c r="G19" s="213">
        <f t="shared" si="17"/>
        <v>2.2199999999999989</v>
      </c>
      <c r="I19" s="214">
        <f t="shared" si="18"/>
        <v>1.7000000000000001E-2</v>
      </c>
      <c r="K19" s="93">
        <f t="shared" si="19"/>
        <v>114.65</v>
      </c>
      <c r="M19" s="93">
        <f t="shared" si="20"/>
        <v>116.61</v>
      </c>
      <c r="N19" s="93"/>
      <c r="O19" s="213">
        <f t="shared" si="21"/>
        <v>1.9599999999999937</v>
      </c>
      <c r="Q19" s="214">
        <f t="shared" si="22"/>
        <v>1.7000000000000001E-2</v>
      </c>
      <c r="S19" s="105" t="s">
        <v>420</v>
      </c>
      <c r="T19" s="107">
        <f>'Exhibit-RMP(RMM-2)'!E25</f>
        <v>10.3725</v>
      </c>
      <c r="U19" s="221">
        <f t="shared" si="23"/>
        <v>10.3725</v>
      </c>
      <c r="V19" s="106"/>
      <c r="W19" s="102"/>
      <c r="X19" s="102"/>
    </row>
    <row r="20" spans="1:24">
      <c r="A20" s="92">
        <f>X11</f>
        <v>931</v>
      </c>
      <c r="B20" s="91" t="s">
        <v>426</v>
      </c>
      <c r="C20" s="93">
        <f t="shared" si="15"/>
        <v>132.76</v>
      </c>
      <c r="E20" s="93">
        <f t="shared" si="16"/>
        <v>135.07</v>
      </c>
      <c r="F20" s="93"/>
      <c r="G20" s="213">
        <f t="shared" ref="G20" si="24">E20-C20</f>
        <v>2.3100000000000023</v>
      </c>
      <c r="I20" s="214">
        <f t="shared" ref="I20" si="25">ROUND(IF(C20=0,0,E20/C20-1),3)</f>
        <v>1.7000000000000001E-2</v>
      </c>
      <c r="N20" s="93"/>
      <c r="O20" s="213"/>
      <c r="Q20" s="214"/>
      <c r="S20" s="105" t="s">
        <v>422</v>
      </c>
      <c r="T20" s="185">
        <v>0.16</v>
      </c>
      <c r="U20" s="186">
        <f>T20</f>
        <v>0.16</v>
      </c>
      <c r="V20" s="106"/>
      <c r="W20" s="102"/>
      <c r="X20" s="102"/>
    </row>
    <row r="21" spans="1:24">
      <c r="A21" s="92">
        <v>1000</v>
      </c>
      <c r="C21" s="93">
        <f t="shared" ref="C21:C29" si="26">ROUND($T$11+(MIN(400,$A21)*$T$12+MAX(0,$A21-400)*$T$13)/100*(1+$T$27)*(1+$T$15)+$T$14,2)</f>
        <v>142.84</v>
      </c>
      <c r="E21" s="93">
        <f t="shared" ref="E21:E29" si="27">ROUND($U$11+(MIN(400,$A21)*$U$12+MAX(0,$A21-400)*$U$13)/100*(1+$U$27)*(1+$U$15)+$U$14,2)</f>
        <v>145.34</v>
      </c>
      <c r="F21" s="93"/>
      <c r="G21" s="213">
        <f t="shared" ref="G21:G30" si="28">E21-C21</f>
        <v>2.5</v>
      </c>
      <c r="I21" s="214">
        <f t="shared" ref="I21:I30" si="29">ROUND(IF(C21=0,0,E21/C21-1),3)</f>
        <v>1.7999999999999999E-2</v>
      </c>
      <c r="K21" s="93">
        <f t="shared" ref="K21:K29" si="30">ROUND($T$17+(MIN(400,$A21)*$T$18+MAX(0,$A21-400)*$T$19)/100*(1+$T$27)*(1+$T$21)+$T$20,2)</f>
        <v>127.58</v>
      </c>
      <c r="M21" s="93">
        <f t="shared" ref="M21:M29" si="31">ROUND($U$17+(MIN(400,$A21)*$U$18+MAX(0,$A21-400)*$U$19)/100*(1+$U$27)*(1+$U$21)+$U$20,2)</f>
        <v>129.79</v>
      </c>
      <c r="N21" s="93"/>
      <c r="O21" s="213">
        <f t="shared" ref="O21:O30" si="32">M21-K21</f>
        <v>2.2099999999999937</v>
      </c>
      <c r="Q21" s="214">
        <f t="shared" ref="Q21:Q30" si="33">ROUND(IF(K21=0,0,M21/K21-1),3)</f>
        <v>1.7000000000000001E-2</v>
      </c>
      <c r="S21" s="108" t="s">
        <v>427</v>
      </c>
      <c r="T21" s="544">
        <f>T15</f>
        <v>4.1399999999999999E-2</v>
      </c>
      <c r="U21" s="222">
        <f>U15</f>
        <v>4.1399999999999999E-2</v>
      </c>
      <c r="V21" s="106"/>
      <c r="W21" s="102"/>
      <c r="X21" s="102"/>
    </row>
    <row r="22" spans="1:24">
      <c r="A22" s="92">
        <v>1100</v>
      </c>
      <c r="C22" s="93">
        <f t="shared" si="26"/>
        <v>157.44999999999999</v>
      </c>
      <c r="E22" s="93">
        <f t="shared" si="27"/>
        <v>160.22999999999999</v>
      </c>
      <c r="F22" s="93"/>
      <c r="G22" s="213">
        <f t="shared" si="28"/>
        <v>2.7800000000000011</v>
      </c>
      <c r="I22" s="214">
        <f t="shared" si="29"/>
        <v>1.7999999999999999E-2</v>
      </c>
      <c r="K22" s="93">
        <f t="shared" si="30"/>
        <v>140.51</v>
      </c>
      <c r="M22" s="93">
        <f t="shared" si="31"/>
        <v>142.96</v>
      </c>
      <c r="N22" s="93"/>
      <c r="O22" s="213">
        <f t="shared" si="32"/>
        <v>2.4500000000000171</v>
      </c>
      <c r="Q22" s="214">
        <f t="shared" si="33"/>
        <v>1.7000000000000001E-2</v>
      </c>
      <c r="S22" s="191" t="s">
        <v>428</v>
      </c>
      <c r="T22" s="192">
        <v>0</v>
      </c>
      <c r="U22" s="223">
        <f>T22</f>
        <v>0</v>
      </c>
      <c r="V22" s="106"/>
      <c r="W22" s="102"/>
      <c r="X22" s="102"/>
    </row>
    <row r="23" spans="1:24">
      <c r="A23" s="92">
        <v>1200</v>
      </c>
      <c r="C23" s="93">
        <f t="shared" si="26"/>
        <v>172.06</v>
      </c>
      <c r="E23" s="93">
        <f t="shared" si="27"/>
        <v>175.11</v>
      </c>
      <c r="F23" s="93"/>
      <c r="G23" s="213">
        <f t="shared" si="28"/>
        <v>3.0500000000000114</v>
      </c>
      <c r="I23" s="214">
        <f t="shared" si="29"/>
        <v>1.7999999999999999E-2</v>
      </c>
      <c r="K23" s="93">
        <f t="shared" si="30"/>
        <v>153.44</v>
      </c>
      <c r="M23" s="93">
        <f t="shared" si="31"/>
        <v>156.13</v>
      </c>
      <c r="N23" s="93"/>
      <c r="O23" s="213">
        <f t="shared" si="32"/>
        <v>2.6899999999999977</v>
      </c>
      <c r="Q23" s="214">
        <f t="shared" si="33"/>
        <v>1.7999999999999999E-2</v>
      </c>
      <c r="S23" s="105" t="s">
        <v>429</v>
      </c>
      <c r="T23" s="109">
        <v>3.0000000000000001E-3</v>
      </c>
      <c r="U23" s="224">
        <f>T23</f>
        <v>3.0000000000000001E-3</v>
      </c>
      <c r="V23" s="106"/>
      <c r="W23" s="102"/>
      <c r="X23" s="102"/>
    </row>
    <row r="24" spans="1:24">
      <c r="A24" s="92">
        <v>1300</v>
      </c>
      <c r="C24" s="93">
        <f t="shared" si="26"/>
        <v>186.67</v>
      </c>
      <c r="E24" s="93">
        <f t="shared" si="27"/>
        <v>190</v>
      </c>
      <c r="F24" s="93"/>
      <c r="G24" s="213">
        <f t="shared" si="28"/>
        <v>3.3300000000000125</v>
      </c>
      <c r="I24" s="214">
        <f t="shared" si="29"/>
        <v>1.7999999999999999E-2</v>
      </c>
      <c r="K24" s="93">
        <f t="shared" si="30"/>
        <v>166.37</v>
      </c>
      <c r="M24" s="93">
        <f t="shared" si="31"/>
        <v>169.31</v>
      </c>
      <c r="N24" s="93"/>
      <c r="O24" s="213">
        <f t="shared" si="32"/>
        <v>2.9399999999999977</v>
      </c>
      <c r="Q24" s="214">
        <f t="shared" si="33"/>
        <v>1.7999999999999999E-2</v>
      </c>
      <c r="S24" s="105" t="s">
        <v>430</v>
      </c>
      <c r="T24" s="109">
        <v>3.8399999999999997E-2</v>
      </c>
      <c r="U24" s="224">
        <f>T24</f>
        <v>3.8399999999999997E-2</v>
      </c>
      <c r="V24" s="106"/>
      <c r="W24" s="102"/>
      <c r="X24" s="102"/>
    </row>
    <row r="25" spans="1:24">
      <c r="A25" s="92">
        <v>1400</v>
      </c>
      <c r="C25" s="93">
        <f t="shared" si="26"/>
        <v>201.28</v>
      </c>
      <c r="E25" s="93">
        <f t="shared" si="27"/>
        <v>204.88</v>
      </c>
      <c r="F25" s="93"/>
      <c r="G25" s="213">
        <f t="shared" si="28"/>
        <v>3.5999999999999943</v>
      </c>
      <c r="I25" s="214">
        <f t="shared" si="29"/>
        <v>1.7999999999999999E-2</v>
      </c>
      <c r="K25" s="93">
        <f t="shared" si="30"/>
        <v>179.3</v>
      </c>
      <c r="M25" s="93">
        <f t="shared" si="31"/>
        <v>182.48</v>
      </c>
      <c r="N25" s="93"/>
      <c r="O25" s="213">
        <f t="shared" si="32"/>
        <v>3.1799999999999784</v>
      </c>
      <c r="Q25" s="214">
        <f t="shared" si="33"/>
        <v>1.7999999999999999E-2</v>
      </c>
      <c r="S25" s="105" t="s">
        <v>431</v>
      </c>
      <c r="T25" s="109">
        <f>'Exhibit-RMP(RMM-2)'!I21</f>
        <v>0.19879865999999999</v>
      </c>
      <c r="U25" s="224">
        <f>'Exhibit-RMP(RMM-2)'!M21</f>
        <v>0.22135184999999999</v>
      </c>
      <c r="V25" s="106"/>
      <c r="W25" s="102"/>
      <c r="X25" s="102"/>
    </row>
    <row r="26" spans="1:24">
      <c r="A26" s="92">
        <v>1500</v>
      </c>
      <c r="C26" s="93">
        <f t="shared" si="26"/>
        <v>215.89</v>
      </c>
      <c r="E26" s="93">
        <f t="shared" si="27"/>
        <v>219.77</v>
      </c>
      <c r="F26" s="93"/>
      <c r="G26" s="213">
        <f t="shared" si="28"/>
        <v>3.8800000000000239</v>
      </c>
      <c r="I26" s="214">
        <f t="shared" si="29"/>
        <v>1.7999999999999999E-2</v>
      </c>
      <c r="K26" s="93">
        <f t="shared" si="30"/>
        <v>192.23</v>
      </c>
      <c r="M26" s="93">
        <f t="shared" si="31"/>
        <v>195.66</v>
      </c>
      <c r="N26" s="93"/>
      <c r="O26" s="213">
        <f t="shared" si="32"/>
        <v>3.4300000000000068</v>
      </c>
      <c r="Q26" s="214">
        <f t="shared" si="33"/>
        <v>1.7999999999999999E-2</v>
      </c>
      <c r="S26" s="105" t="s">
        <v>432</v>
      </c>
      <c r="T26" s="109">
        <v>-1.8E-3</v>
      </c>
      <c r="U26" s="224">
        <f>T26</f>
        <v>-1.8E-3</v>
      </c>
      <c r="V26" s="106"/>
      <c r="W26" s="102"/>
      <c r="X26" s="102"/>
    </row>
    <row r="27" spans="1:24">
      <c r="A27" s="92">
        <v>2000</v>
      </c>
      <c r="C27" s="93">
        <f t="shared" si="26"/>
        <v>288.95</v>
      </c>
      <c r="E27" s="93">
        <f t="shared" si="27"/>
        <v>294.2</v>
      </c>
      <c r="F27" s="93"/>
      <c r="G27" s="213">
        <f t="shared" si="28"/>
        <v>5.25</v>
      </c>
      <c r="I27" s="214">
        <f t="shared" si="29"/>
        <v>1.7999999999999999E-2</v>
      </c>
      <c r="K27" s="93">
        <f t="shared" si="30"/>
        <v>256.87</v>
      </c>
      <c r="M27" s="93">
        <f t="shared" si="31"/>
        <v>261.52</v>
      </c>
      <c r="N27" s="93"/>
      <c r="O27" s="213">
        <f t="shared" si="32"/>
        <v>4.6499999999999773</v>
      </c>
      <c r="Q27" s="214">
        <f t="shared" si="33"/>
        <v>1.7999999999999999E-2</v>
      </c>
      <c r="S27" s="108" t="s">
        <v>433</v>
      </c>
      <c r="T27" s="545">
        <f>SUM(T25:T26)</f>
        <v>0.19699865999999999</v>
      </c>
      <c r="U27" s="193">
        <f>SUM(U25:U26)</f>
        <v>0.21955184999999999</v>
      </c>
      <c r="V27" s="106"/>
      <c r="W27" s="102"/>
      <c r="X27" s="102"/>
    </row>
    <row r="28" spans="1:24">
      <c r="A28" s="92">
        <v>3000</v>
      </c>
      <c r="C28" s="93">
        <f t="shared" si="26"/>
        <v>435.06</v>
      </c>
      <c r="E28" s="93">
        <f t="shared" si="27"/>
        <v>443.06</v>
      </c>
      <c r="F28" s="93"/>
      <c r="G28" s="213">
        <f t="shared" si="28"/>
        <v>8</v>
      </c>
      <c r="I28" s="214">
        <f t="shared" si="29"/>
        <v>1.7999999999999999E-2</v>
      </c>
      <c r="K28" s="93">
        <f t="shared" si="30"/>
        <v>386.17</v>
      </c>
      <c r="M28" s="93">
        <f t="shared" si="31"/>
        <v>393.26</v>
      </c>
      <c r="N28" s="93"/>
      <c r="O28" s="213">
        <f t="shared" si="32"/>
        <v>7.089999999999975</v>
      </c>
      <c r="Q28" s="214">
        <f t="shared" si="33"/>
        <v>1.7999999999999999E-2</v>
      </c>
      <c r="V28" s="106"/>
      <c r="W28" s="102"/>
      <c r="X28" s="102"/>
    </row>
    <row r="29" spans="1:24">
      <c r="A29" s="92">
        <v>4000</v>
      </c>
      <c r="C29" s="93">
        <f t="shared" si="26"/>
        <v>581.16999999999996</v>
      </c>
      <c r="E29" s="93">
        <f t="shared" si="27"/>
        <v>591.91999999999996</v>
      </c>
      <c r="F29" s="93"/>
      <c r="G29" s="213">
        <f t="shared" si="28"/>
        <v>10.75</v>
      </c>
      <c r="I29" s="214">
        <f t="shared" si="29"/>
        <v>1.7999999999999999E-2</v>
      </c>
      <c r="K29" s="93">
        <f t="shared" si="30"/>
        <v>515.47</v>
      </c>
      <c r="M29" s="93">
        <f t="shared" si="31"/>
        <v>524.99</v>
      </c>
      <c r="N29" s="93"/>
      <c r="O29" s="213">
        <f t="shared" si="32"/>
        <v>9.5199999999999818</v>
      </c>
      <c r="Q29" s="214">
        <f t="shared" si="33"/>
        <v>1.7999999999999999E-2</v>
      </c>
      <c r="V29" s="106"/>
      <c r="W29" s="102"/>
      <c r="X29" s="102"/>
    </row>
    <row r="30" spans="1:24">
      <c r="A30" s="92">
        <v>5000</v>
      </c>
      <c r="C30" s="93">
        <f>ROUND($T$11+(MIN(400,$A30)*$T$12+MAX(0,$A30-400)*$T$13)/100*(1+$T$27)*(1+$T$15)+$T$14,2)</f>
        <v>727.27</v>
      </c>
      <c r="E30" s="93">
        <f>ROUND($U$11+(MIN(400,$A30)*$U$12+MAX(0,$A30-400)*$U$13)/100*(1+$U$27)*(1+$U$15)+$U$14,2)</f>
        <v>740.79</v>
      </c>
      <c r="F30" s="93"/>
      <c r="G30" s="213">
        <f t="shared" si="28"/>
        <v>13.519999999999982</v>
      </c>
      <c r="I30" s="214">
        <f t="shared" si="29"/>
        <v>1.9E-2</v>
      </c>
      <c r="K30" s="93">
        <f>ROUND($T$17+(MIN(400,$A30)*$T$18+MAX(0,$A30-400)*$T$19)/100*(1+$T$27)*(1+$T$21)+$T$20,2)</f>
        <v>644.77</v>
      </c>
      <c r="M30" s="93">
        <f>ROUND($U$17+(MIN(400,$A30)*$U$18+MAX(0,$A30-400)*$U$19)/100*(1+$U$27)*(1+$U$21)+$U$20,2)</f>
        <v>656.73</v>
      </c>
      <c r="N30" s="93"/>
      <c r="O30" s="213">
        <f t="shared" si="32"/>
        <v>11.960000000000036</v>
      </c>
      <c r="Q30" s="214">
        <f t="shared" si="33"/>
        <v>1.9E-2</v>
      </c>
      <c r="V30" s="106"/>
      <c r="W30" s="102"/>
      <c r="X30" s="102"/>
    </row>
    <row r="31" spans="1:24">
      <c r="R31" s="110"/>
      <c r="V31" s="106"/>
      <c r="W31" s="102"/>
      <c r="X31" s="102"/>
    </row>
    <row r="32" spans="1:24">
      <c r="W32" s="102"/>
      <c r="X32" s="102"/>
    </row>
    <row r="33" spans="1:24" ht="15.75">
      <c r="A33" s="111" t="s">
        <v>434</v>
      </c>
      <c r="W33" s="102"/>
      <c r="X33" s="102"/>
    </row>
    <row r="34" spans="1:24">
      <c r="A34" s="92" t="s">
        <v>435</v>
      </c>
      <c r="W34" s="102"/>
      <c r="X34" s="102"/>
    </row>
  </sheetData>
  <mergeCells count="2">
    <mergeCell ref="G5:I5"/>
    <mergeCell ref="O5:Q5"/>
  </mergeCells>
  <pageMargins left="0.7" right="0.7" top="0.75" bottom="0.75" header="0.3" footer="0.3"/>
  <pageSetup orientation="portrait" r:id="rId1"/>
  <colBreaks count="1" manualBreakCount="1">
    <brk id="17" max="3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B382A-864F-4635-B264-576DB895F2D7}">
  <dimension ref="B2:G65"/>
  <sheetViews>
    <sheetView topLeftCell="A7" workbookViewId="0">
      <selection activeCell="F19" sqref="F19"/>
    </sheetView>
  </sheetViews>
  <sheetFormatPr defaultColWidth="8.25" defaultRowHeight="15.75"/>
  <cols>
    <col min="1" max="1" width="8.25" style="502"/>
    <col min="2" max="2" width="62.875" style="502" bestFit="1" customWidth="1"/>
    <col min="3" max="3" width="17.125" style="502" bestFit="1" customWidth="1"/>
    <col min="4" max="4" width="1.75" style="502" customWidth="1"/>
    <col min="5" max="5" width="20.25" style="502" bestFit="1" customWidth="1"/>
    <col min="6" max="6" width="14.875" style="502" bestFit="1" customWidth="1"/>
    <col min="7" max="7" width="15" style="502" bestFit="1" customWidth="1"/>
    <col min="8" max="16384" width="8.25" style="502"/>
  </cols>
  <sheetData>
    <row r="2" spans="2:5">
      <c r="B2" s="499"/>
      <c r="C2" s="500"/>
      <c r="D2" s="500"/>
      <c r="E2" s="501" t="s">
        <v>436</v>
      </c>
    </row>
    <row r="3" spans="2:5">
      <c r="B3" s="503" t="s">
        <v>437</v>
      </c>
      <c r="E3" s="504" t="s">
        <v>438</v>
      </c>
    </row>
    <row r="4" spans="2:5">
      <c r="B4" s="505"/>
      <c r="E4" s="504"/>
    </row>
    <row r="5" spans="2:5">
      <c r="B5" s="506" t="s">
        <v>439</v>
      </c>
      <c r="C5" s="507">
        <v>37.051279274704321</v>
      </c>
      <c r="E5" s="504" t="s">
        <v>440</v>
      </c>
    </row>
    <row r="6" spans="2:5">
      <c r="B6" s="506" t="s">
        <v>441</v>
      </c>
      <c r="C6" s="508">
        <v>18.813830859930352</v>
      </c>
      <c r="E6" s="504" t="s">
        <v>442</v>
      </c>
    </row>
    <row r="7" spans="2:5">
      <c r="B7" s="506" t="s">
        <v>443</v>
      </c>
      <c r="C7" s="509">
        <v>18.237448414773969</v>
      </c>
      <c r="E7" s="504"/>
    </row>
    <row r="8" spans="2:5">
      <c r="B8" s="506"/>
      <c r="C8" s="510"/>
      <c r="E8" s="504"/>
    </row>
    <row r="9" spans="2:5">
      <c r="B9" s="506" t="s">
        <v>444</v>
      </c>
      <c r="C9" s="511">
        <v>26070633.371495221</v>
      </c>
      <c r="E9" s="504" t="s">
        <v>445</v>
      </c>
    </row>
    <row r="10" spans="2:5">
      <c r="B10" s="506"/>
      <c r="C10" s="511"/>
      <c r="E10" s="504"/>
    </row>
    <row r="11" spans="2:5">
      <c r="B11" s="506" t="s">
        <v>446</v>
      </c>
      <c r="C11" s="512">
        <v>474911772.33089769</v>
      </c>
      <c r="E11" s="504" t="s">
        <v>447</v>
      </c>
    </row>
    <row r="12" spans="2:5">
      <c r="B12" s="506" t="s">
        <v>448</v>
      </c>
      <c r="C12" s="511">
        <v>-24903951.22512237</v>
      </c>
      <c r="E12" s="504" t="s">
        <v>449</v>
      </c>
    </row>
    <row r="13" spans="2:5">
      <c r="B13" s="506" t="s">
        <v>450</v>
      </c>
      <c r="C13" s="513">
        <v>9220125.9819151368</v>
      </c>
      <c r="E13" s="504" t="s">
        <v>451</v>
      </c>
    </row>
    <row r="14" spans="2:5">
      <c r="B14" s="506" t="s">
        <v>452</v>
      </c>
      <c r="C14" s="511">
        <v>459227947.08769053</v>
      </c>
      <c r="E14" s="504" t="s">
        <v>453</v>
      </c>
    </row>
    <row r="15" spans="2:5">
      <c r="B15" s="506"/>
      <c r="C15" s="514"/>
      <c r="E15" s="504"/>
    </row>
    <row r="16" spans="2:5">
      <c r="B16" s="506" t="s">
        <v>454</v>
      </c>
      <c r="C16" s="512">
        <v>238367.06</v>
      </c>
      <c r="E16" s="504" t="s">
        <v>455</v>
      </c>
    </row>
    <row r="17" spans="2:7">
      <c r="B17" s="506" t="s">
        <v>456</v>
      </c>
      <c r="C17" s="511">
        <v>-24244080</v>
      </c>
      <c r="E17" s="504" t="s">
        <v>457</v>
      </c>
    </row>
    <row r="18" spans="2:7">
      <c r="B18" s="506" t="s">
        <v>458</v>
      </c>
      <c r="C18" s="511">
        <v>12324880.875756441</v>
      </c>
      <c r="E18" s="504" t="s">
        <v>459</v>
      </c>
    </row>
    <row r="19" spans="2:7">
      <c r="B19" s="506" t="s">
        <v>460</v>
      </c>
      <c r="C19" s="511">
        <v>5995372.5982582569</v>
      </c>
      <c r="E19" s="504" t="s">
        <v>461</v>
      </c>
    </row>
    <row r="20" spans="2:7">
      <c r="B20" s="506" t="s">
        <v>462</v>
      </c>
      <c r="C20" s="511">
        <v>6144341.3228039742</v>
      </c>
      <c r="E20" s="504" t="s">
        <v>463</v>
      </c>
    </row>
    <row r="21" spans="2:7">
      <c r="B21" s="506" t="s">
        <v>464</v>
      </c>
      <c r="C21" s="511">
        <v>12376556.084681699</v>
      </c>
      <c r="E21" s="504" t="s">
        <v>465</v>
      </c>
    </row>
    <row r="22" spans="2:7">
      <c r="B22" s="506" t="s">
        <v>466</v>
      </c>
      <c r="C22" s="511">
        <v>-51052.220272000006</v>
      </c>
      <c r="E22" s="504" t="s">
        <v>467</v>
      </c>
    </row>
    <row r="23" spans="2:7">
      <c r="B23" s="506" t="s">
        <v>468</v>
      </c>
      <c r="C23" s="511">
        <v>-397024.35662847757</v>
      </c>
      <c r="E23" s="504" t="s">
        <v>469</v>
      </c>
    </row>
    <row r="24" spans="2:7">
      <c r="B24" s="506"/>
      <c r="C24" s="515"/>
      <c r="E24" s="504"/>
    </row>
    <row r="25" spans="2:7" ht="16.5" thickBot="1">
      <c r="B25" s="516" t="s">
        <v>470</v>
      </c>
      <c r="C25" s="517">
        <v>471615308.45229042</v>
      </c>
      <c r="E25" s="504" t="s">
        <v>471</v>
      </c>
      <c r="F25" s="511"/>
    </row>
    <row r="26" spans="2:7" ht="16.5" thickTop="1">
      <c r="B26" s="505"/>
      <c r="E26" s="518"/>
    </row>
    <row r="27" spans="2:7">
      <c r="B27" s="505" t="s">
        <v>472</v>
      </c>
      <c r="E27" s="518"/>
    </row>
    <row r="28" spans="2:7">
      <c r="B28" s="519"/>
      <c r="C28" s="520"/>
      <c r="D28" s="520"/>
      <c r="E28" s="521"/>
    </row>
    <row r="30" spans="2:7">
      <c r="B30" s="499"/>
      <c r="C30" s="500"/>
      <c r="D30" s="522"/>
      <c r="F30" s="515"/>
    </row>
    <row r="31" spans="2:7">
      <c r="B31" s="506" t="s">
        <v>473</v>
      </c>
      <c r="C31" s="523">
        <v>1175313526.3100662</v>
      </c>
      <c r="D31" s="518"/>
      <c r="E31" s="524"/>
      <c r="F31" s="525"/>
      <c r="G31" s="510"/>
    </row>
    <row r="32" spans="2:7">
      <c r="B32" s="506" t="s">
        <v>474</v>
      </c>
      <c r="C32" s="513">
        <v>624146199.23484945</v>
      </c>
      <c r="D32" s="518"/>
      <c r="E32" s="524"/>
      <c r="F32" s="525"/>
    </row>
    <row r="33" spans="2:6">
      <c r="B33" s="516" t="s">
        <v>475</v>
      </c>
      <c r="C33" s="526">
        <v>551167327.07521677</v>
      </c>
      <c r="D33" s="518"/>
      <c r="E33" s="527"/>
    </row>
    <row r="34" spans="2:6">
      <c r="B34" s="506"/>
      <c r="D34" s="518"/>
      <c r="E34" s="528"/>
    </row>
    <row r="35" spans="2:6">
      <c r="B35" s="506" t="s">
        <v>476</v>
      </c>
      <c r="C35" s="523">
        <v>-89025428.161502048</v>
      </c>
      <c r="D35" s="518"/>
      <c r="E35" s="528"/>
    </row>
    <row r="36" spans="2:6">
      <c r="B36" s="506" t="s">
        <v>477</v>
      </c>
      <c r="C36" s="513">
        <v>-50632163.283169247</v>
      </c>
      <c r="D36" s="518"/>
      <c r="E36" s="528"/>
    </row>
    <row r="37" spans="2:6">
      <c r="B37" s="516" t="s">
        <v>478</v>
      </c>
      <c r="C37" s="526">
        <v>-38393264.878332801</v>
      </c>
      <c r="D37" s="518"/>
      <c r="E37" s="527"/>
      <c r="F37" s="525"/>
    </row>
    <row r="38" spans="2:6">
      <c r="B38" s="516"/>
      <c r="C38" s="526"/>
      <c r="D38" s="518"/>
      <c r="E38" s="527"/>
      <c r="F38" s="525"/>
    </row>
    <row r="39" spans="2:6">
      <c r="B39" s="506" t="s">
        <v>479</v>
      </c>
      <c r="C39" s="523">
        <v>-120337780.23286828</v>
      </c>
      <c r="D39" s="518"/>
      <c r="E39" s="527"/>
      <c r="F39" s="525"/>
    </row>
    <row r="40" spans="2:6">
      <c r="B40" s="506" t="s">
        <v>480</v>
      </c>
      <c r="C40" s="513">
        <v>-106227616.10539107</v>
      </c>
      <c r="D40" s="518"/>
      <c r="E40" s="527"/>
      <c r="F40" s="525"/>
    </row>
    <row r="41" spans="2:6">
      <c r="B41" s="516" t="s">
        <v>481</v>
      </c>
      <c r="C41" s="526">
        <v>-14110164.127477214</v>
      </c>
      <c r="D41" s="518"/>
      <c r="E41" s="527"/>
      <c r="F41" s="525"/>
    </row>
    <row r="42" spans="2:6">
      <c r="B42" s="506"/>
      <c r="D42" s="518"/>
    </row>
    <row r="43" spans="2:6">
      <c r="B43" s="506" t="s">
        <v>482</v>
      </c>
      <c r="C43" s="511">
        <v>26070633.371495221</v>
      </c>
      <c r="D43" s="518"/>
    </row>
    <row r="44" spans="2:6">
      <c r="B44" s="506" t="s">
        <v>483</v>
      </c>
      <c r="C44" s="513">
        <v>24837388.160085697</v>
      </c>
      <c r="D44" s="518"/>
    </row>
    <row r="45" spans="2:6">
      <c r="B45" s="506" t="s">
        <v>484</v>
      </c>
      <c r="C45" s="529">
        <v>1233245.2114095241</v>
      </c>
      <c r="D45" s="518"/>
    </row>
    <row r="46" spans="2:6">
      <c r="B46" s="516" t="s">
        <v>485</v>
      </c>
      <c r="C46" s="526">
        <v>-23752125.738508999</v>
      </c>
      <c r="D46" s="518"/>
      <c r="E46" s="530"/>
      <c r="F46" s="525"/>
    </row>
    <row r="47" spans="2:6">
      <c r="B47" s="506"/>
      <c r="D47" s="518"/>
    </row>
    <row r="48" spans="2:6">
      <c r="B48" s="516" t="s">
        <v>486</v>
      </c>
      <c r="C48" s="526">
        <v>474911772.33089775</v>
      </c>
      <c r="D48" s="518"/>
    </row>
    <row r="49" spans="2:4">
      <c r="B49" s="506"/>
      <c r="D49" s="518"/>
    </row>
    <row r="50" spans="2:4">
      <c r="B50" s="506" t="s">
        <v>487</v>
      </c>
      <c r="C50" s="523">
        <v>474911772.33089769</v>
      </c>
      <c r="D50" s="518"/>
    </row>
    <row r="51" spans="2:4">
      <c r="B51" s="506" t="s">
        <v>488</v>
      </c>
      <c r="C51" s="511">
        <v>-24903951.22512237</v>
      </c>
      <c r="D51" s="518"/>
    </row>
    <row r="52" spans="2:4">
      <c r="B52" s="506" t="s">
        <v>489</v>
      </c>
      <c r="C52" s="511">
        <v>9220125.9819151368</v>
      </c>
      <c r="D52" s="518"/>
    </row>
    <row r="53" spans="2:4">
      <c r="B53" s="506"/>
      <c r="D53" s="518"/>
    </row>
    <row r="54" spans="2:4">
      <c r="B54" s="506" t="s">
        <v>454</v>
      </c>
      <c r="C54" s="515">
        <v>238367.06</v>
      </c>
      <c r="D54" s="518"/>
    </row>
    <row r="55" spans="2:4">
      <c r="B55" s="506" t="s">
        <v>456</v>
      </c>
      <c r="C55" s="511">
        <v>-24244080</v>
      </c>
      <c r="D55" s="518"/>
    </row>
    <row r="56" spans="2:4">
      <c r="B56" s="506" t="s">
        <v>458</v>
      </c>
      <c r="C56" s="511">
        <v>12324880.875756441</v>
      </c>
      <c r="D56" s="518"/>
    </row>
    <row r="57" spans="2:4">
      <c r="B57" s="506" t="s">
        <v>490</v>
      </c>
      <c r="C57" s="511">
        <v>5995372.5982582569</v>
      </c>
      <c r="D57" s="518"/>
    </row>
    <row r="58" spans="2:4">
      <c r="B58" s="506" t="s">
        <v>462</v>
      </c>
      <c r="C58" s="511">
        <v>6144341.3228039742</v>
      </c>
      <c r="D58" s="518"/>
    </row>
    <row r="59" spans="2:4">
      <c r="B59" s="506" t="s">
        <v>464</v>
      </c>
      <c r="C59" s="511">
        <v>12376556.084681699</v>
      </c>
      <c r="D59" s="518"/>
    </row>
    <row r="60" spans="2:4">
      <c r="B60" s="506" t="s">
        <v>466</v>
      </c>
      <c r="C60" s="511">
        <v>-51052.220272000006</v>
      </c>
      <c r="D60" s="518"/>
    </row>
    <row r="61" spans="2:4">
      <c r="B61" s="506" t="s">
        <v>468</v>
      </c>
      <c r="C61" s="511">
        <v>-397024.35662847757</v>
      </c>
      <c r="D61" s="518"/>
    </row>
    <row r="62" spans="2:4">
      <c r="B62" s="506"/>
      <c r="C62" s="511"/>
      <c r="D62" s="518"/>
    </row>
    <row r="63" spans="2:4">
      <c r="B63" s="506"/>
      <c r="C63" s="523"/>
      <c r="D63" s="518"/>
    </row>
    <row r="64" spans="2:4" ht="16.5" thickBot="1">
      <c r="B64" s="516" t="s">
        <v>470</v>
      </c>
      <c r="C64" s="531">
        <v>471615308.4522903</v>
      </c>
      <c r="D64" s="518"/>
    </row>
    <row r="65" spans="2:4" ht="16.5" thickTop="1">
      <c r="B65" s="519"/>
      <c r="C65" s="520"/>
      <c r="D65" s="52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6E7D5-9275-4D54-9248-2CCFDCC9ACF4}">
  <dimension ref="A1:AE51"/>
  <sheetViews>
    <sheetView topLeftCell="A9" workbookViewId="0">
      <pane xSplit="6" ySplit="4" topLeftCell="G13" activePane="bottomRight" state="frozen"/>
      <selection pane="topRight" activeCell="G9" sqref="G9"/>
      <selection pane="bottomLeft" activeCell="A13" sqref="A13"/>
      <selection pane="bottomRight" activeCell="U25" sqref="U25"/>
    </sheetView>
  </sheetViews>
  <sheetFormatPr defaultColWidth="9" defaultRowHeight="15.75"/>
  <cols>
    <col min="1" max="1" width="4.625" style="59" customWidth="1"/>
    <col min="2" max="2" width="0.75" style="59" customWidth="1"/>
    <col min="3" max="3" width="39.375" style="59" customWidth="1"/>
    <col min="4" max="4" width="0.75" style="59" customWidth="1"/>
    <col min="5" max="5" width="7.125" style="59" bestFit="1" customWidth="1"/>
    <col min="6" max="6" width="0.75" style="59" customWidth="1"/>
    <col min="7" max="7" width="10.5" style="59" bestFit="1" customWidth="1"/>
    <col min="8" max="8" width="0.75" style="59" customWidth="1"/>
    <col min="9" max="9" width="11.5" style="59" bestFit="1" customWidth="1"/>
    <col min="10" max="10" width="0.75" style="59" customWidth="1"/>
    <col min="11" max="11" width="10.75" style="59" bestFit="1" customWidth="1"/>
    <col min="12" max="12" width="0.75" style="59" customWidth="1"/>
    <col min="13" max="13" width="9.25" style="59" bestFit="1" customWidth="1"/>
    <col min="14" max="14" width="0.75" style="59" customWidth="1"/>
    <col min="15" max="15" width="10.75" style="59" bestFit="1" customWidth="1"/>
    <col min="16" max="16" width="0.75" style="59" customWidth="1"/>
    <col min="17" max="17" width="10.75" style="59" bestFit="1" customWidth="1"/>
    <col min="18" max="18" width="0.75" style="59" customWidth="1"/>
    <col min="19" max="19" width="9.75" style="59" bestFit="1" customWidth="1"/>
    <col min="20" max="20" width="0.75" style="59" customWidth="1"/>
    <col min="21" max="21" width="10.75" style="59" bestFit="1" customWidth="1"/>
    <col min="22" max="22" width="0.75" style="59" customWidth="1"/>
    <col min="23" max="23" width="6.375" style="59" bestFit="1" customWidth="1"/>
    <col min="24" max="24" width="0.75" style="59" customWidth="1"/>
    <col min="25" max="25" width="5.75" style="125" bestFit="1" customWidth="1"/>
    <col min="26" max="26" width="0.75" style="59" customWidth="1"/>
    <col min="27" max="27" width="9.25" style="59" customWidth="1"/>
    <col min="28" max="28" width="0.75" style="59" customWidth="1"/>
    <col min="29" max="29" width="6.75" style="125" bestFit="1" customWidth="1"/>
    <col min="30" max="30" width="9" style="59"/>
    <col min="31" max="31" width="13.125" style="59" bestFit="1" customWidth="1"/>
    <col min="32" max="16384" width="9" style="59"/>
  </cols>
  <sheetData>
    <row r="1" spans="1:31" s="144" customFormat="1">
      <c r="A1" s="35" t="s">
        <v>1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474"/>
      <c r="U1" s="474"/>
      <c r="V1" s="474"/>
      <c r="W1" s="474"/>
      <c r="X1" s="474"/>
      <c r="Y1" s="475"/>
      <c r="Z1" s="474"/>
      <c r="AA1" s="474"/>
      <c r="AB1" s="474"/>
      <c r="AC1" s="140"/>
    </row>
    <row r="2" spans="1:31" s="144" customFormat="1">
      <c r="A2" s="35" t="s">
        <v>491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5"/>
      <c r="Z2" s="474"/>
      <c r="AA2" s="474"/>
      <c r="AB2" s="474"/>
      <c r="AC2" s="140"/>
    </row>
    <row r="3" spans="1:31" s="144" customFormat="1">
      <c r="A3" s="35" t="s">
        <v>3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474"/>
      <c r="T3" s="474"/>
      <c r="U3" s="474"/>
      <c r="V3" s="474"/>
      <c r="W3" s="474"/>
      <c r="X3" s="474"/>
      <c r="Y3" s="475"/>
      <c r="Z3" s="474"/>
      <c r="AA3" s="474"/>
      <c r="AB3" s="474"/>
      <c r="AC3" s="140"/>
    </row>
    <row r="4" spans="1:31" s="144" customFormat="1">
      <c r="A4" s="35" t="s">
        <v>492</v>
      </c>
      <c r="B4" s="474"/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  <c r="U4" s="474"/>
      <c r="V4" s="474"/>
      <c r="W4" s="474"/>
      <c r="X4" s="474"/>
      <c r="Y4" s="475"/>
      <c r="Z4" s="474"/>
      <c r="AA4" s="474"/>
      <c r="AB4" s="474"/>
      <c r="AC4" s="140"/>
    </row>
    <row r="5" spans="1:31" s="144" customFormat="1">
      <c r="A5" s="476" t="s">
        <v>4</v>
      </c>
      <c r="B5" s="474"/>
      <c r="C5" s="474"/>
      <c r="D5" s="474"/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474"/>
      <c r="P5" s="474"/>
      <c r="Q5" s="474"/>
      <c r="R5" s="474"/>
      <c r="S5" s="474"/>
      <c r="T5" s="474"/>
      <c r="U5" s="474"/>
      <c r="V5" s="474"/>
      <c r="W5" s="474"/>
      <c r="X5" s="474"/>
      <c r="Y5" s="475"/>
      <c r="Z5" s="474"/>
      <c r="AA5" s="474"/>
      <c r="AB5" s="474"/>
      <c r="AC5" s="475"/>
    </row>
    <row r="6" spans="1:31">
      <c r="A6" s="35" t="s">
        <v>5</v>
      </c>
      <c r="B6" s="474"/>
      <c r="C6" s="474"/>
      <c r="D6" s="474"/>
      <c r="E6" s="474"/>
      <c r="F6" s="474"/>
      <c r="G6" s="474"/>
      <c r="H6" s="474"/>
      <c r="I6" s="474"/>
      <c r="J6" s="58"/>
      <c r="K6" s="58"/>
      <c r="L6" s="58"/>
      <c r="M6" s="58"/>
      <c r="N6" s="58"/>
      <c r="O6" s="58"/>
      <c r="P6" s="58"/>
      <c r="Q6" s="58"/>
      <c r="R6" s="474"/>
      <c r="S6" s="58"/>
      <c r="T6" s="58"/>
      <c r="U6" s="58"/>
      <c r="V6" s="58"/>
      <c r="W6" s="58"/>
      <c r="X6" s="58"/>
      <c r="Y6" s="122"/>
      <c r="Z6" s="58"/>
      <c r="AA6" s="58"/>
      <c r="AB6" s="58"/>
      <c r="AC6" s="122"/>
    </row>
    <row r="7" spans="1:31" ht="10.5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58"/>
      <c r="L7" s="35"/>
      <c r="M7" s="58"/>
      <c r="N7" s="35"/>
      <c r="O7" s="58"/>
      <c r="P7" s="35"/>
      <c r="Q7" s="58"/>
      <c r="R7" s="35"/>
      <c r="S7" s="58"/>
      <c r="T7" s="35"/>
      <c r="U7" s="58"/>
      <c r="V7" s="35"/>
      <c r="W7" s="58"/>
      <c r="X7" s="35"/>
      <c r="Y7" s="122"/>
      <c r="Z7" s="35"/>
      <c r="AA7" s="58"/>
      <c r="AB7" s="35"/>
      <c r="AC7" s="122"/>
    </row>
    <row r="8" spans="1:31">
      <c r="D8" s="69"/>
      <c r="F8" s="69"/>
      <c r="G8" s="34"/>
      <c r="H8" s="69"/>
      <c r="J8" s="69"/>
      <c r="L8" s="69"/>
      <c r="N8" s="69"/>
      <c r="P8" s="69"/>
      <c r="R8" s="69"/>
      <c r="T8" s="69"/>
      <c r="V8" s="69"/>
      <c r="Z8" s="69"/>
    </row>
    <row r="9" spans="1:31" ht="16.5" thickBot="1">
      <c r="D9" s="34"/>
      <c r="E9" s="34"/>
      <c r="F9" s="34"/>
      <c r="G9" s="34" t="s">
        <v>6</v>
      </c>
      <c r="H9" s="34"/>
      <c r="I9" s="34"/>
      <c r="J9" s="34"/>
      <c r="K9" s="34"/>
      <c r="L9" s="34"/>
      <c r="M9" s="35"/>
      <c r="N9" s="34"/>
      <c r="O9" s="35"/>
      <c r="P9" s="34"/>
      <c r="Q9" s="34"/>
      <c r="R9" s="34"/>
      <c r="S9" s="35"/>
      <c r="T9" s="34"/>
      <c r="U9" s="35"/>
      <c r="V9" s="34"/>
      <c r="W9" s="71" t="s">
        <v>7</v>
      </c>
      <c r="X9" s="71"/>
      <c r="Y9" s="126"/>
      <c r="Z9" s="71"/>
      <c r="AA9" s="35"/>
      <c r="AB9" s="35"/>
      <c r="AC9" s="139"/>
    </row>
    <row r="10" spans="1:31" s="37" customFormat="1">
      <c r="A10" s="37" t="s">
        <v>8</v>
      </c>
      <c r="D10" s="34"/>
      <c r="E10" s="34" t="s">
        <v>9</v>
      </c>
      <c r="F10" s="34"/>
      <c r="G10" s="34" t="s">
        <v>10</v>
      </c>
      <c r="H10" s="34"/>
      <c r="I10" s="34" t="s">
        <v>11</v>
      </c>
      <c r="J10" s="34"/>
      <c r="K10" s="71" t="s">
        <v>12</v>
      </c>
      <c r="L10" s="71"/>
      <c r="M10" s="71"/>
      <c r="N10" s="71"/>
      <c r="O10" s="71"/>
      <c r="P10" s="34"/>
      <c r="Q10" s="71" t="s">
        <v>13</v>
      </c>
      <c r="R10" s="35"/>
      <c r="S10" s="71"/>
      <c r="T10" s="71"/>
      <c r="U10" s="71"/>
      <c r="V10" s="34"/>
      <c r="W10" s="71" t="s">
        <v>14</v>
      </c>
      <c r="X10" s="71"/>
      <c r="Y10" s="126"/>
      <c r="Z10" s="34"/>
      <c r="AA10" s="477" t="s">
        <v>15</v>
      </c>
      <c r="AB10" s="478"/>
      <c r="AC10" s="479"/>
    </row>
    <row r="11" spans="1:31" s="37" customFormat="1">
      <c r="A11" s="37" t="s">
        <v>16</v>
      </c>
      <c r="C11" s="34" t="s">
        <v>17</v>
      </c>
      <c r="E11" s="60" t="s">
        <v>16</v>
      </c>
      <c r="G11" s="60" t="s">
        <v>18</v>
      </c>
      <c r="I11" s="60" t="s">
        <v>18</v>
      </c>
      <c r="K11" s="36" t="s">
        <v>14</v>
      </c>
      <c r="M11" s="36" t="s">
        <v>19</v>
      </c>
      <c r="O11" s="36" t="s">
        <v>15</v>
      </c>
      <c r="Q11" s="36" t="s">
        <v>14</v>
      </c>
      <c r="S11" s="36" t="s">
        <v>19</v>
      </c>
      <c r="U11" s="36" t="s">
        <v>15</v>
      </c>
      <c r="W11" s="36" t="s">
        <v>20</v>
      </c>
      <c r="Y11" s="127" t="s">
        <v>21</v>
      </c>
      <c r="AA11" s="480" t="s">
        <v>20</v>
      </c>
      <c r="AC11" s="481" t="s">
        <v>21</v>
      </c>
    </row>
    <row r="12" spans="1:31" s="37" customFormat="1">
      <c r="C12" s="19">
        <v>-1</v>
      </c>
      <c r="D12" s="19"/>
      <c r="E12" s="19">
        <v>-2</v>
      </c>
      <c r="F12" s="19"/>
      <c r="G12" s="19">
        <v>-3</v>
      </c>
      <c r="H12" s="19"/>
      <c r="I12" s="19">
        <v>-4</v>
      </c>
      <c r="J12" s="19"/>
      <c r="K12" s="19">
        <v>-5</v>
      </c>
      <c r="L12" s="19"/>
      <c r="M12" s="19">
        <v>-6</v>
      </c>
      <c r="N12" s="19"/>
      <c r="O12" s="19">
        <v>-7</v>
      </c>
      <c r="P12" s="19"/>
      <c r="Q12" s="19">
        <v>-8</v>
      </c>
      <c r="R12" s="19"/>
      <c r="S12" s="19">
        <v>-9</v>
      </c>
      <c r="T12" s="19"/>
      <c r="U12" s="19">
        <v>-10</v>
      </c>
      <c r="V12" s="19"/>
      <c r="W12" s="19">
        <v>-11</v>
      </c>
      <c r="X12" s="19"/>
      <c r="Y12" s="19">
        <v>-12</v>
      </c>
      <c r="Z12" s="19"/>
      <c r="AA12" s="482">
        <v>-13</v>
      </c>
      <c r="AB12" s="19"/>
      <c r="AC12" s="483">
        <v>-14</v>
      </c>
    </row>
    <row r="13" spans="1:31" s="37" customFormat="1">
      <c r="Y13" s="128"/>
      <c r="AA13" s="484"/>
      <c r="AC13" s="485"/>
    </row>
    <row r="14" spans="1:31">
      <c r="C14" s="37" t="s">
        <v>22</v>
      </c>
      <c r="AA14" s="484"/>
      <c r="AB14" s="37"/>
      <c r="AC14" s="486"/>
    </row>
    <row r="15" spans="1:31">
      <c r="A15" s="59">
        <v>1</v>
      </c>
      <c r="C15" s="59" t="s">
        <v>22</v>
      </c>
      <c r="E15" s="61" t="s">
        <v>23</v>
      </c>
      <c r="G15" s="20">
        <v>857245</v>
      </c>
      <c r="I15" s="20">
        <v>6776607.1933199447</v>
      </c>
      <c r="J15" s="22"/>
      <c r="K15" s="21">
        <v>0</v>
      </c>
      <c r="L15" s="22"/>
      <c r="M15" s="21">
        <v>0</v>
      </c>
      <c r="N15" s="22"/>
      <c r="O15" s="21">
        <v>0</v>
      </c>
      <c r="P15" s="22"/>
      <c r="Q15" s="21">
        <v>0</v>
      </c>
      <c r="S15" s="21">
        <v>1459.1405117805552</v>
      </c>
      <c r="T15" s="22"/>
      <c r="U15" s="21">
        <v>1459.140511780628</v>
      </c>
      <c r="V15" s="22"/>
      <c r="W15" s="21">
        <v>0</v>
      </c>
      <c r="X15" s="22"/>
      <c r="Y15" s="129">
        <v>0</v>
      </c>
      <c r="Z15" s="22"/>
      <c r="AA15" s="487">
        <v>1459.140511780628</v>
      </c>
      <c r="AB15" s="488"/>
      <c r="AC15" s="489">
        <v>1.8191527770291399E-3</v>
      </c>
    </row>
    <row r="16" spans="1:31">
      <c r="A16" s="59">
        <v>2</v>
      </c>
      <c r="C16" s="59" t="s">
        <v>24</v>
      </c>
      <c r="E16" s="61" t="s">
        <v>25</v>
      </c>
      <c r="G16" s="20">
        <v>623</v>
      </c>
      <c r="I16" s="20">
        <v>6392.1840452160832</v>
      </c>
      <c r="J16" s="22"/>
      <c r="K16" s="21">
        <v>0</v>
      </c>
      <c r="L16" s="22"/>
      <c r="M16" s="21">
        <v>0</v>
      </c>
      <c r="N16" s="22"/>
      <c r="O16" s="21">
        <v>0</v>
      </c>
      <c r="P16" s="22"/>
      <c r="Q16" s="21">
        <v>0</v>
      </c>
      <c r="S16" s="21">
        <v>1.2284045847000016</v>
      </c>
      <c r="T16" s="22"/>
      <c r="U16" s="21">
        <v>1.2284045847000016</v>
      </c>
      <c r="V16" s="22"/>
      <c r="W16" s="21">
        <v>0</v>
      </c>
      <c r="X16" s="22"/>
      <c r="Y16" s="129">
        <v>0</v>
      </c>
      <c r="Z16" s="22"/>
      <c r="AA16" s="487">
        <v>1.2284045847000016</v>
      </c>
      <c r="AB16" s="488"/>
      <c r="AC16" s="489">
        <v>1.8537696743419901E-3</v>
      </c>
      <c r="AD16" s="58"/>
      <c r="AE16" s="58"/>
    </row>
    <row r="17" spans="1:31">
      <c r="A17" s="59">
        <v>3</v>
      </c>
      <c r="C17" s="59" t="s">
        <v>27</v>
      </c>
      <c r="E17" s="61" t="s">
        <v>28</v>
      </c>
      <c r="G17" s="130"/>
      <c r="I17" s="130"/>
      <c r="J17" s="22"/>
      <c r="K17" s="23">
        <v>0</v>
      </c>
      <c r="L17" s="22"/>
      <c r="M17" s="23">
        <v>0</v>
      </c>
      <c r="N17" s="22"/>
      <c r="O17" s="23">
        <v>0</v>
      </c>
      <c r="P17" s="22"/>
      <c r="Q17" s="23">
        <v>0</v>
      </c>
      <c r="S17" s="23"/>
      <c r="T17" s="22"/>
      <c r="U17" s="23">
        <v>0</v>
      </c>
      <c r="V17" s="22"/>
      <c r="W17" s="23">
        <v>0</v>
      </c>
      <c r="X17" s="22"/>
      <c r="Y17" s="131">
        <v>0</v>
      </c>
      <c r="Z17" s="22"/>
      <c r="AA17" s="490">
        <v>0</v>
      </c>
      <c r="AB17" s="488"/>
      <c r="AC17" s="491">
        <v>0</v>
      </c>
      <c r="AD17" s="150"/>
      <c r="AE17" s="150"/>
    </row>
    <row r="18" spans="1:31">
      <c r="A18" s="59">
        <v>4</v>
      </c>
      <c r="C18" s="37" t="s">
        <v>30</v>
      </c>
      <c r="G18" s="20">
        <v>857868</v>
      </c>
      <c r="I18" s="20">
        <v>6782999.3773651607</v>
      </c>
      <c r="J18" s="22"/>
      <c r="K18" s="21">
        <v>0</v>
      </c>
      <c r="L18" s="22"/>
      <c r="M18" s="21">
        <v>0</v>
      </c>
      <c r="N18" s="22"/>
      <c r="O18" s="21">
        <v>0</v>
      </c>
      <c r="P18" s="22"/>
      <c r="Q18" s="21">
        <v>0</v>
      </c>
      <c r="S18" s="21">
        <v>1460.3689163652598</v>
      </c>
      <c r="T18" s="22"/>
      <c r="U18" s="21">
        <v>1460.368916365318</v>
      </c>
      <c r="V18" s="22"/>
      <c r="W18" s="21">
        <v>0</v>
      </c>
      <c r="X18" s="22"/>
      <c r="Y18" s="129">
        <v>0</v>
      </c>
      <c r="Z18" s="22"/>
      <c r="AA18" s="487">
        <v>1460.3689163653326</v>
      </c>
      <c r="AB18" s="488"/>
      <c r="AC18" s="489">
        <v>1.8191659535033156E-3</v>
      </c>
      <c r="AD18" s="20"/>
      <c r="AE18" s="141"/>
    </row>
    <row r="19" spans="1:31" ht="24.95" customHeight="1">
      <c r="C19" s="37" t="s">
        <v>31</v>
      </c>
      <c r="G19" s="20"/>
      <c r="I19" s="20"/>
      <c r="J19" s="22"/>
      <c r="K19" s="21"/>
      <c r="L19" s="22"/>
      <c r="M19" s="21"/>
      <c r="N19" s="22"/>
      <c r="O19" s="21"/>
      <c r="P19" s="22"/>
      <c r="Q19" s="21"/>
      <c r="S19" s="21"/>
      <c r="T19" s="22"/>
      <c r="U19" s="21"/>
      <c r="V19" s="22"/>
      <c r="W19" s="21"/>
      <c r="X19" s="22"/>
      <c r="Y19" s="129"/>
      <c r="Z19" s="22"/>
      <c r="AA19" s="487"/>
      <c r="AB19" s="488"/>
      <c r="AC19" s="489"/>
    </row>
    <row r="20" spans="1:31">
      <c r="A20" s="59">
        <v>5</v>
      </c>
      <c r="C20" s="59" t="s">
        <v>32</v>
      </c>
      <c r="E20" s="63">
        <v>6</v>
      </c>
      <c r="G20" s="20">
        <v>13530</v>
      </c>
      <c r="I20" s="20">
        <v>5789706.8492976893</v>
      </c>
      <c r="J20" s="22"/>
      <c r="K20" s="21">
        <v>0</v>
      </c>
      <c r="L20" s="22"/>
      <c r="M20" s="21">
        <v>0</v>
      </c>
      <c r="N20" s="22"/>
      <c r="O20" s="21">
        <v>0</v>
      </c>
      <c r="P20" s="22"/>
      <c r="Q20" s="21">
        <v>0</v>
      </c>
      <c r="S20" s="21">
        <v>1207.1549238291773</v>
      </c>
      <c r="T20" s="22"/>
      <c r="U20" s="21">
        <v>1207.15492382925</v>
      </c>
      <c r="V20" s="22"/>
      <c r="W20" s="21">
        <v>0</v>
      </c>
      <c r="X20" s="22"/>
      <c r="Y20" s="129">
        <v>0</v>
      </c>
      <c r="Z20" s="22"/>
      <c r="AA20" s="487">
        <v>1207.15492382925</v>
      </c>
      <c r="AB20" s="488"/>
      <c r="AC20" s="489">
        <v>2.3195000230898238E-3</v>
      </c>
    </row>
    <row r="21" spans="1:31">
      <c r="A21" s="59">
        <v>6</v>
      </c>
      <c r="C21" s="59" t="s">
        <v>33</v>
      </c>
      <c r="E21" s="61" t="s">
        <v>34</v>
      </c>
      <c r="G21" s="132">
        <v>2807</v>
      </c>
      <c r="I21" s="132">
        <v>404256.108225809</v>
      </c>
      <c r="J21" s="22"/>
      <c r="K21" s="23">
        <v>0</v>
      </c>
      <c r="L21" s="22"/>
      <c r="M21" s="23">
        <v>0</v>
      </c>
      <c r="N21" s="22"/>
      <c r="O21" s="23">
        <v>0</v>
      </c>
      <c r="P21" s="22"/>
      <c r="Q21" s="23">
        <v>0</v>
      </c>
      <c r="S21" s="23">
        <v>119.24843658491955</v>
      </c>
      <c r="T21" s="22"/>
      <c r="U21" s="23">
        <v>119.24843658491591</v>
      </c>
      <c r="V21" s="22"/>
      <c r="W21" s="23">
        <v>0</v>
      </c>
      <c r="X21" s="22"/>
      <c r="Y21" s="131">
        <v>0</v>
      </c>
      <c r="Z21" s="22"/>
      <c r="AA21" s="490">
        <v>119.24843658491591</v>
      </c>
      <c r="AB21" s="488"/>
      <c r="AC21" s="491">
        <v>2.3194974583120448E-3</v>
      </c>
    </row>
    <row r="22" spans="1:31">
      <c r="A22" s="59">
        <v>7</v>
      </c>
      <c r="C22" s="64" t="s">
        <v>35</v>
      </c>
      <c r="D22" s="64"/>
      <c r="E22" s="64"/>
      <c r="F22" s="64"/>
      <c r="G22" s="467">
        <v>16337</v>
      </c>
      <c r="H22" s="64"/>
      <c r="I22" s="467">
        <v>6193962.9575234987</v>
      </c>
      <c r="J22" s="462"/>
      <c r="K22" s="461">
        <v>0</v>
      </c>
      <c r="L22" s="462"/>
      <c r="M22" s="461">
        <v>0</v>
      </c>
      <c r="N22" s="462"/>
      <c r="O22" s="461">
        <v>0</v>
      </c>
      <c r="P22" s="462"/>
      <c r="Q22" s="461">
        <v>0</v>
      </c>
      <c r="R22" s="64"/>
      <c r="S22" s="461">
        <v>1326.4033604140859</v>
      </c>
      <c r="T22" s="462"/>
      <c r="U22" s="461">
        <v>1326.4033604142023</v>
      </c>
      <c r="V22" s="462"/>
      <c r="W22" s="461">
        <v>0</v>
      </c>
      <c r="X22" s="462"/>
      <c r="Y22" s="468">
        <v>0</v>
      </c>
      <c r="Z22" s="462"/>
      <c r="AA22" s="492">
        <v>1326.4033604141587</v>
      </c>
      <c r="AB22" s="493"/>
      <c r="AC22" s="494">
        <v>2.3194997925068128E-3</v>
      </c>
    </row>
    <row r="23" spans="1:31" ht="21.95" customHeight="1">
      <c r="A23" s="59">
        <v>8</v>
      </c>
      <c r="C23" s="59" t="s">
        <v>36</v>
      </c>
      <c r="E23" s="61">
        <v>8</v>
      </c>
      <c r="F23" s="20"/>
      <c r="G23" s="20">
        <v>249</v>
      </c>
      <c r="I23" s="20">
        <v>2020703.4442505348</v>
      </c>
      <c r="J23" s="22"/>
      <c r="K23" s="24">
        <v>0</v>
      </c>
      <c r="L23" s="22"/>
      <c r="M23" s="24">
        <v>0</v>
      </c>
      <c r="N23" s="22"/>
      <c r="O23" s="24">
        <v>0</v>
      </c>
      <c r="P23" s="22"/>
      <c r="Q23" s="21">
        <v>0</v>
      </c>
      <c r="S23" s="24">
        <v>310.7070292296703</v>
      </c>
      <c r="T23" s="22"/>
      <c r="U23" s="21">
        <v>310.7070292296703</v>
      </c>
      <c r="V23" s="22"/>
      <c r="W23" s="21">
        <v>0</v>
      </c>
      <c r="X23" s="22"/>
      <c r="Y23" s="129">
        <v>0</v>
      </c>
      <c r="Z23" s="22"/>
      <c r="AA23" s="487">
        <v>310.7070292296703</v>
      </c>
      <c r="AB23" s="488"/>
      <c r="AC23" s="489">
        <v>1.8983742355415112E-3</v>
      </c>
    </row>
    <row r="24" spans="1:31" ht="21.95" customHeight="1">
      <c r="A24" s="59">
        <v>9</v>
      </c>
      <c r="C24" s="59" t="s">
        <v>37</v>
      </c>
      <c r="E24" s="59">
        <v>9</v>
      </c>
      <c r="G24" s="20">
        <v>158</v>
      </c>
      <c r="I24" s="20">
        <v>4848930.6083051302</v>
      </c>
      <c r="J24" s="22"/>
      <c r="K24" s="24">
        <v>0</v>
      </c>
      <c r="L24" s="22"/>
      <c r="M24" s="24">
        <v>0</v>
      </c>
      <c r="N24" s="22"/>
      <c r="O24" s="24">
        <v>0</v>
      </c>
      <c r="P24" s="22"/>
      <c r="Q24" s="21">
        <v>0</v>
      </c>
      <c r="S24" s="24">
        <v>-3342.7596995661297</v>
      </c>
      <c r="T24" s="22"/>
      <c r="U24" s="21">
        <v>-3342.7596995661152</v>
      </c>
      <c r="V24" s="22"/>
      <c r="W24" s="21">
        <v>0</v>
      </c>
      <c r="X24" s="22"/>
      <c r="Y24" s="129">
        <v>0</v>
      </c>
      <c r="Z24" s="22"/>
      <c r="AA24" s="487">
        <v>-3342.7596995661152</v>
      </c>
      <c r="AB24" s="488"/>
      <c r="AC24" s="489">
        <v>-1.0734069249645872E-2</v>
      </c>
    </row>
    <row r="25" spans="1:31">
      <c r="A25" s="59">
        <v>10</v>
      </c>
      <c r="C25" s="59" t="s">
        <v>38</v>
      </c>
      <c r="E25" s="61" t="s">
        <v>39</v>
      </c>
      <c r="G25" s="132">
        <v>9</v>
      </c>
      <c r="I25" s="132">
        <v>41940.288</v>
      </c>
      <c r="J25" s="22"/>
      <c r="K25" s="23">
        <v>0</v>
      </c>
      <c r="L25" s="22"/>
      <c r="M25" s="23">
        <v>0</v>
      </c>
      <c r="N25" s="22"/>
      <c r="O25" s="23">
        <v>0</v>
      </c>
      <c r="P25" s="22"/>
      <c r="Q25" s="23">
        <v>0</v>
      </c>
      <c r="S25" s="23">
        <v>11.005266469759931</v>
      </c>
      <c r="T25" s="22"/>
      <c r="U25" s="23">
        <v>11.00526646975959</v>
      </c>
      <c r="V25" s="22"/>
      <c r="W25" s="23">
        <v>0</v>
      </c>
      <c r="X25" s="22"/>
      <c r="Y25" s="131">
        <v>0</v>
      </c>
      <c r="Z25" s="22"/>
      <c r="AA25" s="490">
        <v>11.00526646975959</v>
      </c>
      <c r="AB25" s="488"/>
      <c r="AC25" s="491">
        <v>3.2456788745877652E-3</v>
      </c>
    </row>
    <row r="26" spans="1:31">
      <c r="A26" s="59">
        <v>11</v>
      </c>
      <c r="C26" s="64" t="s">
        <v>40</v>
      </c>
      <c r="D26" s="64"/>
      <c r="E26" s="64"/>
      <c r="F26" s="64"/>
      <c r="G26" s="467">
        <v>167</v>
      </c>
      <c r="H26" s="64"/>
      <c r="I26" s="467">
        <v>4890870.8963051299</v>
      </c>
      <c r="J26" s="462"/>
      <c r="K26" s="461">
        <v>0</v>
      </c>
      <c r="L26" s="462"/>
      <c r="M26" s="461">
        <v>0</v>
      </c>
      <c r="N26" s="462"/>
      <c r="O26" s="461">
        <v>0</v>
      </c>
      <c r="P26" s="462"/>
      <c r="Q26" s="461">
        <v>0</v>
      </c>
      <c r="R26" s="64"/>
      <c r="S26" s="461">
        <v>-3331.7544330963719</v>
      </c>
      <c r="T26" s="462"/>
      <c r="U26" s="461">
        <v>-3331.7544330963283</v>
      </c>
      <c r="V26" s="462"/>
      <c r="W26" s="461">
        <v>0</v>
      </c>
      <c r="X26" s="462"/>
      <c r="Y26" s="468">
        <v>0</v>
      </c>
      <c r="Z26" s="462"/>
      <c r="AA26" s="492">
        <v>-3331.7544330963501</v>
      </c>
      <c r="AB26" s="493"/>
      <c r="AC26" s="494">
        <v>-1.0583495076040839E-2</v>
      </c>
    </row>
    <row r="27" spans="1:31" ht="21.95" customHeight="1">
      <c r="A27" s="59">
        <v>12</v>
      </c>
      <c r="C27" s="59" t="s">
        <v>41</v>
      </c>
      <c r="E27" s="61">
        <v>10</v>
      </c>
      <c r="G27" s="20">
        <v>3339</v>
      </c>
      <c r="I27" s="20">
        <v>206134.08558220015</v>
      </c>
      <c r="J27" s="22"/>
      <c r="K27" s="24">
        <v>0</v>
      </c>
      <c r="L27" s="22"/>
      <c r="M27" s="24">
        <v>0</v>
      </c>
      <c r="N27" s="22"/>
      <c r="O27" s="24">
        <v>0</v>
      </c>
      <c r="P27" s="22"/>
      <c r="Q27" s="21">
        <v>0</v>
      </c>
      <c r="S27" s="24">
        <v>43.776533628999914</v>
      </c>
      <c r="T27" s="22"/>
      <c r="U27" s="21">
        <v>43.776533628999459</v>
      </c>
      <c r="V27" s="22"/>
      <c r="W27" s="21">
        <v>0</v>
      </c>
      <c r="X27" s="22"/>
      <c r="Y27" s="129">
        <v>0</v>
      </c>
      <c r="Z27" s="22"/>
      <c r="AA27" s="487">
        <v>43.776533628999459</v>
      </c>
      <c r="AB27" s="488"/>
      <c r="AC27" s="489">
        <v>2.4838815580056628E-3</v>
      </c>
    </row>
    <row r="28" spans="1:31">
      <c r="A28" s="59">
        <v>13</v>
      </c>
      <c r="C28" s="59" t="s">
        <v>42</v>
      </c>
      <c r="E28" s="61" t="s">
        <v>43</v>
      </c>
      <c r="G28" s="132">
        <v>269</v>
      </c>
      <c r="I28" s="132">
        <v>24258.38713714117</v>
      </c>
      <c r="J28" s="22"/>
      <c r="K28" s="23">
        <v>0</v>
      </c>
      <c r="L28" s="22"/>
      <c r="M28" s="23">
        <v>0</v>
      </c>
      <c r="N28" s="22"/>
      <c r="O28" s="23">
        <v>0</v>
      </c>
      <c r="P28" s="22"/>
      <c r="Q28" s="23">
        <v>0</v>
      </c>
      <c r="S28" s="23">
        <v>5.3963384029999588</v>
      </c>
      <c r="T28" s="22"/>
      <c r="U28" s="23">
        <v>5.3963384030002999</v>
      </c>
      <c r="V28" s="22"/>
      <c r="W28" s="23">
        <v>0</v>
      </c>
      <c r="X28" s="22"/>
      <c r="Y28" s="131">
        <v>0</v>
      </c>
      <c r="Z28" s="22"/>
      <c r="AA28" s="490">
        <v>5.3963384030002999</v>
      </c>
      <c r="AB28" s="488"/>
      <c r="AC28" s="491">
        <v>2.5189081722773177E-3</v>
      </c>
    </row>
    <row r="29" spans="1:31">
      <c r="A29" s="59">
        <v>14</v>
      </c>
      <c r="C29" s="64" t="s">
        <v>44</v>
      </c>
      <c r="D29" s="64"/>
      <c r="E29" s="64"/>
      <c r="F29" s="64"/>
      <c r="G29" s="467">
        <v>3608</v>
      </c>
      <c r="H29" s="64"/>
      <c r="I29" s="467">
        <v>230392.47271934131</v>
      </c>
      <c r="J29" s="462"/>
      <c r="K29" s="461">
        <v>0</v>
      </c>
      <c r="L29" s="462"/>
      <c r="M29" s="461">
        <v>0</v>
      </c>
      <c r="N29" s="462"/>
      <c r="O29" s="461">
        <v>0</v>
      </c>
      <c r="P29" s="462"/>
      <c r="Q29" s="461">
        <v>0</v>
      </c>
      <c r="R29" s="64"/>
      <c r="S29" s="461">
        <v>49.172872032000669</v>
      </c>
      <c r="T29" s="462"/>
      <c r="U29" s="461">
        <v>49.172872032002488</v>
      </c>
      <c r="V29" s="462"/>
      <c r="W29" s="461">
        <v>0</v>
      </c>
      <c r="X29" s="462"/>
      <c r="Y29" s="468">
        <v>0</v>
      </c>
      <c r="Z29" s="462"/>
      <c r="AA29" s="492">
        <v>49.172872031999759</v>
      </c>
      <c r="AB29" s="493"/>
      <c r="AC29" s="494">
        <v>2.4876777970878061E-3</v>
      </c>
    </row>
    <row r="30" spans="1:31">
      <c r="A30" s="59">
        <v>15</v>
      </c>
      <c r="C30" s="59" t="s">
        <v>45</v>
      </c>
      <c r="E30" s="63">
        <v>23</v>
      </c>
      <c r="G30" s="20">
        <v>96230</v>
      </c>
      <c r="I30" s="20">
        <v>1404451.8584710199</v>
      </c>
      <c r="J30" s="22"/>
      <c r="K30" s="24">
        <v>0</v>
      </c>
      <c r="L30" s="22"/>
      <c r="M30" s="24">
        <v>0</v>
      </c>
      <c r="N30" s="22"/>
      <c r="O30" s="24">
        <v>0</v>
      </c>
      <c r="P30" s="22"/>
      <c r="Q30" s="21">
        <v>0</v>
      </c>
      <c r="S30" s="24">
        <v>301.11743221325378</v>
      </c>
      <c r="T30" s="22"/>
      <c r="U30" s="21">
        <v>301.11743221324286</v>
      </c>
      <c r="V30" s="22"/>
      <c r="W30" s="21">
        <v>0</v>
      </c>
      <c r="X30" s="22"/>
      <c r="Y30" s="129">
        <v>0</v>
      </c>
      <c r="Z30" s="22"/>
      <c r="AA30" s="487">
        <v>301.11743221324286</v>
      </c>
      <c r="AB30" s="488"/>
      <c r="AC30" s="489">
        <v>2.0220149171930046E-3</v>
      </c>
    </row>
    <row r="31" spans="1:31">
      <c r="A31" s="59">
        <v>16</v>
      </c>
      <c r="C31" s="59" t="s">
        <v>46</v>
      </c>
      <c r="E31" s="59">
        <v>31</v>
      </c>
      <c r="G31" s="20">
        <v>7</v>
      </c>
      <c r="I31" s="20">
        <v>189259.14266666665</v>
      </c>
      <c r="J31" s="22"/>
      <c r="K31" s="24">
        <v>0</v>
      </c>
      <c r="L31" s="22"/>
      <c r="M31" s="24">
        <v>0</v>
      </c>
      <c r="N31" s="22"/>
      <c r="O31" s="24">
        <v>0</v>
      </c>
      <c r="P31" s="22"/>
      <c r="Q31" s="21">
        <v>0</v>
      </c>
      <c r="S31" s="24">
        <v>-113.66530312118994</v>
      </c>
      <c r="T31" s="22"/>
      <c r="U31" s="21">
        <v>-113.66530312118994</v>
      </c>
      <c r="V31" s="22"/>
      <c r="W31" s="21">
        <v>0</v>
      </c>
      <c r="X31" s="22"/>
      <c r="Y31" s="129">
        <v>0</v>
      </c>
      <c r="Z31" s="22"/>
      <c r="AA31" s="487">
        <v>-113.66530312118994</v>
      </c>
      <c r="AB31" s="488"/>
      <c r="AC31" s="489">
        <v>-8.1069308298575837E-3</v>
      </c>
    </row>
    <row r="32" spans="1:31">
      <c r="A32" s="59">
        <v>17</v>
      </c>
      <c r="C32" s="59" t="s">
        <v>47</v>
      </c>
      <c r="E32" s="59">
        <v>32</v>
      </c>
      <c r="G32" s="20">
        <v>3</v>
      </c>
      <c r="I32" s="20">
        <v>196649.98999999996</v>
      </c>
      <c r="J32" s="22"/>
      <c r="K32" s="24">
        <v>0</v>
      </c>
      <c r="L32" s="22"/>
      <c r="M32" s="24">
        <v>0</v>
      </c>
      <c r="N32" s="22"/>
      <c r="O32" s="24">
        <v>0</v>
      </c>
      <c r="P32" s="22"/>
      <c r="Q32" s="21">
        <v>0</v>
      </c>
      <c r="S32" s="24">
        <v>-17.940388351669924</v>
      </c>
      <c r="T32" s="22"/>
      <c r="U32" s="21">
        <v>-17.940388351669753</v>
      </c>
      <c r="V32" s="22"/>
      <c r="W32" s="21">
        <v>0</v>
      </c>
      <c r="X32" s="22"/>
      <c r="Y32" s="129">
        <v>0</v>
      </c>
      <c r="Z32" s="22"/>
      <c r="AA32" s="487">
        <v>-17.940388351669753</v>
      </c>
      <c r="AB32" s="488"/>
      <c r="AC32" s="489">
        <v>-1.3232867863532047E-3</v>
      </c>
    </row>
    <row r="33" spans="1:31">
      <c r="A33" s="59">
        <v>18</v>
      </c>
      <c r="C33" s="59" t="s">
        <v>48</v>
      </c>
      <c r="E33" s="59">
        <v>34</v>
      </c>
      <c r="G33" s="20">
        <v>1</v>
      </c>
      <c r="I33" s="20">
        <v>242230</v>
      </c>
      <c r="J33" s="22"/>
      <c r="K33" s="24">
        <v>0</v>
      </c>
      <c r="L33" s="22"/>
      <c r="M33" s="24">
        <v>0</v>
      </c>
      <c r="N33" s="22"/>
      <c r="O33" s="24">
        <v>0</v>
      </c>
      <c r="P33" s="22"/>
      <c r="Q33" s="21">
        <v>0</v>
      </c>
      <c r="S33" s="24">
        <v>0</v>
      </c>
      <c r="T33" s="22"/>
      <c r="U33" s="21">
        <v>0</v>
      </c>
      <c r="V33" s="22"/>
      <c r="W33" s="21">
        <v>0</v>
      </c>
      <c r="X33" s="22"/>
      <c r="Y33" s="129">
        <v>0</v>
      </c>
      <c r="Z33" s="22"/>
      <c r="AA33" s="487">
        <v>0</v>
      </c>
      <c r="AB33" s="488"/>
      <c r="AC33" s="489">
        <v>0</v>
      </c>
    </row>
    <row r="34" spans="1:31">
      <c r="A34" s="59">
        <v>17</v>
      </c>
      <c r="C34" s="59" t="s">
        <v>49</v>
      </c>
      <c r="E34" s="61" t="s">
        <v>28</v>
      </c>
      <c r="G34" s="20">
        <v>1</v>
      </c>
      <c r="I34" s="20">
        <v>617100</v>
      </c>
      <c r="J34" s="22"/>
      <c r="K34" s="24">
        <v>0</v>
      </c>
      <c r="L34" s="22"/>
      <c r="M34" s="24">
        <v>0</v>
      </c>
      <c r="N34" s="22"/>
      <c r="O34" s="24">
        <v>0</v>
      </c>
      <c r="P34" s="22"/>
      <c r="Q34" s="21">
        <v>0</v>
      </c>
      <c r="S34" s="24">
        <v>0</v>
      </c>
      <c r="T34" s="22"/>
      <c r="U34" s="21">
        <v>0</v>
      </c>
      <c r="V34" s="22"/>
      <c r="W34" s="21">
        <v>0</v>
      </c>
      <c r="X34" s="22"/>
      <c r="Y34" s="129">
        <v>0</v>
      </c>
      <c r="Z34" s="22"/>
      <c r="AA34" s="487">
        <v>0</v>
      </c>
      <c r="AB34" s="488"/>
      <c r="AC34" s="489">
        <v>0</v>
      </c>
    </row>
    <row r="35" spans="1:31">
      <c r="A35" s="59">
        <v>19</v>
      </c>
      <c r="C35" s="59" t="s">
        <v>50</v>
      </c>
      <c r="E35" s="61" t="s">
        <v>28</v>
      </c>
      <c r="G35" s="20">
        <v>1</v>
      </c>
      <c r="I35" s="20">
        <v>705455.54894656001</v>
      </c>
      <c r="J35" s="22"/>
      <c r="K35" s="24">
        <v>0</v>
      </c>
      <c r="L35" s="22"/>
      <c r="M35" s="24">
        <v>0</v>
      </c>
      <c r="N35" s="22"/>
      <c r="O35" s="24">
        <v>0</v>
      </c>
      <c r="P35" s="22"/>
      <c r="Q35" s="21">
        <v>0</v>
      </c>
      <c r="S35" s="24">
        <v>0</v>
      </c>
      <c r="T35" s="22"/>
      <c r="U35" s="21">
        <v>0</v>
      </c>
      <c r="V35" s="22"/>
      <c r="W35" s="21">
        <v>0</v>
      </c>
      <c r="X35" s="22"/>
      <c r="Y35" s="129">
        <v>0</v>
      </c>
      <c r="Z35" s="22"/>
      <c r="AA35" s="487">
        <v>0</v>
      </c>
      <c r="AB35" s="488"/>
      <c r="AC35" s="489">
        <v>0</v>
      </c>
    </row>
    <row r="36" spans="1:31">
      <c r="A36" s="59">
        <v>20</v>
      </c>
      <c r="C36" s="59" t="s">
        <v>51</v>
      </c>
      <c r="E36" s="61" t="s">
        <v>28</v>
      </c>
      <c r="G36" s="20">
        <v>1</v>
      </c>
      <c r="I36" s="20">
        <v>1288626.1969999999</v>
      </c>
      <c r="J36" s="22"/>
      <c r="K36" s="24">
        <v>0</v>
      </c>
      <c r="L36" s="22"/>
      <c r="M36" s="24">
        <v>0</v>
      </c>
      <c r="N36" s="22"/>
      <c r="O36" s="24">
        <v>0</v>
      </c>
      <c r="P36" s="22"/>
      <c r="Q36" s="21">
        <v>0</v>
      </c>
      <c r="S36" s="24">
        <v>0</v>
      </c>
      <c r="T36" s="22"/>
      <c r="U36" s="21">
        <v>0</v>
      </c>
      <c r="V36" s="22"/>
      <c r="W36" s="21">
        <v>0</v>
      </c>
      <c r="X36" s="22"/>
      <c r="Y36" s="129">
        <v>0</v>
      </c>
      <c r="Z36" s="22"/>
      <c r="AA36" s="487">
        <v>0</v>
      </c>
      <c r="AB36" s="488"/>
      <c r="AC36" s="489">
        <v>0</v>
      </c>
    </row>
    <row r="37" spans="1:31">
      <c r="A37" s="59">
        <v>21</v>
      </c>
      <c r="C37" s="59" t="s">
        <v>27</v>
      </c>
      <c r="E37" s="61" t="s">
        <v>28</v>
      </c>
      <c r="G37" s="130"/>
      <c r="I37" s="130"/>
      <c r="J37" s="22"/>
      <c r="K37" s="23">
        <v>0</v>
      </c>
      <c r="L37" s="22"/>
      <c r="M37" s="23">
        <v>0</v>
      </c>
      <c r="N37" s="22"/>
      <c r="O37" s="23">
        <v>0</v>
      </c>
      <c r="P37" s="22"/>
      <c r="Q37" s="23">
        <v>0</v>
      </c>
      <c r="S37" s="23"/>
      <c r="T37" s="22"/>
      <c r="U37" s="23">
        <v>0</v>
      </c>
      <c r="V37" s="22"/>
      <c r="W37" s="23">
        <v>0</v>
      </c>
      <c r="X37" s="22"/>
      <c r="Y37" s="131">
        <v>0</v>
      </c>
      <c r="Z37" s="22"/>
      <c r="AA37" s="490">
        <v>0</v>
      </c>
      <c r="AB37" s="488"/>
      <c r="AC37" s="491">
        <v>0</v>
      </c>
    </row>
    <row r="38" spans="1:31">
      <c r="A38" s="59">
        <v>22</v>
      </c>
      <c r="C38" s="37" t="s">
        <v>52</v>
      </c>
      <c r="G38" s="20">
        <v>116605</v>
      </c>
      <c r="I38" s="20">
        <v>17979702.507882744</v>
      </c>
      <c r="J38" s="22"/>
      <c r="K38" s="21">
        <v>0</v>
      </c>
      <c r="L38" s="22"/>
      <c r="M38" s="21">
        <v>0</v>
      </c>
      <c r="N38" s="22"/>
      <c r="O38" s="21">
        <v>0</v>
      </c>
      <c r="P38" s="22"/>
      <c r="Q38" s="21">
        <v>0</v>
      </c>
      <c r="S38" s="21">
        <v>-1475.959430680261</v>
      </c>
      <c r="T38" s="22"/>
      <c r="U38" s="21">
        <v>-1475.9594306801446</v>
      </c>
      <c r="V38" s="22"/>
      <c r="W38" s="21">
        <v>0</v>
      </c>
      <c r="X38" s="22"/>
      <c r="Y38" s="129">
        <v>0</v>
      </c>
      <c r="Z38" s="22"/>
      <c r="AA38" s="487">
        <v>-1475.9594306801446</v>
      </c>
      <c r="AB38" s="488"/>
      <c r="AC38" s="489">
        <v>-1.0567302216634988E-3</v>
      </c>
    </row>
    <row r="39" spans="1:31" ht="24.95" customHeight="1">
      <c r="C39" s="37" t="s">
        <v>53</v>
      </c>
      <c r="G39" s="20"/>
      <c r="I39" s="20"/>
      <c r="J39" s="22"/>
      <c r="K39" s="21"/>
      <c r="L39" s="22"/>
      <c r="M39" s="21"/>
      <c r="N39" s="22"/>
      <c r="O39" s="21"/>
      <c r="P39" s="22"/>
      <c r="Q39" s="21"/>
      <c r="S39" s="21"/>
      <c r="T39" s="22"/>
      <c r="U39" s="21"/>
      <c r="V39" s="22"/>
      <c r="W39" s="21"/>
      <c r="X39" s="22"/>
      <c r="Y39" s="129"/>
      <c r="Z39" s="22"/>
      <c r="AA39" s="487"/>
      <c r="AB39" s="488"/>
      <c r="AC39" s="489"/>
    </row>
    <row r="40" spans="1:31">
      <c r="A40" s="59">
        <v>23</v>
      </c>
      <c r="C40" s="59" t="s">
        <v>54</v>
      </c>
      <c r="E40" s="59">
        <v>7</v>
      </c>
      <c r="G40" s="20">
        <v>6491</v>
      </c>
      <c r="I40" s="20">
        <v>10497.984469308627</v>
      </c>
      <c r="J40" s="22"/>
      <c r="K40" s="24">
        <v>0</v>
      </c>
      <c r="L40" s="22"/>
      <c r="M40" s="24">
        <v>0</v>
      </c>
      <c r="N40" s="22"/>
      <c r="O40" s="24">
        <v>0</v>
      </c>
      <c r="P40" s="22"/>
      <c r="Q40" s="21">
        <v>0</v>
      </c>
      <c r="S40" s="24">
        <v>2.2511285051273262</v>
      </c>
      <c r="T40" s="22"/>
      <c r="U40" s="21">
        <v>2.2511285051273262</v>
      </c>
      <c r="V40" s="22"/>
      <c r="W40" s="21">
        <v>0</v>
      </c>
      <c r="X40" s="22"/>
      <c r="Y40" s="129">
        <v>0</v>
      </c>
      <c r="Z40" s="22"/>
      <c r="AA40" s="487">
        <v>2.2511285051273262</v>
      </c>
      <c r="AB40" s="488"/>
      <c r="AC40" s="489">
        <v>1.5370398409057101E-3</v>
      </c>
    </row>
    <row r="41" spans="1:31">
      <c r="A41" s="59">
        <v>24</v>
      </c>
      <c r="C41" s="59" t="s">
        <v>55</v>
      </c>
      <c r="E41" s="63">
        <v>11</v>
      </c>
      <c r="G41" s="20">
        <v>715</v>
      </c>
      <c r="I41" s="20">
        <v>13572.50823362934</v>
      </c>
      <c r="J41" s="22"/>
      <c r="K41" s="24">
        <v>0</v>
      </c>
      <c r="L41" s="22"/>
      <c r="M41" s="24">
        <v>0</v>
      </c>
      <c r="N41" s="22"/>
      <c r="O41" s="24">
        <v>0</v>
      </c>
      <c r="P41" s="22"/>
      <c r="Q41" s="21">
        <v>0</v>
      </c>
      <c r="S41" s="24">
        <v>6.1180554852743398</v>
      </c>
      <c r="T41" s="22"/>
      <c r="U41" s="21">
        <v>6.1180554852744535</v>
      </c>
      <c r="V41" s="22"/>
      <c r="W41" s="21">
        <v>0</v>
      </c>
      <c r="X41" s="22"/>
      <c r="Y41" s="129">
        <v>0</v>
      </c>
      <c r="Z41" s="22"/>
      <c r="AA41" s="487">
        <v>6.1180554852744535</v>
      </c>
      <c r="AB41" s="488"/>
      <c r="AC41" s="489">
        <v>1.5370398409057517E-3</v>
      </c>
    </row>
    <row r="42" spans="1:31">
      <c r="A42" s="59">
        <v>25</v>
      </c>
      <c r="C42" s="59" t="s">
        <v>56</v>
      </c>
      <c r="E42" s="63">
        <v>12</v>
      </c>
      <c r="G42" s="20">
        <v>1229</v>
      </c>
      <c r="I42" s="133">
        <v>26868.87420437079</v>
      </c>
      <c r="J42" s="22"/>
      <c r="K42" s="24">
        <v>0</v>
      </c>
      <c r="L42" s="22"/>
      <c r="M42" s="24">
        <v>0</v>
      </c>
      <c r="N42" s="22"/>
      <c r="O42" s="24">
        <v>0</v>
      </c>
      <c r="P42" s="22"/>
      <c r="Q42" s="21">
        <v>0</v>
      </c>
      <c r="S42" s="24">
        <v>2.2537512621609324</v>
      </c>
      <c r="T42" s="22"/>
      <c r="U42" s="21">
        <v>2.2537512621609039</v>
      </c>
      <c r="V42" s="22"/>
      <c r="W42" s="21">
        <v>0</v>
      </c>
      <c r="X42" s="22"/>
      <c r="Y42" s="129">
        <v>0</v>
      </c>
      <c r="Z42" s="22"/>
      <c r="AA42" s="487">
        <v>2.2537512621609039</v>
      </c>
      <c r="AB42" s="488"/>
      <c r="AC42" s="489">
        <v>1.537039840905724E-3</v>
      </c>
      <c r="AE42" s="125">
        <v>8.2921712697597127E-2</v>
      </c>
    </row>
    <row r="43" spans="1:31">
      <c r="A43" s="59">
        <v>26</v>
      </c>
      <c r="C43" s="59" t="s">
        <v>57</v>
      </c>
      <c r="E43" s="59">
        <v>15</v>
      </c>
      <c r="G43" s="134">
        <v>637</v>
      </c>
      <c r="I43" s="134">
        <v>15963.151062719233</v>
      </c>
      <c r="J43" s="22"/>
      <c r="K43" s="24">
        <v>0</v>
      </c>
      <c r="L43" s="22"/>
      <c r="M43" s="24">
        <v>0</v>
      </c>
      <c r="N43" s="22"/>
      <c r="O43" s="24">
        <v>0</v>
      </c>
      <c r="P43" s="22"/>
      <c r="Q43" s="24">
        <v>0</v>
      </c>
      <c r="S43" s="24">
        <v>3.3315634172399768</v>
      </c>
      <c r="T43" s="22"/>
      <c r="U43" s="24">
        <v>3.3315634172399768</v>
      </c>
      <c r="V43" s="22"/>
      <c r="W43" s="24">
        <v>0</v>
      </c>
      <c r="X43" s="22"/>
      <c r="Y43" s="135">
        <v>0</v>
      </c>
      <c r="Z43" s="22"/>
      <c r="AA43" s="487">
        <v>3.3315634172399768</v>
      </c>
      <c r="AB43" s="488"/>
      <c r="AC43" s="489">
        <v>3.695729369161127E-3</v>
      </c>
    </row>
    <row r="44" spans="1:31">
      <c r="A44" s="59">
        <v>27</v>
      </c>
      <c r="C44" s="59" t="s">
        <v>58</v>
      </c>
      <c r="E44" s="59">
        <v>15</v>
      </c>
      <c r="G44" s="132">
        <v>2734</v>
      </c>
      <c r="I44" s="132">
        <v>7776.3704443165416</v>
      </c>
      <c r="J44" s="22"/>
      <c r="K44" s="23">
        <v>0</v>
      </c>
      <c r="L44" s="22"/>
      <c r="M44" s="23">
        <v>0</v>
      </c>
      <c r="N44" s="22"/>
      <c r="O44" s="23">
        <v>0</v>
      </c>
      <c r="P44" s="22"/>
      <c r="Q44" s="23">
        <v>0</v>
      </c>
      <c r="S44" s="23">
        <v>1.6347649338899828</v>
      </c>
      <c r="T44" s="22"/>
      <c r="U44" s="23">
        <v>1.6347649338899828</v>
      </c>
      <c r="V44" s="22"/>
      <c r="W44" s="23">
        <v>0</v>
      </c>
      <c r="X44" s="22"/>
      <c r="Y44" s="131">
        <v>0</v>
      </c>
      <c r="Z44" s="22"/>
      <c r="AA44" s="490">
        <v>1.6347649338899828</v>
      </c>
      <c r="AB44" s="488"/>
      <c r="AC44" s="491">
        <v>1.897216950118838E-3</v>
      </c>
      <c r="AE44" s="125">
        <v>0.15196228971006995</v>
      </c>
    </row>
    <row r="45" spans="1:31">
      <c r="A45" s="59">
        <v>28</v>
      </c>
      <c r="C45" s="64" t="s">
        <v>59</v>
      </c>
      <c r="D45" s="25"/>
      <c r="F45" s="25"/>
      <c r="G45" s="20">
        <v>11806</v>
      </c>
      <c r="H45" s="25"/>
      <c r="I45" s="20">
        <v>74678.888414344532</v>
      </c>
      <c r="J45" s="21"/>
      <c r="K45" s="21">
        <v>0</v>
      </c>
      <c r="L45" s="21"/>
      <c r="M45" s="21">
        <v>0</v>
      </c>
      <c r="N45" s="21"/>
      <c r="O45" s="21">
        <v>0</v>
      </c>
      <c r="P45" s="21"/>
      <c r="Q45" s="21">
        <v>0</v>
      </c>
      <c r="R45" s="25"/>
      <c r="S45" s="21">
        <v>15.589263603692643</v>
      </c>
      <c r="T45" s="21"/>
      <c r="U45" s="21">
        <v>15.589263603693325</v>
      </c>
      <c r="V45" s="21"/>
      <c r="W45" s="21">
        <v>0</v>
      </c>
      <c r="X45" s="21"/>
      <c r="Y45" s="129">
        <v>0</v>
      </c>
      <c r="Z45" s="21"/>
      <c r="AA45" s="487">
        <v>15.589263603692643</v>
      </c>
      <c r="AB45" s="495"/>
      <c r="AC45" s="489">
        <v>1.7971529199589248E-3</v>
      </c>
    </row>
    <row r="46" spans="1:31" ht="21.95" customHeight="1">
      <c r="A46" s="59">
        <v>29</v>
      </c>
      <c r="C46" s="59" t="s">
        <v>60</v>
      </c>
      <c r="E46" s="61" t="s">
        <v>28</v>
      </c>
      <c r="G46" s="20">
        <v>4</v>
      </c>
      <c r="I46" s="20">
        <v>7.3869999999999996</v>
      </c>
      <c r="J46" s="22"/>
      <c r="K46" s="24">
        <v>0</v>
      </c>
      <c r="L46" s="22"/>
      <c r="M46" s="24">
        <v>0</v>
      </c>
      <c r="N46" s="22"/>
      <c r="O46" s="24">
        <v>0</v>
      </c>
      <c r="P46" s="22"/>
      <c r="Q46" s="21">
        <v>0</v>
      </c>
      <c r="S46" s="24">
        <v>0</v>
      </c>
      <c r="T46" s="22"/>
      <c r="U46" s="21">
        <v>0</v>
      </c>
      <c r="V46" s="22"/>
      <c r="W46" s="21">
        <v>0</v>
      </c>
      <c r="X46" s="22"/>
      <c r="Y46" s="129">
        <v>0</v>
      </c>
      <c r="Z46" s="22"/>
      <c r="AA46" s="487">
        <v>0</v>
      </c>
      <c r="AB46" s="488"/>
      <c r="AC46" s="489">
        <v>0</v>
      </c>
    </row>
    <row r="47" spans="1:31">
      <c r="A47" s="59">
        <v>30</v>
      </c>
      <c r="C47" s="59" t="s">
        <v>27</v>
      </c>
      <c r="D47" s="26"/>
      <c r="E47" s="61" t="s">
        <v>28</v>
      </c>
      <c r="F47" s="26"/>
      <c r="G47" s="136"/>
      <c r="H47" s="26"/>
      <c r="I47" s="136"/>
      <c r="J47" s="22"/>
      <c r="K47" s="23">
        <v>0</v>
      </c>
      <c r="L47" s="22"/>
      <c r="M47" s="23">
        <v>0</v>
      </c>
      <c r="N47" s="22"/>
      <c r="O47" s="23">
        <v>0</v>
      </c>
      <c r="P47" s="22"/>
      <c r="Q47" s="23">
        <v>0</v>
      </c>
      <c r="R47" s="26"/>
      <c r="S47" s="23"/>
      <c r="T47" s="22"/>
      <c r="U47" s="23">
        <v>0</v>
      </c>
      <c r="V47" s="22"/>
      <c r="W47" s="23"/>
      <c r="X47" s="22"/>
      <c r="Y47" s="131">
        <v>0</v>
      </c>
      <c r="Z47" s="22"/>
      <c r="AA47" s="490">
        <v>0</v>
      </c>
      <c r="AB47" s="488"/>
      <c r="AC47" s="491">
        <v>0</v>
      </c>
      <c r="AD47" s="58"/>
      <c r="AE47" s="58"/>
    </row>
    <row r="48" spans="1:31" ht="21.95" customHeight="1">
      <c r="A48" s="59">
        <v>31</v>
      </c>
      <c r="C48" s="37" t="s">
        <v>61</v>
      </c>
      <c r="G48" s="132">
        <v>11810</v>
      </c>
      <c r="I48" s="132">
        <v>74686.275414344535</v>
      </c>
      <c r="J48" s="22"/>
      <c r="K48" s="23">
        <v>0</v>
      </c>
      <c r="L48" s="22"/>
      <c r="M48" s="23">
        <v>0</v>
      </c>
      <c r="N48" s="22"/>
      <c r="O48" s="23">
        <v>0</v>
      </c>
      <c r="P48" s="22"/>
      <c r="Q48" s="23">
        <v>0</v>
      </c>
      <c r="S48" s="23">
        <v>15.589263603692643</v>
      </c>
      <c r="T48" s="22"/>
      <c r="U48" s="23">
        <v>15.589263603693325</v>
      </c>
      <c r="V48" s="22"/>
      <c r="W48" s="23">
        <v>0</v>
      </c>
      <c r="X48" s="22"/>
      <c r="Y48" s="131">
        <v>0</v>
      </c>
      <c r="Z48" s="22"/>
      <c r="AA48" s="490">
        <v>15.589263603692643</v>
      </c>
      <c r="AB48" s="488"/>
      <c r="AC48" s="491">
        <v>1.7960737462985044E-3</v>
      </c>
      <c r="AD48" s="150"/>
      <c r="AE48" s="150"/>
    </row>
    <row r="49" spans="1:31" ht="24.95" customHeight="1" thickBot="1">
      <c r="A49" s="59">
        <v>32</v>
      </c>
      <c r="C49" s="37" t="s">
        <v>62</v>
      </c>
      <c r="G49" s="137">
        <v>986283</v>
      </c>
      <c r="I49" s="137">
        <v>24837388.160662249</v>
      </c>
      <c r="J49" s="22"/>
      <c r="K49" s="27">
        <v>0</v>
      </c>
      <c r="L49" s="22"/>
      <c r="M49" s="27">
        <v>0</v>
      </c>
      <c r="N49" s="22"/>
      <c r="O49" s="27">
        <v>0</v>
      </c>
      <c r="P49" s="22"/>
      <c r="Q49" s="27">
        <v>0</v>
      </c>
      <c r="S49" s="27">
        <v>-1.2507112696766853E-3</v>
      </c>
      <c r="T49" s="22"/>
      <c r="U49" s="27">
        <v>-1.2507112696766853E-3</v>
      </c>
      <c r="V49" s="22"/>
      <c r="W49" s="27">
        <v>0</v>
      </c>
      <c r="X49" s="22"/>
      <c r="Y49" s="138">
        <v>0</v>
      </c>
      <c r="Z49" s="22"/>
      <c r="AA49" s="496">
        <v>-1.250711124157533E-3</v>
      </c>
      <c r="AB49" s="497"/>
      <c r="AC49" s="498">
        <v>-5.6640138412777929E-10</v>
      </c>
      <c r="AD49" s="151"/>
      <c r="AE49" s="24"/>
    </row>
    <row r="50" spans="1:31" ht="16.5" thickTop="1"/>
    <row r="51" spans="1:31">
      <c r="G51" s="20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E1848-2ABE-4022-9EE5-6C93735B7CCC}">
  <dimension ref="A1:S97"/>
  <sheetViews>
    <sheetView topLeftCell="C23" workbookViewId="0">
      <selection activeCell="K21" sqref="K21"/>
    </sheetView>
  </sheetViews>
  <sheetFormatPr defaultRowHeight="12.75"/>
  <cols>
    <col min="1" max="1" width="4.125" style="316" customWidth="1"/>
    <col min="2" max="2" width="15.75" style="316" customWidth="1"/>
    <col min="3" max="3" width="28.5" style="316" customWidth="1"/>
    <col min="4" max="4" width="3.25" style="316" customWidth="1"/>
    <col min="5" max="5" width="6.875" style="316" bestFit="1" customWidth="1"/>
    <col min="6" max="6" width="3.25" style="316" customWidth="1"/>
    <col min="7" max="7" width="8" style="316" bestFit="1" customWidth="1"/>
    <col min="8" max="8" width="3.25" style="316" customWidth="1"/>
    <col min="9" max="9" width="17.125" style="316" bestFit="1" customWidth="1"/>
    <col min="10" max="10" width="3.25" style="316" customWidth="1"/>
    <col min="11" max="11" width="17.25" style="316" bestFit="1" customWidth="1"/>
    <col min="12" max="12" width="3.25" style="316" customWidth="1"/>
    <col min="13" max="13" width="35.125" style="316" customWidth="1"/>
    <col min="14" max="14" width="1.75" style="316" customWidth="1"/>
    <col min="15" max="15" width="9.25" style="316" bestFit="1" customWidth="1"/>
    <col min="16" max="16" width="10.25" style="316" bestFit="1" customWidth="1"/>
    <col min="17" max="17" width="13.625" style="316" bestFit="1" customWidth="1"/>
    <col min="18" max="18" width="11.25" style="316" bestFit="1" customWidth="1"/>
    <col min="19" max="259" width="8.75" style="316"/>
    <col min="260" max="260" width="3.125" style="316" customWidth="1"/>
    <col min="261" max="261" width="21.125" style="316" customWidth="1"/>
    <col min="262" max="262" width="13.125" style="316" customWidth="1"/>
    <col min="263" max="263" width="13.625" style="316" customWidth="1"/>
    <col min="264" max="264" width="13.375" style="316" customWidth="1"/>
    <col min="265" max="265" width="1.875" style="316" customWidth="1"/>
    <col min="266" max="266" width="13.625" style="316" customWidth="1"/>
    <col min="267" max="267" width="12.875" style="316" customWidth="1"/>
    <col min="268" max="268" width="13.875" style="316" customWidth="1"/>
    <col min="269" max="269" width="1.75" style="316" customWidth="1"/>
    <col min="270" max="270" width="13.75" style="316" bestFit="1" customWidth="1"/>
    <col min="271" max="271" width="14.75" style="316" customWidth="1"/>
    <col min="272" max="272" width="12.875" style="316" bestFit="1" customWidth="1"/>
    <col min="273" max="273" width="9.5" style="316" bestFit="1" customWidth="1"/>
    <col min="274" max="515" width="8.75" style="316"/>
    <col min="516" max="516" width="3.125" style="316" customWidth="1"/>
    <col min="517" max="517" width="21.125" style="316" customWidth="1"/>
    <col min="518" max="518" width="13.125" style="316" customWidth="1"/>
    <col min="519" max="519" width="13.625" style="316" customWidth="1"/>
    <col min="520" max="520" width="13.375" style="316" customWidth="1"/>
    <col min="521" max="521" width="1.875" style="316" customWidth="1"/>
    <col min="522" max="522" width="13.625" style="316" customWidth="1"/>
    <col min="523" max="523" width="12.875" style="316" customWidth="1"/>
    <col min="524" max="524" width="13.875" style="316" customWidth="1"/>
    <col min="525" max="525" width="1.75" style="316" customWidth="1"/>
    <col min="526" max="526" width="13.75" style="316" bestFit="1" customWidth="1"/>
    <col min="527" max="527" width="14.75" style="316" customWidth="1"/>
    <col min="528" max="528" width="12.875" style="316" bestFit="1" customWidth="1"/>
    <col min="529" max="529" width="9.5" style="316" bestFit="1" customWidth="1"/>
    <col min="530" max="771" width="8.75" style="316"/>
    <col min="772" max="772" width="3.125" style="316" customWidth="1"/>
    <col min="773" max="773" width="21.125" style="316" customWidth="1"/>
    <col min="774" max="774" width="13.125" style="316" customWidth="1"/>
    <col min="775" max="775" width="13.625" style="316" customWidth="1"/>
    <col min="776" max="776" width="13.375" style="316" customWidth="1"/>
    <col min="777" max="777" width="1.875" style="316" customWidth="1"/>
    <col min="778" max="778" width="13.625" style="316" customWidth="1"/>
    <col min="779" max="779" width="12.875" style="316" customWidth="1"/>
    <col min="780" max="780" width="13.875" style="316" customWidth="1"/>
    <col min="781" max="781" width="1.75" style="316" customWidth="1"/>
    <col min="782" max="782" width="13.75" style="316" bestFit="1" customWidth="1"/>
    <col min="783" max="783" width="14.75" style="316" customWidth="1"/>
    <col min="784" max="784" width="12.875" style="316" bestFit="1" customWidth="1"/>
    <col min="785" max="785" width="9.5" style="316" bestFit="1" customWidth="1"/>
    <col min="786" max="1027" width="8.75" style="316"/>
    <col min="1028" max="1028" width="3.125" style="316" customWidth="1"/>
    <col min="1029" max="1029" width="21.125" style="316" customWidth="1"/>
    <col min="1030" max="1030" width="13.125" style="316" customWidth="1"/>
    <col min="1031" max="1031" width="13.625" style="316" customWidth="1"/>
    <col min="1032" max="1032" width="13.375" style="316" customWidth="1"/>
    <col min="1033" max="1033" width="1.875" style="316" customWidth="1"/>
    <col min="1034" max="1034" width="13.625" style="316" customWidth="1"/>
    <col min="1035" max="1035" width="12.875" style="316" customWidth="1"/>
    <col min="1036" max="1036" width="13.875" style="316" customWidth="1"/>
    <col min="1037" max="1037" width="1.75" style="316" customWidth="1"/>
    <col min="1038" max="1038" width="13.75" style="316" bestFit="1" customWidth="1"/>
    <col min="1039" max="1039" width="14.75" style="316" customWidth="1"/>
    <col min="1040" max="1040" width="12.875" style="316" bestFit="1" customWidth="1"/>
    <col min="1041" max="1041" width="9.5" style="316" bestFit="1" customWidth="1"/>
    <col min="1042" max="1283" width="8.75" style="316"/>
    <col min="1284" max="1284" width="3.125" style="316" customWidth="1"/>
    <col min="1285" max="1285" width="21.125" style="316" customWidth="1"/>
    <col min="1286" max="1286" width="13.125" style="316" customWidth="1"/>
    <col min="1287" max="1287" width="13.625" style="316" customWidth="1"/>
    <col min="1288" max="1288" width="13.375" style="316" customWidth="1"/>
    <col min="1289" max="1289" width="1.875" style="316" customWidth="1"/>
    <col min="1290" max="1290" width="13.625" style="316" customWidth="1"/>
    <col min="1291" max="1291" width="12.875" style="316" customWidth="1"/>
    <col min="1292" max="1292" width="13.875" style="316" customWidth="1"/>
    <col min="1293" max="1293" width="1.75" style="316" customWidth="1"/>
    <col min="1294" max="1294" width="13.75" style="316" bestFit="1" customWidth="1"/>
    <col min="1295" max="1295" width="14.75" style="316" customWidth="1"/>
    <col min="1296" max="1296" width="12.875" style="316" bestFit="1" customWidth="1"/>
    <col min="1297" max="1297" width="9.5" style="316" bestFit="1" customWidth="1"/>
    <col min="1298" max="1539" width="8.75" style="316"/>
    <col min="1540" max="1540" width="3.125" style="316" customWidth="1"/>
    <col min="1541" max="1541" width="21.125" style="316" customWidth="1"/>
    <col min="1542" max="1542" width="13.125" style="316" customWidth="1"/>
    <col min="1543" max="1543" width="13.625" style="316" customWidth="1"/>
    <col min="1544" max="1544" width="13.375" style="316" customWidth="1"/>
    <col min="1545" max="1545" width="1.875" style="316" customWidth="1"/>
    <col min="1546" max="1546" width="13.625" style="316" customWidth="1"/>
    <col min="1547" max="1547" width="12.875" style="316" customWidth="1"/>
    <col min="1548" max="1548" width="13.875" style="316" customWidth="1"/>
    <col min="1549" max="1549" width="1.75" style="316" customWidth="1"/>
    <col min="1550" max="1550" width="13.75" style="316" bestFit="1" customWidth="1"/>
    <col min="1551" max="1551" width="14.75" style="316" customWidth="1"/>
    <col min="1552" max="1552" width="12.875" style="316" bestFit="1" customWidth="1"/>
    <col min="1553" max="1553" width="9.5" style="316" bestFit="1" customWidth="1"/>
    <col min="1554" max="1795" width="8.75" style="316"/>
    <col min="1796" max="1796" width="3.125" style="316" customWidth="1"/>
    <col min="1797" max="1797" width="21.125" style="316" customWidth="1"/>
    <col min="1798" max="1798" width="13.125" style="316" customWidth="1"/>
    <col min="1799" max="1799" width="13.625" style="316" customWidth="1"/>
    <col min="1800" max="1800" width="13.375" style="316" customWidth="1"/>
    <col min="1801" max="1801" width="1.875" style="316" customWidth="1"/>
    <col min="1802" max="1802" width="13.625" style="316" customWidth="1"/>
    <col min="1803" max="1803" width="12.875" style="316" customWidth="1"/>
    <col min="1804" max="1804" width="13.875" style="316" customWidth="1"/>
    <col min="1805" max="1805" width="1.75" style="316" customWidth="1"/>
    <col min="1806" max="1806" width="13.75" style="316" bestFit="1" customWidth="1"/>
    <col min="1807" max="1807" width="14.75" style="316" customWidth="1"/>
    <col min="1808" max="1808" width="12.875" style="316" bestFit="1" customWidth="1"/>
    <col min="1809" max="1809" width="9.5" style="316" bestFit="1" customWidth="1"/>
    <col min="1810" max="2051" width="8.75" style="316"/>
    <col min="2052" max="2052" width="3.125" style="316" customWidth="1"/>
    <col min="2053" max="2053" width="21.125" style="316" customWidth="1"/>
    <col min="2054" max="2054" width="13.125" style="316" customWidth="1"/>
    <col min="2055" max="2055" width="13.625" style="316" customWidth="1"/>
    <col min="2056" max="2056" width="13.375" style="316" customWidth="1"/>
    <col min="2057" max="2057" width="1.875" style="316" customWidth="1"/>
    <col min="2058" max="2058" width="13.625" style="316" customWidth="1"/>
    <col min="2059" max="2059" width="12.875" style="316" customWidth="1"/>
    <col min="2060" max="2060" width="13.875" style="316" customWidth="1"/>
    <col min="2061" max="2061" width="1.75" style="316" customWidth="1"/>
    <col min="2062" max="2062" width="13.75" style="316" bestFit="1" customWidth="1"/>
    <col min="2063" max="2063" width="14.75" style="316" customWidth="1"/>
    <col min="2064" max="2064" width="12.875" style="316" bestFit="1" customWidth="1"/>
    <col min="2065" max="2065" width="9.5" style="316" bestFit="1" customWidth="1"/>
    <col min="2066" max="2307" width="8.75" style="316"/>
    <col min="2308" max="2308" width="3.125" style="316" customWidth="1"/>
    <col min="2309" max="2309" width="21.125" style="316" customWidth="1"/>
    <col min="2310" max="2310" width="13.125" style="316" customWidth="1"/>
    <col min="2311" max="2311" width="13.625" style="316" customWidth="1"/>
    <col min="2312" max="2312" width="13.375" style="316" customWidth="1"/>
    <col min="2313" max="2313" width="1.875" style="316" customWidth="1"/>
    <col min="2314" max="2314" width="13.625" style="316" customWidth="1"/>
    <col min="2315" max="2315" width="12.875" style="316" customWidth="1"/>
    <col min="2316" max="2316" width="13.875" style="316" customWidth="1"/>
    <col min="2317" max="2317" width="1.75" style="316" customWidth="1"/>
    <col min="2318" max="2318" width="13.75" style="316" bestFit="1" customWidth="1"/>
    <col min="2319" max="2319" width="14.75" style="316" customWidth="1"/>
    <col min="2320" max="2320" width="12.875" style="316" bestFit="1" customWidth="1"/>
    <col min="2321" max="2321" width="9.5" style="316" bestFit="1" customWidth="1"/>
    <col min="2322" max="2563" width="8.75" style="316"/>
    <col min="2564" max="2564" width="3.125" style="316" customWidth="1"/>
    <col min="2565" max="2565" width="21.125" style="316" customWidth="1"/>
    <col min="2566" max="2566" width="13.125" style="316" customWidth="1"/>
    <col min="2567" max="2567" width="13.625" style="316" customWidth="1"/>
    <col min="2568" max="2568" width="13.375" style="316" customWidth="1"/>
    <col min="2569" max="2569" width="1.875" style="316" customWidth="1"/>
    <col min="2570" max="2570" width="13.625" style="316" customWidth="1"/>
    <col min="2571" max="2571" width="12.875" style="316" customWidth="1"/>
    <col min="2572" max="2572" width="13.875" style="316" customWidth="1"/>
    <col min="2573" max="2573" width="1.75" style="316" customWidth="1"/>
    <col min="2574" max="2574" width="13.75" style="316" bestFit="1" customWidth="1"/>
    <col min="2575" max="2575" width="14.75" style="316" customWidth="1"/>
    <col min="2576" max="2576" width="12.875" style="316" bestFit="1" customWidth="1"/>
    <col min="2577" max="2577" width="9.5" style="316" bestFit="1" customWidth="1"/>
    <col min="2578" max="2819" width="8.75" style="316"/>
    <col min="2820" max="2820" width="3.125" style="316" customWidth="1"/>
    <col min="2821" max="2821" width="21.125" style="316" customWidth="1"/>
    <col min="2822" max="2822" width="13.125" style="316" customWidth="1"/>
    <col min="2823" max="2823" width="13.625" style="316" customWidth="1"/>
    <col min="2824" max="2824" width="13.375" style="316" customWidth="1"/>
    <col min="2825" max="2825" width="1.875" style="316" customWidth="1"/>
    <col min="2826" max="2826" width="13.625" style="316" customWidth="1"/>
    <col min="2827" max="2827" width="12.875" style="316" customWidth="1"/>
    <col min="2828" max="2828" width="13.875" style="316" customWidth="1"/>
    <col min="2829" max="2829" width="1.75" style="316" customWidth="1"/>
    <col min="2830" max="2830" width="13.75" style="316" bestFit="1" customWidth="1"/>
    <col min="2831" max="2831" width="14.75" style="316" customWidth="1"/>
    <col min="2832" max="2832" width="12.875" style="316" bestFit="1" customWidth="1"/>
    <col min="2833" max="2833" width="9.5" style="316" bestFit="1" customWidth="1"/>
    <col min="2834" max="3075" width="8.75" style="316"/>
    <col min="3076" max="3076" width="3.125" style="316" customWidth="1"/>
    <col min="3077" max="3077" width="21.125" style="316" customWidth="1"/>
    <col min="3078" max="3078" width="13.125" style="316" customWidth="1"/>
    <col min="3079" max="3079" width="13.625" style="316" customWidth="1"/>
    <col min="3080" max="3080" width="13.375" style="316" customWidth="1"/>
    <col min="3081" max="3081" width="1.875" style="316" customWidth="1"/>
    <col min="3082" max="3082" width="13.625" style="316" customWidth="1"/>
    <col min="3083" max="3083" width="12.875" style="316" customWidth="1"/>
    <col min="3084" max="3084" width="13.875" style="316" customWidth="1"/>
    <col min="3085" max="3085" width="1.75" style="316" customWidth="1"/>
    <col min="3086" max="3086" width="13.75" style="316" bestFit="1" customWidth="1"/>
    <col min="3087" max="3087" width="14.75" style="316" customWidth="1"/>
    <col min="3088" max="3088" width="12.875" style="316" bestFit="1" customWidth="1"/>
    <col min="3089" max="3089" width="9.5" style="316" bestFit="1" customWidth="1"/>
    <col min="3090" max="3331" width="8.75" style="316"/>
    <col min="3332" max="3332" width="3.125" style="316" customWidth="1"/>
    <col min="3333" max="3333" width="21.125" style="316" customWidth="1"/>
    <col min="3334" max="3334" width="13.125" style="316" customWidth="1"/>
    <col min="3335" max="3335" width="13.625" style="316" customWidth="1"/>
    <col min="3336" max="3336" width="13.375" style="316" customWidth="1"/>
    <col min="3337" max="3337" width="1.875" style="316" customWidth="1"/>
    <col min="3338" max="3338" width="13.625" style="316" customWidth="1"/>
    <col min="3339" max="3339" width="12.875" style="316" customWidth="1"/>
    <col min="3340" max="3340" width="13.875" style="316" customWidth="1"/>
    <col min="3341" max="3341" width="1.75" style="316" customWidth="1"/>
    <col min="3342" max="3342" width="13.75" style="316" bestFit="1" customWidth="1"/>
    <col min="3343" max="3343" width="14.75" style="316" customWidth="1"/>
    <col min="3344" max="3344" width="12.875" style="316" bestFit="1" customWidth="1"/>
    <col min="3345" max="3345" width="9.5" style="316" bestFit="1" customWidth="1"/>
    <col min="3346" max="3587" width="8.75" style="316"/>
    <col min="3588" max="3588" width="3.125" style="316" customWidth="1"/>
    <col min="3589" max="3589" width="21.125" style="316" customWidth="1"/>
    <col min="3590" max="3590" width="13.125" style="316" customWidth="1"/>
    <col min="3591" max="3591" width="13.625" style="316" customWidth="1"/>
    <col min="3592" max="3592" width="13.375" style="316" customWidth="1"/>
    <col min="3593" max="3593" width="1.875" style="316" customWidth="1"/>
    <col min="3594" max="3594" width="13.625" style="316" customWidth="1"/>
    <col min="3595" max="3595" width="12.875" style="316" customWidth="1"/>
    <col min="3596" max="3596" width="13.875" style="316" customWidth="1"/>
    <col min="3597" max="3597" width="1.75" style="316" customWidth="1"/>
    <col min="3598" max="3598" width="13.75" style="316" bestFit="1" customWidth="1"/>
    <col min="3599" max="3599" width="14.75" style="316" customWidth="1"/>
    <col min="3600" max="3600" width="12.875" style="316" bestFit="1" customWidth="1"/>
    <col min="3601" max="3601" width="9.5" style="316" bestFit="1" customWidth="1"/>
    <col min="3602" max="3843" width="8.75" style="316"/>
    <col min="3844" max="3844" width="3.125" style="316" customWidth="1"/>
    <col min="3845" max="3845" width="21.125" style="316" customWidth="1"/>
    <col min="3846" max="3846" width="13.125" style="316" customWidth="1"/>
    <col min="3847" max="3847" width="13.625" style="316" customWidth="1"/>
    <col min="3848" max="3848" width="13.375" style="316" customWidth="1"/>
    <col min="3849" max="3849" width="1.875" style="316" customWidth="1"/>
    <col min="3850" max="3850" width="13.625" style="316" customWidth="1"/>
    <col min="3851" max="3851" width="12.875" style="316" customWidth="1"/>
    <col min="3852" max="3852" width="13.875" style="316" customWidth="1"/>
    <col min="3853" max="3853" width="1.75" style="316" customWidth="1"/>
    <col min="3854" max="3854" width="13.75" style="316" bestFit="1" customWidth="1"/>
    <col min="3855" max="3855" width="14.75" style="316" customWidth="1"/>
    <col min="3856" max="3856" width="12.875" style="316" bestFit="1" customWidth="1"/>
    <col min="3857" max="3857" width="9.5" style="316" bestFit="1" customWidth="1"/>
    <col min="3858" max="4099" width="8.75" style="316"/>
    <col min="4100" max="4100" width="3.125" style="316" customWidth="1"/>
    <col min="4101" max="4101" width="21.125" style="316" customWidth="1"/>
    <col min="4102" max="4102" width="13.125" style="316" customWidth="1"/>
    <col min="4103" max="4103" width="13.625" style="316" customWidth="1"/>
    <col min="4104" max="4104" width="13.375" style="316" customWidth="1"/>
    <col min="4105" max="4105" width="1.875" style="316" customWidth="1"/>
    <col min="4106" max="4106" width="13.625" style="316" customWidth="1"/>
    <col min="4107" max="4107" width="12.875" style="316" customWidth="1"/>
    <col min="4108" max="4108" width="13.875" style="316" customWidth="1"/>
    <col min="4109" max="4109" width="1.75" style="316" customWidth="1"/>
    <col min="4110" max="4110" width="13.75" style="316" bestFit="1" customWidth="1"/>
    <col min="4111" max="4111" width="14.75" style="316" customWidth="1"/>
    <col min="4112" max="4112" width="12.875" style="316" bestFit="1" customWidth="1"/>
    <col min="4113" max="4113" width="9.5" style="316" bestFit="1" customWidth="1"/>
    <col min="4114" max="4355" width="8.75" style="316"/>
    <col min="4356" max="4356" width="3.125" style="316" customWidth="1"/>
    <col min="4357" max="4357" width="21.125" style="316" customWidth="1"/>
    <col min="4358" max="4358" width="13.125" style="316" customWidth="1"/>
    <col min="4359" max="4359" width="13.625" style="316" customWidth="1"/>
    <col min="4360" max="4360" width="13.375" style="316" customWidth="1"/>
    <col min="4361" max="4361" width="1.875" style="316" customWidth="1"/>
    <col min="4362" max="4362" width="13.625" style="316" customWidth="1"/>
    <col min="4363" max="4363" width="12.875" style="316" customWidth="1"/>
    <col min="4364" max="4364" width="13.875" style="316" customWidth="1"/>
    <col min="4365" max="4365" width="1.75" style="316" customWidth="1"/>
    <col min="4366" max="4366" width="13.75" style="316" bestFit="1" customWidth="1"/>
    <col min="4367" max="4367" width="14.75" style="316" customWidth="1"/>
    <col min="4368" max="4368" width="12.875" style="316" bestFit="1" customWidth="1"/>
    <col min="4369" max="4369" width="9.5" style="316" bestFit="1" customWidth="1"/>
    <col min="4370" max="4611" width="8.75" style="316"/>
    <col min="4612" max="4612" width="3.125" style="316" customWidth="1"/>
    <col min="4613" max="4613" width="21.125" style="316" customWidth="1"/>
    <col min="4614" max="4614" width="13.125" style="316" customWidth="1"/>
    <col min="4615" max="4615" width="13.625" style="316" customWidth="1"/>
    <col min="4616" max="4616" width="13.375" style="316" customWidth="1"/>
    <col min="4617" max="4617" width="1.875" style="316" customWidth="1"/>
    <col min="4618" max="4618" width="13.625" style="316" customWidth="1"/>
    <col min="4619" max="4619" width="12.875" style="316" customWidth="1"/>
    <col min="4620" max="4620" width="13.875" style="316" customWidth="1"/>
    <col min="4621" max="4621" width="1.75" style="316" customWidth="1"/>
    <col min="4622" max="4622" width="13.75" style="316" bestFit="1" customWidth="1"/>
    <col min="4623" max="4623" width="14.75" style="316" customWidth="1"/>
    <col min="4624" max="4624" width="12.875" style="316" bestFit="1" customWidth="1"/>
    <col min="4625" max="4625" width="9.5" style="316" bestFit="1" customWidth="1"/>
    <col min="4626" max="4867" width="8.75" style="316"/>
    <col min="4868" max="4868" width="3.125" style="316" customWidth="1"/>
    <col min="4869" max="4869" width="21.125" style="316" customWidth="1"/>
    <col min="4870" max="4870" width="13.125" style="316" customWidth="1"/>
    <col min="4871" max="4871" width="13.625" style="316" customWidth="1"/>
    <col min="4872" max="4872" width="13.375" style="316" customWidth="1"/>
    <col min="4873" max="4873" width="1.875" style="316" customWidth="1"/>
    <col min="4874" max="4874" width="13.625" style="316" customWidth="1"/>
    <col min="4875" max="4875" width="12.875" style="316" customWidth="1"/>
    <col min="4876" max="4876" width="13.875" style="316" customWidth="1"/>
    <col min="4877" max="4877" width="1.75" style="316" customWidth="1"/>
    <col min="4878" max="4878" width="13.75" style="316" bestFit="1" customWidth="1"/>
    <col min="4879" max="4879" width="14.75" style="316" customWidth="1"/>
    <col min="4880" max="4880" width="12.875" style="316" bestFit="1" customWidth="1"/>
    <col min="4881" max="4881" width="9.5" style="316" bestFit="1" customWidth="1"/>
    <col min="4882" max="5123" width="8.75" style="316"/>
    <col min="5124" max="5124" width="3.125" style="316" customWidth="1"/>
    <col min="5125" max="5125" width="21.125" style="316" customWidth="1"/>
    <col min="5126" max="5126" width="13.125" style="316" customWidth="1"/>
    <col min="5127" max="5127" width="13.625" style="316" customWidth="1"/>
    <col min="5128" max="5128" width="13.375" style="316" customWidth="1"/>
    <col min="5129" max="5129" width="1.875" style="316" customWidth="1"/>
    <col min="5130" max="5130" width="13.625" style="316" customWidth="1"/>
    <col min="5131" max="5131" width="12.875" style="316" customWidth="1"/>
    <col min="5132" max="5132" width="13.875" style="316" customWidth="1"/>
    <col min="5133" max="5133" width="1.75" style="316" customWidth="1"/>
    <col min="5134" max="5134" width="13.75" style="316" bestFit="1" customWidth="1"/>
    <col min="5135" max="5135" width="14.75" style="316" customWidth="1"/>
    <col min="5136" max="5136" width="12.875" style="316" bestFit="1" customWidth="1"/>
    <col min="5137" max="5137" width="9.5" style="316" bestFit="1" customWidth="1"/>
    <col min="5138" max="5379" width="8.75" style="316"/>
    <col min="5380" max="5380" width="3.125" style="316" customWidth="1"/>
    <col min="5381" max="5381" width="21.125" style="316" customWidth="1"/>
    <col min="5382" max="5382" width="13.125" style="316" customWidth="1"/>
    <col min="5383" max="5383" width="13.625" style="316" customWidth="1"/>
    <col min="5384" max="5384" width="13.375" style="316" customWidth="1"/>
    <col min="5385" max="5385" width="1.875" style="316" customWidth="1"/>
    <col min="5386" max="5386" width="13.625" style="316" customWidth="1"/>
    <col min="5387" max="5387" width="12.875" style="316" customWidth="1"/>
    <col min="5388" max="5388" width="13.875" style="316" customWidth="1"/>
    <col min="5389" max="5389" width="1.75" style="316" customWidth="1"/>
    <col min="5390" max="5390" width="13.75" style="316" bestFit="1" customWidth="1"/>
    <col min="5391" max="5391" width="14.75" style="316" customWidth="1"/>
    <col min="5392" max="5392" width="12.875" style="316" bestFit="1" customWidth="1"/>
    <col min="5393" max="5393" width="9.5" style="316" bestFit="1" customWidth="1"/>
    <col min="5394" max="5635" width="8.75" style="316"/>
    <col min="5636" max="5636" width="3.125" style="316" customWidth="1"/>
    <col min="5637" max="5637" width="21.125" style="316" customWidth="1"/>
    <col min="5638" max="5638" width="13.125" style="316" customWidth="1"/>
    <col min="5639" max="5639" width="13.625" style="316" customWidth="1"/>
    <col min="5640" max="5640" width="13.375" style="316" customWidth="1"/>
    <col min="5641" max="5641" width="1.875" style="316" customWidth="1"/>
    <col min="5642" max="5642" width="13.625" style="316" customWidth="1"/>
    <col min="5643" max="5643" width="12.875" style="316" customWidth="1"/>
    <col min="5644" max="5644" width="13.875" style="316" customWidth="1"/>
    <col min="5645" max="5645" width="1.75" style="316" customWidth="1"/>
    <col min="5646" max="5646" width="13.75" style="316" bestFit="1" customWidth="1"/>
    <col min="5647" max="5647" width="14.75" style="316" customWidth="1"/>
    <col min="5648" max="5648" width="12.875" style="316" bestFit="1" customWidth="1"/>
    <col min="5649" max="5649" width="9.5" style="316" bestFit="1" customWidth="1"/>
    <col min="5650" max="5891" width="8.75" style="316"/>
    <col min="5892" max="5892" width="3.125" style="316" customWidth="1"/>
    <col min="5893" max="5893" width="21.125" style="316" customWidth="1"/>
    <col min="5894" max="5894" width="13.125" style="316" customWidth="1"/>
    <col min="5895" max="5895" width="13.625" style="316" customWidth="1"/>
    <col min="5896" max="5896" width="13.375" style="316" customWidth="1"/>
    <col min="5897" max="5897" width="1.875" style="316" customWidth="1"/>
    <col min="5898" max="5898" width="13.625" style="316" customWidth="1"/>
    <col min="5899" max="5899" width="12.875" style="316" customWidth="1"/>
    <col min="5900" max="5900" width="13.875" style="316" customWidth="1"/>
    <col min="5901" max="5901" width="1.75" style="316" customWidth="1"/>
    <col min="5902" max="5902" width="13.75" style="316" bestFit="1" customWidth="1"/>
    <col min="5903" max="5903" width="14.75" style="316" customWidth="1"/>
    <col min="5904" max="5904" width="12.875" style="316" bestFit="1" customWidth="1"/>
    <col min="5905" max="5905" width="9.5" style="316" bestFit="1" customWidth="1"/>
    <col min="5906" max="6147" width="8.75" style="316"/>
    <col min="6148" max="6148" width="3.125" style="316" customWidth="1"/>
    <col min="6149" max="6149" width="21.125" style="316" customWidth="1"/>
    <col min="6150" max="6150" width="13.125" style="316" customWidth="1"/>
    <col min="6151" max="6151" width="13.625" style="316" customWidth="1"/>
    <col min="6152" max="6152" width="13.375" style="316" customWidth="1"/>
    <col min="6153" max="6153" width="1.875" style="316" customWidth="1"/>
    <col min="6154" max="6154" width="13.625" style="316" customWidth="1"/>
    <col min="6155" max="6155" width="12.875" style="316" customWidth="1"/>
    <col min="6156" max="6156" width="13.875" style="316" customWidth="1"/>
    <col min="6157" max="6157" width="1.75" style="316" customWidth="1"/>
    <col min="6158" max="6158" width="13.75" style="316" bestFit="1" customWidth="1"/>
    <col min="6159" max="6159" width="14.75" style="316" customWidth="1"/>
    <col min="6160" max="6160" width="12.875" style="316" bestFit="1" customWidth="1"/>
    <col min="6161" max="6161" width="9.5" style="316" bestFit="1" customWidth="1"/>
    <col min="6162" max="6403" width="8.75" style="316"/>
    <col min="6404" max="6404" width="3.125" style="316" customWidth="1"/>
    <col min="6405" max="6405" width="21.125" style="316" customWidth="1"/>
    <col min="6406" max="6406" width="13.125" style="316" customWidth="1"/>
    <col min="6407" max="6407" width="13.625" style="316" customWidth="1"/>
    <col min="6408" max="6408" width="13.375" style="316" customWidth="1"/>
    <col min="6409" max="6409" width="1.875" style="316" customWidth="1"/>
    <col min="6410" max="6410" width="13.625" style="316" customWidth="1"/>
    <col min="6411" max="6411" width="12.875" style="316" customWidth="1"/>
    <col min="6412" max="6412" width="13.875" style="316" customWidth="1"/>
    <col min="6413" max="6413" width="1.75" style="316" customWidth="1"/>
    <col min="6414" max="6414" width="13.75" style="316" bestFit="1" customWidth="1"/>
    <col min="6415" max="6415" width="14.75" style="316" customWidth="1"/>
    <col min="6416" max="6416" width="12.875" style="316" bestFit="1" customWidth="1"/>
    <col min="6417" max="6417" width="9.5" style="316" bestFit="1" customWidth="1"/>
    <col min="6418" max="6659" width="8.75" style="316"/>
    <col min="6660" max="6660" width="3.125" style="316" customWidth="1"/>
    <col min="6661" max="6661" width="21.125" style="316" customWidth="1"/>
    <col min="6662" max="6662" width="13.125" style="316" customWidth="1"/>
    <col min="6663" max="6663" width="13.625" style="316" customWidth="1"/>
    <col min="6664" max="6664" width="13.375" style="316" customWidth="1"/>
    <col min="6665" max="6665" width="1.875" style="316" customWidth="1"/>
    <col min="6666" max="6666" width="13.625" style="316" customWidth="1"/>
    <col min="6667" max="6667" width="12.875" style="316" customWidth="1"/>
    <col min="6668" max="6668" width="13.875" style="316" customWidth="1"/>
    <col min="6669" max="6669" width="1.75" style="316" customWidth="1"/>
    <col min="6670" max="6670" width="13.75" style="316" bestFit="1" customWidth="1"/>
    <col min="6671" max="6671" width="14.75" style="316" customWidth="1"/>
    <col min="6672" max="6672" width="12.875" style="316" bestFit="1" customWidth="1"/>
    <col min="6673" max="6673" width="9.5" style="316" bestFit="1" customWidth="1"/>
    <col min="6674" max="6915" width="8.75" style="316"/>
    <col min="6916" max="6916" width="3.125" style="316" customWidth="1"/>
    <col min="6917" max="6917" width="21.125" style="316" customWidth="1"/>
    <col min="6918" max="6918" width="13.125" style="316" customWidth="1"/>
    <col min="6919" max="6919" width="13.625" style="316" customWidth="1"/>
    <col min="6920" max="6920" width="13.375" style="316" customWidth="1"/>
    <col min="6921" max="6921" width="1.875" style="316" customWidth="1"/>
    <col min="6922" max="6922" width="13.625" style="316" customWidth="1"/>
    <col min="6923" max="6923" width="12.875" style="316" customWidth="1"/>
    <col min="6924" max="6924" width="13.875" style="316" customWidth="1"/>
    <col min="6925" max="6925" width="1.75" style="316" customWidth="1"/>
    <col min="6926" max="6926" width="13.75" style="316" bestFit="1" customWidth="1"/>
    <col min="6927" max="6927" width="14.75" style="316" customWidth="1"/>
    <col min="6928" max="6928" width="12.875" style="316" bestFit="1" customWidth="1"/>
    <col min="6929" max="6929" width="9.5" style="316" bestFit="1" customWidth="1"/>
    <col min="6930" max="7171" width="8.75" style="316"/>
    <col min="7172" max="7172" width="3.125" style="316" customWidth="1"/>
    <col min="7173" max="7173" width="21.125" style="316" customWidth="1"/>
    <col min="7174" max="7174" width="13.125" style="316" customWidth="1"/>
    <col min="7175" max="7175" width="13.625" style="316" customWidth="1"/>
    <col min="7176" max="7176" width="13.375" style="316" customWidth="1"/>
    <col min="7177" max="7177" width="1.875" style="316" customWidth="1"/>
    <col min="7178" max="7178" width="13.625" style="316" customWidth="1"/>
    <col min="7179" max="7179" width="12.875" style="316" customWidth="1"/>
    <col min="7180" max="7180" width="13.875" style="316" customWidth="1"/>
    <col min="7181" max="7181" width="1.75" style="316" customWidth="1"/>
    <col min="7182" max="7182" width="13.75" style="316" bestFit="1" customWidth="1"/>
    <col min="7183" max="7183" width="14.75" style="316" customWidth="1"/>
    <col min="7184" max="7184" width="12.875" style="316" bestFit="1" customWidth="1"/>
    <col min="7185" max="7185" width="9.5" style="316" bestFit="1" customWidth="1"/>
    <col min="7186" max="7427" width="8.75" style="316"/>
    <col min="7428" max="7428" width="3.125" style="316" customWidth="1"/>
    <col min="7429" max="7429" width="21.125" style="316" customWidth="1"/>
    <col min="7430" max="7430" width="13.125" style="316" customWidth="1"/>
    <col min="7431" max="7431" width="13.625" style="316" customWidth="1"/>
    <col min="7432" max="7432" width="13.375" style="316" customWidth="1"/>
    <col min="7433" max="7433" width="1.875" style="316" customWidth="1"/>
    <col min="7434" max="7434" width="13.625" style="316" customWidth="1"/>
    <col min="7435" max="7435" width="12.875" style="316" customWidth="1"/>
    <col min="7436" max="7436" width="13.875" style="316" customWidth="1"/>
    <col min="7437" max="7437" width="1.75" style="316" customWidth="1"/>
    <col min="7438" max="7438" width="13.75" style="316" bestFit="1" customWidth="1"/>
    <col min="7439" max="7439" width="14.75" style="316" customWidth="1"/>
    <col min="7440" max="7440" width="12.875" style="316" bestFit="1" customWidth="1"/>
    <col min="7441" max="7441" width="9.5" style="316" bestFit="1" customWidth="1"/>
    <col min="7442" max="7683" width="8.75" style="316"/>
    <col min="7684" max="7684" width="3.125" style="316" customWidth="1"/>
    <col min="7685" max="7685" width="21.125" style="316" customWidth="1"/>
    <col min="7686" max="7686" width="13.125" style="316" customWidth="1"/>
    <col min="7687" max="7687" width="13.625" style="316" customWidth="1"/>
    <col min="7688" max="7688" width="13.375" style="316" customWidth="1"/>
    <col min="7689" max="7689" width="1.875" style="316" customWidth="1"/>
    <col min="7690" max="7690" width="13.625" style="316" customWidth="1"/>
    <col min="7691" max="7691" width="12.875" style="316" customWidth="1"/>
    <col min="7692" max="7692" width="13.875" style="316" customWidth="1"/>
    <col min="7693" max="7693" width="1.75" style="316" customWidth="1"/>
    <col min="7694" max="7694" width="13.75" style="316" bestFit="1" customWidth="1"/>
    <col min="7695" max="7695" width="14.75" style="316" customWidth="1"/>
    <col min="7696" max="7696" width="12.875" style="316" bestFit="1" customWidth="1"/>
    <col min="7697" max="7697" width="9.5" style="316" bestFit="1" customWidth="1"/>
    <col min="7698" max="7939" width="8.75" style="316"/>
    <col min="7940" max="7940" width="3.125" style="316" customWidth="1"/>
    <col min="7941" max="7941" width="21.125" style="316" customWidth="1"/>
    <col min="7942" max="7942" width="13.125" style="316" customWidth="1"/>
    <col min="7943" max="7943" width="13.625" style="316" customWidth="1"/>
    <col min="7944" max="7944" width="13.375" style="316" customWidth="1"/>
    <col min="7945" max="7945" width="1.875" style="316" customWidth="1"/>
    <col min="7946" max="7946" width="13.625" style="316" customWidth="1"/>
    <col min="7947" max="7947" width="12.875" style="316" customWidth="1"/>
    <col min="7948" max="7948" width="13.875" style="316" customWidth="1"/>
    <col min="7949" max="7949" width="1.75" style="316" customWidth="1"/>
    <col min="7950" max="7950" width="13.75" style="316" bestFit="1" customWidth="1"/>
    <col min="7951" max="7951" width="14.75" style="316" customWidth="1"/>
    <col min="7952" max="7952" width="12.875" style="316" bestFit="1" customWidth="1"/>
    <col min="7953" max="7953" width="9.5" style="316" bestFit="1" customWidth="1"/>
    <col min="7954" max="8195" width="8.75" style="316"/>
    <col min="8196" max="8196" width="3.125" style="316" customWidth="1"/>
    <col min="8197" max="8197" width="21.125" style="316" customWidth="1"/>
    <col min="8198" max="8198" width="13.125" style="316" customWidth="1"/>
    <col min="8199" max="8199" width="13.625" style="316" customWidth="1"/>
    <col min="8200" max="8200" width="13.375" style="316" customWidth="1"/>
    <col min="8201" max="8201" width="1.875" style="316" customWidth="1"/>
    <col min="8202" max="8202" width="13.625" style="316" customWidth="1"/>
    <col min="8203" max="8203" width="12.875" style="316" customWidth="1"/>
    <col min="8204" max="8204" width="13.875" style="316" customWidth="1"/>
    <col min="8205" max="8205" width="1.75" style="316" customWidth="1"/>
    <col min="8206" max="8206" width="13.75" style="316" bestFit="1" customWidth="1"/>
    <col min="8207" max="8207" width="14.75" style="316" customWidth="1"/>
    <col min="8208" max="8208" width="12.875" style="316" bestFit="1" customWidth="1"/>
    <col min="8209" max="8209" width="9.5" style="316" bestFit="1" customWidth="1"/>
    <col min="8210" max="8451" width="8.75" style="316"/>
    <col min="8452" max="8452" width="3.125" style="316" customWidth="1"/>
    <col min="8453" max="8453" width="21.125" style="316" customWidth="1"/>
    <col min="8454" max="8454" width="13.125" style="316" customWidth="1"/>
    <col min="8455" max="8455" width="13.625" style="316" customWidth="1"/>
    <col min="8456" max="8456" width="13.375" style="316" customWidth="1"/>
    <col min="8457" max="8457" width="1.875" style="316" customWidth="1"/>
    <col min="8458" max="8458" width="13.625" style="316" customWidth="1"/>
    <col min="8459" max="8459" width="12.875" style="316" customWidth="1"/>
    <col min="8460" max="8460" width="13.875" style="316" customWidth="1"/>
    <col min="8461" max="8461" width="1.75" style="316" customWidth="1"/>
    <col min="8462" max="8462" width="13.75" style="316" bestFit="1" customWidth="1"/>
    <col min="8463" max="8463" width="14.75" style="316" customWidth="1"/>
    <col min="8464" max="8464" width="12.875" style="316" bestFit="1" customWidth="1"/>
    <col min="8465" max="8465" width="9.5" style="316" bestFit="1" customWidth="1"/>
    <col min="8466" max="8707" width="8.75" style="316"/>
    <col min="8708" max="8708" width="3.125" style="316" customWidth="1"/>
    <col min="8709" max="8709" width="21.125" style="316" customWidth="1"/>
    <col min="8710" max="8710" width="13.125" style="316" customWidth="1"/>
    <col min="8711" max="8711" width="13.625" style="316" customWidth="1"/>
    <col min="8712" max="8712" width="13.375" style="316" customWidth="1"/>
    <col min="8713" max="8713" width="1.875" style="316" customWidth="1"/>
    <col min="8714" max="8714" width="13.625" style="316" customWidth="1"/>
    <col min="8715" max="8715" width="12.875" style="316" customWidth="1"/>
    <col min="8716" max="8716" width="13.875" style="316" customWidth="1"/>
    <col min="8717" max="8717" width="1.75" style="316" customWidth="1"/>
    <col min="8718" max="8718" width="13.75" style="316" bestFit="1" customWidth="1"/>
    <col min="8719" max="8719" width="14.75" style="316" customWidth="1"/>
    <col min="8720" max="8720" width="12.875" style="316" bestFit="1" customWidth="1"/>
    <col min="8721" max="8721" width="9.5" style="316" bestFit="1" customWidth="1"/>
    <col min="8722" max="8963" width="8.75" style="316"/>
    <col min="8964" max="8964" width="3.125" style="316" customWidth="1"/>
    <col min="8965" max="8965" width="21.125" style="316" customWidth="1"/>
    <col min="8966" max="8966" width="13.125" style="316" customWidth="1"/>
    <col min="8967" max="8967" width="13.625" style="316" customWidth="1"/>
    <col min="8968" max="8968" width="13.375" style="316" customWidth="1"/>
    <col min="8969" max="8969" width="1.875" style="316" customWidth="1"/>
    <col min="8970" max="8970" width="13.625" style="316" customWidth="1"/>
    <col min="8971" max="8971" width="12.875" style="316" customWidth="1"/>
    <col min="8972" max="8972" width="13.875" style="316" customWidth="1"/>
    <col min="8973" max="8973" width="1.75" style="316" customWidth="1"/>
    <col min="8974" max="8974" width="13.75" style="316" bestFit="1" customWidth="1"/>
    <col min="8975" max="8975" width="14.75" style="316" customWidth="1"/>
    <col min="8976" max="8976" width="12.875" style="316" bestFit="1" customWidth="1"/>
    <col min="8977" max="8977" width="9.5" style="316" bestFit="1" customWidth="1"/>
    <col min="8978" max="9219" width="8.75" style="316"/>
    <col min="9220" max="9220" width="3.125" style="316" customWidth="1"/>
    <col min="9221" max="9221" width="21.125" style="316" customWidth="1"/>
    <col min="9222" max="9222" width="13.125" style="316" customWidth="1"/>
    <col min="9223" max="9223" width="13.625" style="316" customWidth="1"/>
    <col min="9224" max="9224" width="13.375" style="316" customWidth="1"/>
    <col min="9225" max="9225" width="1.875" style="316" customWidth="1"/>
    <col min="9226" max="9226" width="13.625" style="316" customWidth="1"/>
    <col min="9227" max="9227" width="12.875" style="316" customWidth="1"/>
    <col min="9228" max="9228" width="13.875" style="316" customWidth="1"/>
    <col min="9229" max="9229" width="1.75" style="316" customWidth="1"/>
    <col min="9230" max="9230" width="13.75" style="316" bestFit="1" customWidth="1"/>
    <col min="9231" max="9231" width="14.75" style="316" customWidth="1"/>
    <col min="9232" max="9232" width="12.875" style="316" bestFit="1" customWidth="1"/>
    <col min="9233" max="9233" width="9.5" style="316" bestFit="1" customWidth="1"/>
    <col min="9234" max="9475" width="8.75" style="316"/>
    <col min="9476" max="9476" width="3.125" style="316" customWidth="1"/>
    <col min="9477" max="9477" width="21.125" style="316" customWidth="1"/>
    <col min="9478" max="9478" width="13.125" style="316" customWidth="1"/>
    <col min="9479" max="9479" width="13.625" style="316" customWidth="1"/>
    <col min="9480" max="9480" width="13.375" style="316" customWidth="1"/>
    <col min="9481" max="9481" width="1.875" style="316" customWidth="1"/>
    <col min="9482" max="9482" width="13.625" style="316" customWidth="1"/>
    <col min="9483" max="9483" width="12.875" style="316" customWidth="1"/>
    <col min="9484" max="9484" width="13.875" style="316" customWidth="1"/>
    <col min="9485" max="9485" width="1.75" style="316" customWidth="1"/>
    <col min="9486" max="9486" width="13.75" style="316" bestFit="1" customWidth="1"/>
    <col min="9487" max="9487" width="14.75" style="316" customWidth="1"/>
    <col min="9488" max="9488" width="12.875" style="316" bestFit="1" customWidth="1"/>
    <col min="9489" max="9489" width="9.5" style="316" bestFit="1" customWidth="1"/>
    <col min="9490" max="9731" width="8.75" style="316"/>
    <col min="9732" max="9732" width="3.125" style="316" customWidth="1"/>
    <col min="9733" max="9733" width="21.125" style="316" customWidth="1"/>
    <col min="9734" max="9734" width="13.125" style="316" customWidth="1"/>
    <col min="9735" max="9735" width="13.625" style="316" customWidth="1"/>
    <col min="9736" max="9736" width="13.375" style="316" customWidth="1"/>
    <col min="9737" max="9737" width="1.875" style="316" customWidth="1"/>
    <col min="9738" max="9738" width="13.625" style="316" customWidth="1"/>
    <col min="9739" max="9739" width="12.875" style="316" customWidth="1"/>
    <col min="9740" max="9740" width="13.875" style="316" customWidth="1"/>
    <col min="9741" max="9741" width="1.75" style="316" customWidth="1"/>
    <col min="9742" max="9742" width="13.75" style="316" bestFit="1" customWidth="1"/>
    <col min="9743" max="9743" width="14.75" style="316" customWidth="1"/>
    <col min="9744" max="9744" width="12.875" style="316" bestFit="1" customWidth="1"/>
    <col min="9745" max="9745" width="9.5" style="316" bestFit="1" customWidth="1"/>
    <col min="9746" max="9987" width="8.75" style="316"/>
    <col min="9988" max="9988" width="3.125" style="316" customWidth="1"/>
    <col min="9989" max="9989" width="21.125" style="316" customWidth="1"/>
    <col min="9990" max="9990" width="13.125" style="316" customWidth="1"/>
    <col min="9991" max="9991" width="13.625" style="316" customWidth="1"/>
    <col min="9992" max="9992" width="13.375" style="316" customWidth="1"/>
    <col min="9993" max="9993" width="1.875" style="316" customWidth="1"/>
    <col min="9994" max="9994" width="13.625" style="316" customWidth="1"/>
    <col min="9995" max="9995" width="12.875" style="316" customWidth="1"/>
    <col min="9996" max="9996" width="13.875" style="316" customWidth="1"/>
    <col min="9997" max="9997" width="1.75" style="316" customWidth="1"/>
    <col min="9998" max="9998" width="13.75" style="316" bestFit="1" customWidth="1"/>
    <col min="9999" max="9999" width="14.75" style="316" customWidth="1"/>
    <col min="10000" max="10000" width="12.875" style="316" bestFit="1" customWidth="1"/>
    <col min="10001" max="10001" width="9.5" style="316" bestFit="1" customWidth="1"/>
    <col min="10002" max="10243" width="8.75" style="316"/>
    <col min="10244" max="10244" width="3.125" style="316" customWidth="1"/>
    <col min="10245" max="10245" width="21.125" style="316" customWidth="1"/>
    <col min="10246" max="10246" width="13.125" style="316" customWidth="1"/>
    <col min="10247" max="10247" width="13.625" style="316" customWidth="1"/>
    <col min="10248" max="10248" width="13.375" style="316" customWidth="1"/>
    <col min="10249" max="10249" width="1.875" style="316" customWidth="1"/>
    <col min="10250" max="10250" width="13.625" style="316" customWidth="1"/>
    <col min="10251" max="10251" width="12.875" style="316" customWidth="1"/>
    <col min="10252" max="10252" width="13.875" style="316" customWidth="1"/>
    <col min="10253" max="10253" width="1.75" style="316" customWidth="1"/>
    <col min="10254" max="10254" width="13.75" style="316" bestFit="1" customWidth="1"/>
    <col min="10255" max="10255" width="14.75" style="316" customWidth="1"/>
    <col min="10256" max="10256" width="12.875" style="316" bestFit="1" customWidth="1"/>
    <col min="10257" max="10257" width="9.5" style="316" bestFit="1" customWidth="1"/>
    <col min="10258" max="10499" width="8.75" style="316"/>
    <col min="10500" max="10500" width="3.125" style="316" customWidth="1"/>
    <col min="10501" max="10501" width="21.125" style="316" customWidth="1"/>
    <col min="10502" max="10502" width="13.125" style="316" customWidth="1"/>
    <col min="10503" max="10503" width="13.625" style="316" customWidth="1"/>
    <col min="10504" max="10504" width="13.375" style="316" customWidth="1"/>
    <col min="10505" max="10505" width="1.875" style="316" customWidth="1"/>
    <col min="10506" max="10506" width="13.625" style="316" customWidth="1"/>
    <col min="10507" max="10507" width="12.875" style="316" customWidth="1"/>
    <col min="10508" max="10508" width="13.875" style="316" customWidth="1"/>
    <col min="10509" max="10509" width="1.75" style="316" customWidth="1"/>
    <col min="10510" max="10510" width="13.75" style="316" bestFit="1" customWidth="1"/>
    <col min="10511" max="10511" width="14.75" style="316" customWidth="1"/>
    <col min="10512" max="10512" width="12.875" style="316" bestFit="1" customWidth="1"/>
    <col min="10513" max="10513" width="9.5" style="316" bestFit="1" customWidth="1"/>
    <col min="10514" max="10755" width="8.75" style="316"/>
    <col min="10756" max="10756" width="3.125" style="316" customWidth="1"/>
    <col min="10757" max="10757" width="21.125" style="316" customWidth="1"/>
    <col min="10758" max="10758" width="13.125" style="316" customWidth="1"/>
    <col min="10759" max="10759" width="13.625" style="316" customWidth="1"/>
    <col min="10760" max="10760" width="13.375" style="316" customWidth="1"/>
    <col min="10761" max="10761" width="1.875" style="316" customWidth="1"/>
    <col min="10762" max="10762" width="13.625" style="316" customWidth="1"/>
    <col min="10763" max="10763" width="12.875" style="316" customWidth="1"/>
    <col min="10764" max="10764" width="13.875" style="316" customWidth="1"/>
    <col min="10765" max="10765" width="1.75" style="316" customWidth="1"/>
    <col min="10766" max="10766" width="13.75" style="316" bestFit="1" customWidth="1"/>
    <col min="10767" max="10767" width="14.75" style="316" customWidth="1"/>
    <col min="10768" max="10768" width="12.875" style="316" bestFit="1" customWidth="1"/>
    <col min="10769" max="10769" width="9.5" style="316" bestFit="1" customWidth="1"/>
    <col min="10770" max="11011" width="8.75" style="316"/>
    <col min="11012" max="11012" width="3.125" style="316" customWidth="1"/>
    <col min="11013" max="11013" width="21.125" style="316" customWidth="1"/>
    <col min="11014" max="11014" width="13.125" style="316" customWidth="1"/>
    <col min="11015" max="11015" width="13.625" style="316" customWidth="1"/>
    <col min="11016" max="11016" width="13.375" style="316" customWidth="1"/>
    <col min="11017" max="11017" width="1.875" style="316" customWidth="1"/>
    <col min="11018" max="11018" width="13.625" style="316" customWidth="1"/>
    <col min="11019" max="11019" width="12.875" style="316" customWidth="1"/>
    <col min="11020" max="11020" width="13.875" style="316" customWidth="1"/>
    <col min="11021" max="11021" width="1.75" style="316" customWidth="1"/>
    <col min="11022" max="11022" width="13.75" style="316" bestFit="1" customWidth="1"/>
    <col min="11023" max="11023" width="14.75" style="316" customWidth="1"/>
    <col min="11024" max="11024" width="12.875" style="316" bestFit="1" customWidth="1"/>
    <col min="11025" max="11025" width="9.5" style="316" bestFit="1" customWidth="1"/>
    <col min="11026" max="11267" width="8.75" style="316"/>
    <col min="11268" max="11268" width="3.125" style="316" customWidth="1"/>
    <col min="11269" max="11269" width="21.125" style="316" customWidth="1"/>
    <col min="11270" max="11270" width="13.125" style="316" customWidth="1"/>
    <col min="11271" max="11271" width="13.625" style="316" customWidth="1"/>
    <col min="11272" max="11272" width="13.375" style="316" customWidth="1"/>
    <col min="11273" max="11273" width="1.875" style="316" customWidth="1"/>
    <col min="11274" max="11274" width="13.625" style="316" customWidth="1"/>
    <col min="11275" max="11275" width="12.875" style="316" customWidth="1"/>
    <col min="11276" max="11276" width="13.875" style="316" customWidth="1"/>
    <col min="11277" max="11277" width="1.75" style="316" customWidth="1"/>
    <col min="11278" max="11278" width="13.75" style="316" bestFit="1" customWidth="1"/>
    <col min="11279" max="11279" width="14.75" style="316" customWidth="1"/>
    <col min="11280" max="11280" width="12.875" style="316" bestFit="1" customWidth="1"/>
    <col min="11281" max="11281" width="9.5" style="316" bestFit="1" customWidth="1"/>
    <col min="11282" max="11523" width="8.75" style="316"/>
    <col min="11524" max="11524" width="3.125" style="316" customWidth="1"/>
    <col min="11525" max="11525" width="21.125" style="316" customWidth="1"/>
    <col min="11526" max="11526" width="13.125" style="316" customWidth="1"/>
    <col min="11527" max="11527" width="13.625" style="316" customWidth="1"/>
    <col min="11528" max="11528" width="13.375" style="316" customWidth="1"/>
    <col min="11529" max="11529" width="1.875" style="316" customWidth="1"/>
    <col min="11530" max="11530" width="13.625" style="316" customWidth="1"/>
    <col min="11531" max="11531" width="12.875" style="316" customWidth="1"/>
    <col min="11532" max="11532" width="13.875" style="316" customWidth="1"/>
    <col min="11533" max="11533" width="1.75" style="316" customWidth="1"/>
    <col min="11534" max="11534" width="13.75" style="316" bestFit="1" customWidth="1"/>
    <col min="11535" max="11535" width="14.75" style="316" customWidth="1"/>
    <col min="11536" max="11536" width="12.875" style="316" bestFit="1" customWidth="1"/>
    <col min="11537" max="11537" width="9.5" style="316" bestFit="1" customWidth="1"/>
    <col min="11538" max="11779" width="8.75" style="316"/>
    <col min="11780" max="11780" width="3.125" style="316" customWidth="1"/>
    <col min="11781" max="11781" width="21.125" style="316" customWidth="1"/>
    <col min="11782" max="11782" width="13.125" style="316" customWidth="1"/>
    <col min="11783" max="11783" width="13.625" style="316" customWidth="1"/>
    <col min="11784" max="11784" width="13.375" style="316" customWidth="1"/>
    <col min="11785" max="11785" width="1.875" style="316" customWidth="1"/>
    <col min="11786" max="11786" width="13.625" style="316" customWidth="1"/>
    <col min="11787" max="11787" width="12.875" style="316" customWidth="1"/>
    <col min="11788" max="11788" width="13.875" style="316" customWidth="1"/>
    <col min="11789" max="11789" width="1.75" style="316" customWidth="1"/>
    <col min="11790" max="11790" width="13.75" style="316" bestFit="1" customWidth="1"/>
    <col min="11791" max="11791" width="14.75" style="316" customWidth="1"/>
    <col min="11792" max="11792" width="12.875" style="316" bestFit="1" customWidth="1"/>
    <col min="11793" max="11793" width="9.5" style="316" bestFit="1" customWidth="1"/>
    <col min="11794" max="12035" width="8.75" style="316"/>
    <col min="12036" max="12036" width="3.125" style="316" customWidth="1"/>
    <col min="12037" max="12037" width="21.125" style="316" customWidth="1"/>
    <col min="12038" max="12038" width="13.125" style="316" customWidth="1"/>
    <col min="12039" max="12039" width="13.625" style="316" customWidth="1"/>
    <col min="12040" max="12040" width="13.375" style="316" customWidth="1"/>
    <col min="12041" max="12041" width="1.875" style="316" customWidth="1"/>
    <col min="12042" max="12042" width="13.625" style="316" customWidth="1"/>
    <col min="12043" max="12043" width="12.875" style="316" customWidth="1"/>
    <col min="12044" max="12044" width="13.875" style="316" customWidth="1"/>
    <col min="12045" max="12045" width="1.75" style="316" customWidth="1"/>
    <col min="12046" max="12046" width="13.75" style="316" bestFit="1" customWidth="1"/>
    <col min="12047" max="12047" width="14.75" style="316" customWidth="1"/>
    <col min="12048" max="12048" width="12.875" style="316" bestFit="1" customWidth="1"/>
    <col min="12049" max="12049" width="9.5" style="316" bestFit="1" customWidth="1"/>
    <col min="12050" max="12291" width="8.75" style="316"/>
    <col min="12292" max="12292" width="3.125" style="316" customWidth="1"/>
    <col min="12293" max="12293" width="21.125" style="316" customWidth="1"/>
    <col min="12294" max="12294" width="13.125" style="316" customWidth="1"/>
    <col min="12295" max="12295" width="13.625" style="316" customWidth="1"/>
    <col min="12296" max="12296" width="13.375" style="316" customWidth="1"/>
    <col min="12297" max="12297" width="1.875" style="316" customWidth="1"/>
    <col min="12298" max="12298" width="13.625" style="316" customWidth="1"/>
    <col min="12299" max="12299" width="12.875" style="316" customWidth="1"/>
    <col min="12300" max="12300" width="13.875" style="316" customWidth="1"/>
    <col min="12301" max="12301" width="1.75" style="316" customWidth="1"/>
    <col min="12302" max="12302" width="13.75" style="316" bestFit="1" customWidth="1"/>
    <col min="12303" max="12303" width="14.75" style="316" customWidth="1"/>
    <col min="12304" max="12304" width="12.875" style="316" bestFit="1" customWidth="1"/>
    <col min="12305" max="12305" width="9.5" style="316" bestFit="1" customWidth="1"/>
    <col min="12306" max="12547" width="8.75" style="316"/>
    <col min="12548" max="12548" width="3.125" style="316" customWidth="1"/>
    <col min="12549" max="12549" width="21.125" style="316" customWidth="1"/>
    <col min="12550" max="12550" width="13.125" style="316" customWidth="1"/>
    <col min="12551" max="12551" width="13.625" style="316" customWidth="1"/>
    <col min="12552" max="12552" width="13.375" style="316" customWidth="1"/>
    <col min="12553" max="12553" width="1.875" style="316" customWidth="1"/>
    <col min="12554" max="12554" width="13.625" style="316" customWidth="1"/>
    <col min="12555" max="12555" width="12.875" style="316" customWidth="1"/>
    <col min="12556" max="12556" width="13.875" style="316" customWidth="1"/>
    <col min="12557" max="12557" width="1.75" style="316" customWidth="1"/>
    <col min="12558" max="12558" width="13.75" style="316" bestFit="1" customWidth="1"/>
    <col min="12559" max="12559" width="14.75" style="316" customWidth="1"/>
    <col min="12560" max="12560" width="12.875" style="316" bestFit="1" customWidth="1"/>
    <col min="12561" max="12561" width="9.5" style="316" bestFit="1" customWidth="1"/>
    <col min="12562" max="12803" width="8.75" style="316"/>
    <col min="12804" max="12804" width="3.125" style="316" customWidth="1"/>
    <col min="12805" max="12805" width="21.125" style="316" customWidth="1"/>
    <col min="12806" max="12806" width="13.125" style="316" customWidth="1"/>
    <col min="12807" max="12807" width="13.625" style="316" customWidth="1"/>
    <col min="12808" max="12808" width="13.375" style="316" customWidth="1"/>
    <col min="12809" max="12809" width="1.875" style="316" customWidth="1"/>
    <col min="12810" max="12810" width="13.625" style="316" customWidth="1"/>
    <col min="12811" max="12811" width="12.875" style="316" customWidth="1"/>
    <col min="12812" max="12812" width="13.875" style="316" customWidth="1"/>
    <col min="12813" max="12813" width="1.75" style="316" customWidth="1"/>
    <col min="12814" max="12814" width="13.75" style="316" bestFit="1" customWidth="1"/>
    <col min="12815" max="12815" width="14.75" style="316" customWidth="1"/>
    <col min="12816" max="12816" width="12.875" style="316" bestFit="1" customWidth="1"/>
    <col min="12817" max="12817" width="9.5" style="316" bestFit="1" customWidth="1"/>
    <col min="12818" max="13059" width="8.75" style="316"/>
    <col min="13060" max="13060" width="3.125" style="316" customWidth="1"/>
    <col min="13061" max="13061" width="21.125" style="316" customWidth="1"/>
    <col min="13062" max="13062" width="13.125" style="316" customWidth="1"/>
    <col min="13063" max="13063" width="13.625" style="316" customWidth="1"/>
    <col min="13064" max="13064" width="13.375" style="316" customWidth="1"/>
    <col min="13065" max="13065" width="1.875" style="316" customWidth="1"/>
    <col min="13066" max="13066" width="13.625" style="316" customWidth="1"/>
    <col min="13067" max="13067" width="12.875" style="316" customWidth="1"/>
    <col min="13068" max="13068" width="13.875" style="316" customWidth="1"/>
    <col min="13069" max="13069" width="1.75" style="316" customWidth="1"/>
    <col min="13070" max="13070" width="13.75" style="316" bestFit="1" customWidth="1"/>
    <col min="13071" max="13071" width="14.75" style="316" customWidth="1"/>
    <col min="13072" max="13072" width="12.875" style="316" bestFit="1" customWidth="1"/>
    <col min="13073" max="13073" width="9.5" style="316" bestFit="1" customWidth="1"/>
    <col min="13074" max="13315" width="8.75" style="316"/>
    <col min="13316" max="13316" width="3.125" style="316" customWidth="1"/>
    <col min="13317" max="13317" width="21.125" style="316" customWidth="1"/>
    <col min="13318" max="13318" width="13.125" style="316" customWidth="1"/>
    <col min="13319" max="13319" width="13.625" style="316" customWidth="1"/>
    <col min="13320" max="13320" width="13.375" style="316" customWidth="1"/>
    <col min="13321" max="13321" width="1.875" style="316" customWidth="1"/>
    <col min="13322" max="13322" width="13.625" style="316" customWidth="1"/>
    <col min="13323" max="13323" width="12.875" style="316" customWidth="1"/>
    <col min="13324" max="13324" width="13.875" style="316" customWidth="1"/>
    <col min="13325" max="13325" width="1.75" style="316" customWidth="1"/>
    <col min="13326" max="13326" width="13.75" style="316" bestFit="1" customWidth="1"/>
    <col min="13327" max="13327" width="14.75" style="316" customWidth="1"/>
    <col min="13328" max="13328" width="12.875" style="316" bestFit="1" customWidth="1"/>
    <col min="13329" max="13329" width="9.5" style="316" bestFit="1" customWidth="1"/>
    <col min="13330" max="13571" width="8.75" style="316"/>
    <col min="13572" max="13572" width="3.125" style="316" customWidth="1"/>
    <col min="13573" max="13573" width="21.125" style="316" customWidth="1"/>
    <col min="13574" max="13574" width="13.125" style="316" customWidth="1"/>
    <col min="13575" max="13575" width="13.625" style="316" customWidth="1"/>
    <col min="13576" max="13576" width="13.375" style="316" customWidth="1"/>
    <col min="13577" max="13577" width="1.875" style="316" customWidth="1"/>
    <col min="13578" max="13578" width="13.625" style="316" customWidth="1"/>
    <col min="13579" max="13579" width="12.875" style="316" customWidth="1"/>
    <col min="13580" max="13580" width="13.875" style="316" customWidth="1"/>
    <col min="13581" max="13581" width="1.75" style="316" customWidth="1"/>
    <col min="13582" max="13582" width="13.75" style="316" bestFit="1" customWidth="1"/>
    <col min="13583" max="13583" width="14.75" style="316" customWidth="1"/>
    <col min="13584" max="13584" width="12.875" style="316" bestFit="1" customWidth="1"/>
    <col min="13585" max="13585" width="9.5" style="316" bestFit="1" customWidth="1"/>
    <col min="13586" max="13827" width="8.75" style="316"/>
    <col min="13828" max="13828" width="3.125" style="316" customWidth="1"/>
    <col min="13829" max="13829" width="21.125" style="316" customWidth="1"/>
    <col min="13830" max="13830" width="13.125" style="316" customWidth="1"/>
    <col min="13831" max="13831" width="13.625" style="316" customWidth="1"/>
    <col min="13832" max="13832" width="13.375" style="316" customWidth="1"/>
    <col min="13833" max="13833" width="1.875" style="316" customWidth="1"/>
    <col min="13834" max="13834" width="13.625" style="316" customWidth="1"/>
    <col min="13835" max="13835" width="12.875" style="316" customWidth="1"/>
    <col min="13836" max="13836" width="13.875" style="316" customWidth="1"/>
    <col min="13837" max="13837" width="1.75" style="316" customWidth="1"/>
    <col min="13838" max="13838" width="13.75" style="316" bestFit="1" customWidth="1"/>
    <col min="13839" max="13839" width="14.75" style="316" customWidth="1"/>
    <col min="13840" max="13840" width="12.875" style="316" bestFit="1" customWidth="1"/>
    <col min="13841" max="13841" width="9.5" style="316" bestFit="1" customWidth="1"/>
    <col min="13842" max="14083" width="8.75" style="316"/>
    <col min="14084" max="14084" width="3.125" style="316" customWidth="1"/>
    <col min="14085" max="14085" width="21.125" style="316" customWidth="1"/>
    <col min="14086" max="14086" width="13.125" style="316" customWidth="1"/>
    <col min="14087" max="14087" width="13.625" style="316" customWidth="1"/>
    <col min="14088" max="14088" width="13.375" style="316" customWidth="1"/>
    <col min="14089" max="14089" width="1.875" style="316" customWidth="1"/>
    <col min="14090" max="14090" width="13.625" style="316" customWidth="1"/>
    <col min="14091" max="14091" width="12.875" style="316" customWidth="1"/>
    <col min="14092" max="14092" width="13.875" style="316" customWidth="1"/>
    <col min="14093" max="14093" width="1.75" style="316" customWidth="1"/>
    <col min="14094" max="14094" width="13.75" style="316" bestFit="1" customWidth="1"/>
    <col min="14095" max="14095" width="14.75" style="316" customWidth="1"/>
    <col min="14096" max="14096" width="12.875" style="316" bestFit="1" customWidth="1"/>
    <col min="14097" max="14097" width="9.5" style="316" bestFit="1" customWidth="1"/>
    <col min="14098" max="14339" width="8.75" style="316"/>
    <col min="14340" max="14340" width="3.125" style="316" customWidth="1"/>
    <col min="14341" max="14341" width="21.125" style="316" customWidth="1"/>
    <col min="14342" max="14342" width="13.125" style="316" customWidth="1"/>
    <col min="14343" max="14343" width="13.625" style="316" customWidth="1"/>
    <col min="14344" max="14344" width="13.375" style="316" customWidth="1"/>
    <col min="14345" max="14345" width="1.875" style="316" customWidth="1"/>
    <col min="14346" max="14346" width="13.625" style="316" customWidth="1"/>
    <col min="14347" max="14347" width="12.875" style="316" customWidth="1"/>
    <col min="14348" max="14348" width="13.875" style="316" customWidth="1"/>
    <col min="14349" max="14349" width="1.75" style="316" customWidth="1"/>
    <col min="14350" max="14350" width="13.75" style="316" bestFit="1" customWidth="1"/>
    <col min="14351" max="14351" width="14.75" style="316" customWidth="1"/>
    <col min="14352" max="14352" width="12.875" style="316" bestFit="1" customWidth="1"/>
    <col min="14353" max="14353" width="9.5" style="316" bestFit="1" customWidth="1"/>
    <col min="14354" max="14595" width="8.75" style="316"/>
    <col min="14596" max="14596" width="3.125" style="316" customWidth="1"/>
    <col min="14597" max="14597" width="21.125" style="316" customWidth="1"/>
    <col min="14598" max="14598" width="13.125" style="316" customWidth="1"/>
    <col min="14599" max="14599" width="13.625" style="316" customWidth="1"/>
    <col min="14600" max="14600" width="13.375" style="316" customWidth="1"/>
    <col min="14601" max="14601" width="1.875" style="316" customWidth="1"/>
    <col min="14602" max="14602" width="13.625" style="316" customWidth="1"/>
    <col min="14603" max="14603" width="12.875" style="316" customWidth="1"/>
    <col min="14604" max="14604" width="13.875" style="316" customWidth="1"/>
    <col min="14605" max="14605" width="1.75" style="316" customWidth="1"/>
    <col min="14606" max="14606" width="13.75" style="316" bestFit="1" customWidth="1"/>
    <col min="14607" max="14607" width="14.75" style="316" customWidth="1"/>
    <col min="14608" max="14608" width="12.875" style="316" bestFit="1" customWidth="1"/>
    <col min="14609" max="14609" width="9.5" style="316" bestFit="1" customWidth="1"/>
    <col min="14610" max="14851" width="8.75" style="316"/>
    <col min="14852" max="14852" width="3.125" style="316" customWidth="1"/>
    <col min="14853" max="14853" width="21.125" style="316" customWidth="1"/>
    <col min="14854" max="14854" width="13.125" style="316" customWidth="1"/>
    <col min="14855" max="14855" width="13.625" style="316" customWidth="1"/>
    <col min="14856" max="14856" width="13.375" style="316" customWidth="1"/>
    <col min="14857" max="14857" width="1.875" style="316" customWidth="1"/>
    <col min="14858" max="14858" width="13.625" style="316" customWidth="1"/>
    <col min="14859" max="14859" width="12.875" style="316" customWidth="1"/>
    <col min="14860" max="14860" width="13.875" style="316" customWidth="1"/>
    <col min="14861" max="14861" width="1.75" style="316" customWidth="1"/>
    <col min="14862" max="14862" width="13.75" style="316" bestFit="1" customWidth="1"/>
    <col min="14863" max="14863" width="14.75" style="316" customWidth="1"/>
    <col min="14864" max="14864" width="12.875" style="316" bestFit="1" customWidth="1"/>
    <col min="14865" max="14865" width="9.5" style="316" bestFit="1" customWidth="1"/>
    <col min="14866" max="15107" width="8.75" style="316"/>
    <col min="15108" max="15108" width="3.125" style="316" customWidth="1"/>
    <col min="15109" max="15109" width="21.125" style="316" customWidth="1"/>
    <col min="15110" max="15110" width="13.125" style="316" customWidth="1"/>
    <col min="15111" max="15111" width="13.625" style="316" customWidth="1"/>
    <col min="15112" max="15112" width="13.375" style="316" customWidth="1"/>
    <col min="15113" max="15113" width="1.875" style="316" customWidth="1"/>
    <col min="15114" max="15114" width="13.625" style="316" customWidth="1"/>
    <col min="15115" max="15115" width="12.875" style="316" customWidth="1"/>
    <col min="15116" max="15116" width="13.875" style="316" customWidth="1"/>
    <col min="15117" max="15117" width="1.75" style="316" customWidth="1"/>
    <col min="15118" max="15118" width="13.75" style="316" bestFit="1" customWidth="1"/>
    <col min="15119" max="15119" width="14.75" style="316" customWidth="1"/>
    <col min="15120" max="15120" width="12.875" style="316" bestFit="1" customWidth="1"/>
    <col min="15121" max="15121" width="9.5" style="316" bestFit="1" customWidth="1"/>
    <col min="15122" max="15363" width="8.75" style="316"/>
    <col min="15364" max="15364" width="3.125" style="316" customWidth="1"/>
    <col min="15365" max="15365" width="21.125" style="316" customWidth="1"/>
    <col min="15366" max="15366" width="13.125" style="316" customWidth="1"/>
    <col min="15367" max="15367" width="13.625" style="316" customWidth="1"/>
    <col min="15368" max="15368" width="13.375" style="316" customWidth="1"/>
    <col min="15369" max="15369" width="1.875" style="316" customWidth="1"/>
    <col min="15370" max="15370" width="13.625" style="316" customWidth="1"/>
    <col min="15371" max="15371" width="12.875" style="316" customWidth="1"/>
    <col min="15372" max="15372" width="13.875" style="316" customWidth="1"/>
    <col min="15373" max="15373" width="1.75" style="316" customWidth="1"/>
    <col min="15374" max="15374" width="13.75" style="316" bestFit="1" customWidth="1"/>
    <col min="15375" max="15375" width="14.75" style="316" customWidth="1"/>
    <col min="15376" max="15376" width="12.875" style="316" bestFit="1" customWidth="1"/>
    <col min="15377" max="15377" width="9.5" style="316" bestFit="1" customWidth="1"/>
    <col min="15378" max="15619" width="8.75" style="316"/>
    <col min="15620" max="15620" width="3.125" style="316" customWidth="1"/>
    <col min="15621" max="15621" width="21.125" style="316" customWidth="1"/>
    <col min="15622" max="15622" width="13.125" style="316" customWidth="1"/>
    <col min="15623" max="15623" width="13.625" style="316" customWidth="1"/>
    <col min="15624" max="15624" width="13.375" style="316" customWidth="1"/>
    <col min="15625" max="15625" width="1.875" style="316" customWidth="1"/>
    <col min="15626" max="15626" width="13.625" style="316" customWidth="1"/>
    <col min="15627" max="15627" width="12.875" style="316" customWidth="1"/>
    <col min="15628" max="15628" width="13.875" style="316" customWidth="1"/>
    <col min="15629" max="15629" width="1.75" style="316" customWidth="1"/>
    <col min="15630" max="15630" width="13.75" style="316" bestFit="1" customWidth="1"/>
    <col min="15631" max="15631" width="14.75" style="316" customWidth="1"/>
    <col min="15632" max="15632" width="12.875" style="316" bestFit="1" customWidth="1"/>
    <col min="15633" max="15633" width="9.5" style="316" bestFit="1" customWidth="1"/>
    <col min="15634" max="15875" width="8.75" style="316"/>
    <col min="15876" max="15876" width="3.125" style="316" customWidth="1"/>
    <col min="15877" max="15877" width="21.125" style="316" customWidth="1"/>
    <col min="15878" max="15878" width="13.125" style="316" customWidth="1"/>
    <col min="15879" max="15879" width="13.625" style="316" customWidth="1"/>
    <col min="15880" max="15880" width="13.375" style="316" customWidth="1"/>
    <col min="15881" max="15881" width="1.875" style="316" customWidth="1"/>
    <col min="15882" max="15882" width="13.625" style="316" customWidth="1"/>
    <col min="15883" max="15883" width="12.875" style="316" customWidth="1"/>
    <col min="15884" max="15884" width="13.875" style="316" customWidth="1"/>
    <col min="15885" max="15885" width="1.75" style="316" customWidth="1"/>
    <col min="15886" max="15886" width="13.75" style="316" bestFit="1" customWidth="1"/>
    <col min="15887" max="15887" width="14.75" style="316" customWidth="1"/>
    <col min="15888" max="15888" width="12.875" style="316" bestFit="1" customWidth="1"/>
    <col min="15889" max="15889" width="9.5" style="316" bestFit="1" customWidth="1"/>
    <col min="15890" max="16131" width="8.75" style="316"/>
    <col min="16132" max="16132" width="3.125" style="316" customWidth="1"/>
    <col min="16133" max="16133" width="21.125" style="316" customWidth="1"/>
    <col min="16134" max="16134" width="13.125" style="316" customWidth="1"/>
    <col min="16135" max="16135" width="13.625" style="316" customWidth="1"/>
    <col min="16136" max="16136" width="13.375" style="316" customWidth="1"/>
    <col min="16137" max="16137" width="1.875" style="316" customWidth="1"/>
    <col min="16138" max="16138" width="13.625" style="316" customWidth="1"/>
    <col min="16139" max="16139" width="12.875" style="316" customWidth="1"/>
    <col min="16140" max="16140" width="13.875" style="316" customWidth="1"/>
    <col min="16141" max="16141" width="1.75" style="316" customWidth="1"/>
    <col min="16142" max="16142" width="13.75" style="316" bestFit="1" customWidth="1"/>
    <col min="16143" max="16143" width="14.75" style="316" customWidth="1"/>
    <col min="16144" max="16144" width="12.875" style="316" bestFit="1" customWidth="1"/>
    <col min="16145" max="16145" width="9.5" style="316" bestFit="1" customWidth="1"/>
    <col min="16146" max="16384" width="8.75" style="316"/>
  </cols>
  <sheetData>
    <row r="1" spans="1:19">
      <c r="A1" s="314"/>
      <c r="B1" s="314" t="s">
        <v>1</v>
      </c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5"/>
    </row>
    <row r="2" spans="1:19">
      <c r="A2" s="317"/>
      <c r="B2" s="317" t="s">
        <v>77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8"/>
    </row>
    <row r="3" spans="1:19">
      <c r="A3" s="317"/>
      <c r="B3" s="317" t="s">
        <v>493</v>
      </c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8"/>
    </row>
    <row r="4" spans="1:19">
      <c r="A4" s="317"/>
      <c r="B4" s="317" t="s">
        <v>79</v>
      </c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8"/>
    </row>
    <row r="5" spans="1:19">
      <c r="A5" s="319"/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8"/>
    </row>
    <row r="6" spans="1:19">
      <c r="A6" s="319"/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8"/>
    </row>
    <row r="7" spans="1:19">
      <c r="A7" s="320"/>
      <c r="B7" s="320"/>
      <c r="C7" s="320"/>
      <c r="D7" s="321"/>
      <c r="E7" s="321" t="s">
        <v>84</v>
      </c>
      <c r="F7" s="321"/>
      <c r="G7" s="321" t="s">
        <v>85</v>
      </c>
      <c r="H7" s="321"/>
      <c r="I7" s="321" t="s">
        <v>124</v>
      </c>
      <c r="J7" s="321"/>
      <c r="K7" s="321" t="s">
        <v>87</v>
      </c>
      <c r="L7" s="321"/>
      <c r="M7" s="321"/>
      <c r="N7" s="322"/>
      <c r="O7" s="323"/>
    </row>
    <row r="8" spans="1:19">
      <c r="A8" s="546" t="s">
        <v>8</v>
      </c>
      <c r="B8" s="546" t="s">
        <v>494</v>
      </c>
      <c r="C8" s="546" t="s">
        <v>95</v>
      </c>
      <c r="D8" s="547"/>
      <c r="E8" s="548" t="s">
        <v>96</v>
      </c>
      <c r="F8" s="549"/>
      <c r="G8" s="548" t="s">
        <v>97</v>
      </c>
      <c r="H8" s="549"/>
      <c r="I8" s="547" t="s">
        <v>495</v>
      </c>
      <c r="J8" s="547"/>
      <c r="K8" s="547" t="s">
        <v>98</v>
      </c>
      <c r="L8" s="547"/>
      <c r="M8" s="547" t="s">
        <v>438</v>
      </c>
      <c r="N8" s="322"/>
      <c r="O8" s="323"/>
    </row>
    <row r="9" spans="1:19">
      <c r="A9" s="320"/>
      <c r="B9" s="320"/>
      <c r="C9" s="320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2"/>
      <c r="O9" s="323"/>
    </row>
    <row r="10" spans="1:19">
      <c r="B10" s="316" t="s">
        <v>109</v>
      </c>
      <c r="D10" s="321"/>
      <c r="E10" s="321"/>
      <c r="F10" s="321"/>
      <c r="G10" s="321"/>
      <c r="H10" s="321"/>
      <c r="I10" s="324"/>
      <c r="J10" s="324"/>
      <c r="K10" s="324"/>
      <c r="L10" s="321"/>
      <c r="M10" s="321"/>
      <c r="N10" s="322"/>
      <c r="O10" s="323"/>
      <c r="P10" s="325" t="s">
        <v>85</v>
      </c>
      <c r="Q10" s="325" t="s">
        <v>496</v>
      </c>
    </row>
    <row r="11" spans="1:19">
      <c r="A11" s="319">
        <v>1</v>
      </c>
      <c r="B11" s="320"/>
      <c r="C11" s="320" t="s">
        <v>110</v>
      </c>
      <c r="D11" s="321"/>
      <c r="E11" s="321">
        <v>447</v>
      </c>
      <c r="F11" s="321"/>
      <c r="G11" s="321" t="s">
        <v>111</v>
      </c>
      <c r="H11" s="321"/>
      <c r="I11" s="326">
        <v>223178425.44</v>
      </c>
      <c r="J11" s="326"/>
      <c r="K11" s="326">
        <f>I11*VLOOKUP($G11,$P$11:$Q$13,2,FALSE)</f>
        <v>98192923.564596429</v>
      </c>
      <c r="L11" s="321"/>
      <c r="M11" s="327" t="s">
        <v>497</v>
      </c>
      <c r="N11" s="322"/>
      <c r="O11" s="328"/>
      <c r="P11" s="328" t="s">
        <v>116</v>
      </c>
      <c r="Q11" s="329">
        <v>1</v>
      </c>
    </row>
    <row r="12" spans="1:19">
      <c r="A12" s="319">
        <v>2</v>
      </c>
      <c r="B12" s="320"/>
      <c r="C12" s="320" t="s">
        <v>110</v>
      </c>
      <c r="D12" s="321"/>
      <c r="E12" s="321">
        <v>447</v>
      </c>
      <c r="F12" s="321"/>
      <c r="G12" s="321" t="s">
        <v>113</v>
      </c>
      <c r="H12" s="321"/>
      <c r="I12" s="324">
        <v>0</v>
      </c>
      <c r="J12" s="324"/>
      <c r="K12" s="324">
        <f t="shared" ref="K12:K20" si="0">I12*VLOOKUP($G12,$P$11:$Q$13,2,FALSE)</f>
        <v>0</v>
      </c>
      <c r="L12" s="321"/>
      <c r="M12" s="327" t="s">
        <v>497</v>
      </c>
      <c r="N12" s="322"/>
      <c r="O12" s="328"/>
      <c r="P12" s="328" t="s">
        <v>111</v>
      </c>
      <c r="Q12" s="329">
        <v>0.43997498132271273</v>
      </c>
    </row>
    <row r="13" spans="1:19">
      <c r="A13" s="319">
        <v>3</v>
      </c>
      <c r="B13" s="320"/>
      <c r="C13" s="320" t="s">
        <v>115</v>
      </c>
      <c r="D13" s="321"/>
      <c r="E13" s="321">
        <v>501</v>
      </c>
      <c r="F13" s="321"/>
      <c r="G13" s="321" t="s">
        <v>116</v>
      </c>
      <c r="H13" s="321"/>
      <c r="I13" s="324">
        <v>0</v>
      </c>
      <c r="J13" s="324"/>
      <c r="K13" s="324">
        <v>0</v>
      </c>
      <c r="L13" s="321"/>
      <c r="M13" s="327" t="s">
        <v>497</v>
      </c>
      <c r="N13" s="322"/>
      <c r="O13" s="328"/>
      <c r="P13" s="328" t="s">
        <v>113</v>
      </c>
      <c r="Q13" s="329">
        <v>0.43356209499257142</v>
      </c>
    </row>
    <row r="14" spans="1:19">
      <c r="A14" s="319">
        <v>4</v>
      </c>
      <c r="B14" s="320"/>
      <c r="C14" s="320" t="s">
        <v>115</v>
      </c>
      <c r="D14" s="321"/>
      <c r="E14" s="321">
        <v>501</v>
      </c>
      <c r="F14" s="321"/>
      <c r="G14" s="321" t="s">
        <v>113</v>
      </c>
      <c r="H14" s="321"/>
      <c r="I14" s="324">
        <v>607284852.03281236</v>
      </c>
      <c r="J14" s="324"/>
      <c r="K14" s="324">
        <f t="shared" si="0"/>
        <v>263295692.70459986</v>
      </c>
      <c r="L14" s="321"/>
      <c r="M14" s="327" t="s">
        <v>497</v>
      </c>
      <c r="N14" s="322"/>
      <c r="O14" s="328"/>
      <c r="P14" s="328"/>
    </row>
    <row r="15" spans="1:19">
      <c r="A15" s="319">
        <v>5</v>
      </c>
      <c r="B15" s="320"/>
      <c r="C15" s="320" t="s">
        <v>115</v>
      </c>
      <c r="D15" s="321"/>
      <c r="E15" s="321">
        <v>503</v>
      </c>
      <c r="F15" s="321"/>
      <c r="G15" s="321" t="s">
        <v>113</v>
      </c>
      <c r="H15" s="321"/>
      <c r="I15" s="324">
        <v>4497519.96</v>
      </c>
      <c r="J15" s="324"/>
      <c r="K15" s="324">
        <f t="shared" si="0"/>
        <v>1949954.176128506</v>
      </c>
      <c r="L15" s="321"/>
      <c r="M15" s="327" t="s">
        <v>497</v>
      </c>
      <c r="N15" s="322"/>
      <c r="O15" s="328"/>
      <c r="P15" s="328"/>
    </row>
    <row r="16" spans="1:19" ht="15.75">
      <c r="A16" s="319">
        <v>6</v>
      </c>
      <c r="B16" s="320"/>
      <c r="C16" s="320" t="s">
        <v>115</v>
      </c>
      <c r="D16" s="321"/>
      <c r="E16" s="321">
        <v>547</v>
      </c>
      <c r="F16" s="321"/>
      <c r="G16" s="321" t="s">
        <v>113</v>
      </c>
      <c r="H16" s="321"/>
      <c r="I16" s="324">
        <v>294479761.08431941</v>
      </c>
      <c r="J16" s="324"/>
      <c r="K16" s="324">
        <f t="shared" si="0"/>
        <v>127675262.14862943</v>
      </c>
      <c r="L16" s="321"/>
      <c r="M16" s="327" t="s">
        <v>497</v>
      </c>
      <c r="N16" s="322"/>
      <c r="O16"/>
      <c r="P16"/>
      <c r="Q16"/>
      <c r="R16"/>
      <c r="S16"/>
    </row>
    <row r="17" spans="1:19" ht="15.75">
      <c r="A17" s="319">
        <v>7</v>
      </c>
      <c r="B17" s="320"/>
      <c r="C17" s="320" t="s">
        <v>117</v>
      </c>
      <c r="D17" s="321"/>
      <c r="E17" s="321">
        <v>555</v>
      </c>
      <c r="F17" s="321"/>
      <c r="G17" s="321" t="s">
        <v>113</v>
      </c>
      <c r="H17" s="321"/>
      <c r="I17" s="324">
        <v>50516279.570940509</v>
      </c>
      <c r="J17" s="324"/>
      <c r="K17" s="324">
        <f t="shared" si="0"/>
        <v>21901944.002007402</v>
      </c>
      <c r="L17" s="321"/>
      <c r="M17" s="327" t="s">
        <v>497</v>
      </c>
      <c r="N17" s="322"/>
      <c r="O17"/>
      <c r="P17"/>
      <c r="Q17"/>
      <c r="R17"/>
      <c r="S17"/>
    </row>
    <row r="18" spans="1:19" ht="15.75">
      <c r="A18" s="319">
        <v>8</v>
      </c>
      <c r="B18" s="320"/>
      <c r="C18" s="320" t="s">
        <v>117</v>
      </c>
      <c r="D18" s="321"/>
      <c r="E18" s="321">
        <v>555</v>
      </c>
      <c r="F18" s="321"/>
      <c r="G18" s="321" t="s">
        <v>111</v>
      </c>
      <c r="H18" s="321"/>
      <c r="I18" s="324">
        <v>550174500.52905941</v>
      </c>
      <c r="J18" s="324"/>
      <c r="K18" s="324">
        <f t="shared" si="0"/>
        <v>242063015.59450573</v>
      </c>
      <c r="L18" s="321"/>
      <c r="M18" s="327" t="s">
        <v>497</v>
      </c>
      <c r="N18" s="322"/>
      <c r="O18"/>
      <c r="P18"/>
      <c r="Q18"/>
      <c r="R18"/>
      <c r="S18"/>
    </row>
    <row r="19" spans="1:19" ht="15.75">
      <c r="A19" s="319">
        <v>9</v>
      </c>
      <c r="B19" s="320"/>
      <c r="C19" s="320" t="s">
        <v>118</v>
      </c>
      <c r="D19" s="321"/>
      <c r="E19" s="321">
        <v>565</v>
      </c>
      <c r="F19" s="321"/>
      <c r="G19" s="321" t="s">
        <v>111</v>
      </c>
      <c r="H19" s="321"/>
      <c r="I19" s="324">
        <v>40073216.879999965</v>
      </c>
      <c r="J19" s="324"/>
      <c r="K19" s="324">
        <f t="shared" si="0"/>
        <v>17631212.848319001</v>
      </c>
      <c r="L19" s="321"/>
      <c r="M19" s="327" t="s">
        <v>497</v>
      </c>
      <c r="N19" s="322"/>
      <c r="O19"/>
      <c r="P19"/>
      <c r="Q19"/>
      <c r="R19"/>
      <c r="S19"/>
    </row>
    <row r="20" spans="1:19" ht="15.75">
      <c r="A20" s="319">
        <v>10</v>
      </c>
      <c r="B20" s="320"/>
      <c r="C20" s="320" t="s">
        <v>118</v>
      </c>
      <c r="D20" s="321"/>
      <c r="E20" s="321">
        <v>565</v>
      </c>
      <c r="F20" s="321"/>
      <c r="G20" s="321" t="s">
        <v>113</v>
      </c>
      <c r="H20" s="321"/>
      <c r="I20" s="324">
        <v>106677607.15000001</v>
      </c>
      <c r="J20" s="324"/>
      <c r="K20" s="324">
        <f t="shared" si="0"/>
        <v>46251366.844748519</v>
      </c>
      <c r="L20" s="321"/>
      <c r="M20" s="327" t="s">
        <v>497</v>
      </c>
      <c r="N20" s="330"/>
      <c r="O20"/>
      <c r="P20"/>
      <c r="Q20"/>
      <c r="R20"/>
      <c r="S20"/>
    </row>
    <row r="21" spans="1:19" ht="15.75">
      <c r="A21" s="319">
        <v>11</v>
      </c>
      <c r="B21" s="331"/>
      <c r="C21" s="331" t="s">
        <v>498</v>
      </c>
      <c r="D21" s="332"/>
      <c r="E21" s="332"/>
      <c r="F21" s="332"/>
      <c r="G21" s="332"/>
      <c r="H21" s="332"/>
      <c r="I21" s="333">
        <f>SUM(I13:I20)-SUM(I11:I12)</f>
        <v>1430525311.7671316</v>
      </c>
      <c r="J21" s="334"/>
      <c r="K21" s="333">
        <f>SUM(K13:K20)-SUM(K11:K12)</f>
        <v>622575524.75434208</v>
      </c>
      <c r="L21" s="321"/>
      <c r="M21" s="321"/>
      <c r="N21" s="330"/>
      <c r="O21"/>
      <c r="P21"/>
      <c r="Q21"/>
      <c r="R21"/>
      <c r="S21"/>
    </row>
    <row r="22" spans="1:19" ht="15.75">
      <c r="A22" s="319">
        <v>12</v>
      </c>
      <c r="B22" s="320"/>
      <c r="C22" s="320"/>
      <c r="D22" s="321"/>
      <c r="E22" s="321"/>
      <c r="F22" s="321"/>
      <c r="G22" s="321"/>
      <c r="H22" s="321"/>
      <c r="I22" s="324"/>
      <c r="J22" s="324"/>
      <c r="K22" s="324"/>
      <c r="L22" s="321"/>
      <c r="M22" s="321"/>
      <c r="N22" s="330"/>
      <c r="O22"/>
      <c r="P22"/>
      <c r="Q22"/>
      <c r="R22"/>
      <c r="S22"/>
    </row>
    <row r="23" spans="1:19" ht="15.75">
      <c r="A23" s="319">
        <v>13</v>
      </c>
      <c r="B23" s="316" t="s">
        <v>499</v>
      </c>
      <c r="D23" s="321"/>
      <c r="E23" s="321">
        <v>555</v>
      </c>
      <c r="F23" s="321"/>
      <c r="G23" s="321" t="s">
        <v>116</v>
      </c>
      <c r="H23" s="321"/>
      <c r="I23" s="335">
        <v>1570674.4668279244</v>
      </c>
      <c r="J23" s="335"/>
      <c r="K23" s="335">
        <v>1570674.4668279244</v>
      </c>
      <c r="L23" s="321"/>
      <c r="M23" s="327" t="s">
        <v>497</v>
      </c>
      <c r="N23" s="330"/>
      <c r="O23"/>
      <c r="P23"/>
      <c r="Q23"/>
      <c r="R23"/>
      <c r="S23"/>
    </row>
    <row r="24" spans="1:19" ht="15.75">
      <c r="A24" s="319">
        <v>14</v>
      </c>
      <c r="C24" s="331" t="s">
        <v>498</v>
      </c>
      <c r="D24" s="321"/>
      <c r="E24" s="321"/>
      <c r="F24" s="321"/>
      <c r="G24" s="321"/>
      <c r="H24" s="321"/>
      <c r="I24" s="333">
        <f>SUM(I21:I23)</f>
        <v>1432095986.2339594</v>
      </c>
      <c r="J24" s="334"/>
      <c r="K24" s="333">
        <f>SUM(K21:K23)</f>
        <v>624146199.22116995</v>
      </c>
      <c r="L24" s="321"/>
      <c r="M24" s="327" t="s">
        <v>500</v>
      </c>
      <c r="N24" s="330"/>
      <c r="O24"/>
      <c r="P24"/>
      <c r="Q24"/>
      <c r="R24"/>
      <c r="S24"/>
    </row>
    <row r="25" spans="1:19" ht="15.75">
      <c r="A25" s="319">
        <v>15</v>
      </c>
      <c r="B25" s="320"/>
      <c r="C25" s="320"/>
      <c r="D25" s="321"/>
      <c r="E25" s="321"/>
      <c r="F25" s="321"/>
      <c r="G25" s="321"/>
      <c r="H25" s="321"/>
      <c r="I25" s="324"/>
      <c r="J25" s="324"/>
      <c r="K25" s="324"/>
      <c r="L25" s="321"/>
      <c r="M25" s="321"/>
      <c r="N25" s="330"/>
      <c r="O25"/>
      <c r="P25"/>
      <c r="Q25"/>
      <c r="R25"/>
      <c r="S25"/>
    </row>
    <row r="26" spans="1:19" ht="15.75">
      <c r="A26" s="319">
        <v>16</v>
      </c>
      <c r="B26" s="320" t="s">
        <v>122</v>
      </c>
      <c r="C26" s="320"/>
      <c r="D26" s="321"/>
      <c r="E26" s="321"/>
      <c r="F26" s="321"/>
      <c r="G26" s="321"/>
      <c r="H26" s="321"/>
      <c r="I26" s="324"/>
      <c r="J26" s="324"/>
      <c r="K26" s="324"/>
      <c r="L26" s="321"/>
      <c r="M26" s="321"/>
      <c r="N26" s="330"/>
      <c r="O26"/>
      <c r="P26"/>
      <c r="Q26"/>
      <c r="R26"/>
      <c r="S26"/>
    </row>
    <row r="27" spans="1:19" ht="26.25">
      <c r="A27" s="319">
        <v>17</v>
      </c>
      <c r="B27" s="320"/>
      <c r="C27" s="320" t="s">
        <v>123</v>
      </c>
      <c r="D27" s="321"/>
      <c r="E27" s="321">
        <v>456.1</v>
      </c>
      <c r="F27" s="321"/>
      <c r="G27" s="321" t="s">
        <v>111</v>
      </c>
      <c r="H27" s="321"/>
      <c r="I27" s="326">
        <v>100733353.67633998</v>
      </c>
      <c r="J27" s="326"/>
      <c r="K27" s="326">
        <f t="shared" ref="K27:K28" si="1">I27*VLOOKUP($G27,$P$11:$Q$13,2,FALSE)</f>
        <v>44320155.402321897</v>
      </c>
      <c r="L27" s="321"/>
      <c r="M27" s="336" t="s">
        <v>501</v>
      </c>
      <c r="N27" s="330"/>
      <c r="O27"/>
      <c r="P27"/>
      <c r="Q27"/>
      <c r="R27"/>
      <c r="S27"/>
    </row>
    <row r="28" spans="1:19" ht="15.75">
      <c r="A28" s="319">
        <v>18</v>
      </c>
      <c r="B28" s="320"/>
      <c r="C28" s="320" t="s">
        <v>123</v>
      </c>
      <c r="D28" s="321"/>
      <c r="E28" s="321">
        <v>456.1</v>
      </c>
      <c r="F28" s="321"/>
      <c r="G28" s="321" t="s">
        <v>113</v>
      </c>
      <c r="H28" s="321"/>
      <c r="I28" s="324">
        <v>14558486.440000001</v>
      </c>
      <c r="J28" s="324"/>
      <c r="K28" s="324">
        <f t="shared" si="1"/>
        <v>6312007.8808473432</v>
      </c>
      <c r="L28" s="321"/>
      <c r="M28" s="327" t="s">
        <v>502</v>
      </c>
      <c r="N28" s="330"/>
      <c r="O28"/>
      <c r="P28"/>
      <c r="Q28"/>
      <c r="R28"/>
      <c r="S28"/>
    </row>
    <row r="29" spans="1:19" ht="15.75">
      <c r="A29" s="319">
        <v>19</v>
      </c>
      <c r="B29" s="331"/>
      <c r="C29" s="331" t="s">
        <v>503</v>
      </c>
      <c r="D29" s="332"/>
      <c r="E29" s="332"/>
      <c r="F29" s="332"/>
      <c r="G29" s="332"/>
      <c r="H29" s="332"/>
      <c r="I29" s="333">
        <f>SUM(I27:I28)</f>
        <v>115291840.11633998</v>
      </c>
      <c r="J29" s="334"/>
      <c r="K29" s="333">
        <f>SUM(K27:K28)</f>
        <v>50632163.28316924</v>
      </c>
      <c r="L29" s="321"/>
      <c r="M29" s="321"/>
      <c r="N29" s="330"/>
      <c r="O29"/>
      <c r="P29"/>
      <c r="Q29"/>
      <c r="R29"/>
      <c r="S29"/>
    </row>
    <row r="30" spans="1:19">
      <c r="A30" s="319">
        <v>20</v>
      </c>
      <c r="D30" s="321"/>
      <c r="E30" s="321"/>
      <c r="F30" s="321"/>
      <c r="G30" s="321"/>
      <c r="H30" s="321"/>
      <c r="I30" s="324"/>
      <c r="J30" s="324"/>
      <c r="K30" s="324"/>
      <c r="L30" s="321"/>
      <c r="M30" s="321"/>
      <c r="N30" s="330"/>
      <c r="O30" s="337"/>
      <c r="P30" s="337"/>
      <c r="Q30" s="338"/>
    </row>
    <row r="31" spans="1:19">
      <c r="A31" s="319">
        <v>21</v>
      </c>
      <c r="B31" s="316" t="s">
        <v>125</v>
      </c>
      <c r="D31" s="321"/>
      <c r="E31" s="321"/>
      <c r="F31" s="321"/>
      <c r="G31" s="321"/>
      <c r="H31" s="321"/>
      <c r="J31" s="324"/>
      <c r="K31" s="324"/>
      <c r="L31" s="321"/>
      <c r="M31" s="321"/>
      <c r="N31" s="330"/>
      <c r="O31" s="337"/>
      <c r="P31" s="339"/>
      <c r="Q31" s="338"/>
    </row>
    <row r="32" spans="1:19">
      <c r="A32" s="319">
        <v>22</v>
      </c>
      <c r="C32" s="316" t="s">
        <v>125</v>
      </c>
      <c r="D32" s="321"/>
      <c r="E32" s="321">
        <v>40910</v>
      </c>
      <c r="F32" s="321"/>
      <c r="G32" s="321" t="s">
        <v>111</v>
      </c>
      <c r="H32" s="321"/>
      <c r="I32" s="326">
        <v>-182078210</v>
      </c>
      <c r="J32" s="326"/>
      <c r="K32" s="326">
        <f t="shared" ref="K32" si="2">I32*VLOOKUP($G32,$P$11:$Q$13,2,FALSE)</f>
        <v>-80109857.044022962</v>
      </c>
      <c r="L32" s="321"/>
      <c r="M32" s="327" t="s">
        <v>504</v>
      </c>
      <c r="N32" s="330"/>
      <c r="O32" s="337"/>
      <c r="P32" s="337"/>
      <c r="Q32" s="340"/>
    </row>
    <row r="33" spans="1:17">
      <c r="A33" s="319">
        <v>23</v>
      </c>
      <c r="C33" s="316" t="s">
        <v>126</v>
      </c>
      <c r="D33" s="321"/>
      <c r="E33" s="321"/>
      <c r="F33" s="321"/>
      <c r="G33" s="321"/>
      <c r="H33" s="321"/>
      <c r="I33" s="324">
        <f>I34-I32</f>
        <v>-59361918.677396864</v>
      </c>
      <c r="J33" s="324"/>
      <c r="K33" s="324">
        <f>K34-K32</f>
        <v>-26117759.061368078</v>
      </c>
      <c r="L33" s="321"/>
      <c r="M33" s="327"/>
      <c r="N33" s="330"/>
      <c r="O33" s="337"/>
      <c r="P33" s="337"/>
      <c r="Q33" s="341"/>
    </row>
    <row r="34" spans="1:17">
      <c r="A34" s="319">
        <v>24</v>
      </c>
      <c r="B34" s="331"/>
      <c r="C34" s="331" t="s">
        <v>505</v>
      </c>
      <c r="D34" s="332"/>
      <c r="E34" s="332"/>
      <c r="F34" s="332"/>
      <c r="G34" s="332"/>
      <c r="H34" s="332"/>
      <c r="I34" s="333">
        <f>I32*$I$40</f>
        <v>-241440128.67739686</v>
      </c>
      <c r="J34" s="334"/>
      <c r="K34" s="333">
        <f>K32*$I$40</f>
        <v>-106227616.10539104</v>
      </c>
      <c r="L34" s="321"/>
      <c r="M34" s="321"/>
      <c r="N34" s="330"/>
      <c r="O34" s="337"/>
      <c r="P34" s="337"/>
      <c r="Q34" s="341"/>
    </row>
    <row r="35" spans="1:17">
      <c r="A35" s="319">
        <v>25</v>
      </c>
      <c r="B35" s="342"/>
      <c r="C35" s="342"/>
      <c r="D35" s="332"/>
      <c r="E35" s="332"/>
      <c r="F35" s="332"/>
      <c r="G35" s="332"/>
      <c r="H35" s="332"/>
      <c r="I35" s="334"/>
      <c r="J35" s="334"/>
      <c r="K35" s="334"/>
      <c r="L35" s="321"/>
      <c r="M35" s="321"/>
      <c r="N35" s="330"/>
      <c r="O35" s="337"/>
      <c r="P35" s="337"/>
      <c r="Q35" s="341"/>
    </row>
    <row r="36" spans="1:17" ht="13.5" thickBot="1">
      <c r="A36" s="319">
        <v>26</v>
      </c>
      <c r="B36" s="331"/>
      <c r="C36" s="331" t="s">
        <v>506</v>
      </c>
      <c r="D36" s="321"/>
      <c r="E36" s="321"/>
      <c r="F36" s="321"/>
      <c r="G36" s="321"/>
      <c r="H36" s="321"/>
      <c r="I36" s="343">
        <f>I21-I29+I23+I34</f>
        <v>1075364017.4402227</v>
      </c>
      <c r="J36" s="334"/>
      <c r="K36" s="343">
        <f>K21-K29+K23+K34</f>
        <v>467286419.83260965</v>
      </c>
      <c r="L36" s="321"/>
      <c r="M36" s="321"/>
      <c r="N36" s="330"/>
      <c r="P36" s="339"/>
      <c r="Q36" s="338"/>
    </row>
    <row r="37" spans="1:17">
      <c r="A37" s="319">
        <v>27</v>
      </c>
      <c r="B37" s="319"/>
      <c r="C37" s="319"/>
      <c r="D37" s="321"/>
      <c r="E37" s="321"/>
      <c r="F37" s="321"/>
      <c r="G37" s="321"/>
      <c r="H37" s="321"/>
      <c r="I37" s="321"/>
      <c r="J37" s="321"/>
      <c r="K37" s="321"/>
      <c r="L37" s="321"/>
      <c r="M37" s="321"/>
      <c r="N37" s="344"/>
      <c r="O37" s="339"/>
      <c r="P37" s="339"/>
      <c r="Q37" s="338"/>
    </row>
    <row r="38" spans="1:17">
      <c r="A38" s="319">
        <v>28</v>
      </c>
      <c r="B38" s="319"/>
      <c r="C38" s="319"/>
      <c r="D38" s="321"/>
      <c r="E38" s="321"/>
      <c r="F38" s="321"/>
      <c r="G38" s="321"/>
      <c r="H38" s="321"/>
      <c r="I38" s="321"/>
      <c r="J38" s="321"/>
      <c r="K38" s="321"/>
      <c r="L38" s="321"/>
      <c r="M38" s="321"/>
      <c r="N38" s="344"/>
      <c r="O38" s="339"/>
      <c r="P38" s="339"/>
      <c r="Q38" s="338"/>
    </row>
    <row r="39" spans="1:17">
      <c r="A39" s="319">
        <v>29</v>
      </c>
      <c r="B39" s="345"/>
      <c r="C39" s="345" t="s">
        <v>507</v>
      </c>
      <c r="D39" s="321"/>
      <c r="F39" s="321"/>
      <c r="G39" s="321"/>
      <c r="H39" s="321"/>
      <c r="I39" s="346">
        <v>0.245866</v>
      </c>
      <c r="J39" s="321"/>
      <c r="K39" s="321"/>
      <c r="L39" s="321"/>
      <c r="M39" s="327" t="s">
        <v>508</v>
      </c>
      <c r="N39" s="344"/>
      <c r="O39" s="339"/>
      <c r="P39" s="339"/>
      <c r="Q39" s="338"/>
    </row>
    <row r="40" spans="1:17">
      <c r="A40" s="319">
        <v>30</v>
      </c>
      <c r="B40" s="345"/>
      <c r="C40" s="345" t="s">
        <v>509</v>
      </c>
      <c r="D40" s="321"/>
      <c r="E40" s="321"/>
      <c r="F40" s="321"/>
      <c r="G40" s="321"/>
      <c r="H40" s="321"/>
      <c r="I40" s="347">
        <f>1/(1-I39)</f>
        <v>1.3260242874608492</v>
      </c>
      <c r="J40" s="321"/>
      <c r="K40" s="321"/>
      <c r="L40" s="321"/>
      <c r="M40" s="321"/>
      <c r="N40" s="344"/>
      <c r="O40" s="339"/>
      <c r="P40" s="339"/>
      <c r="Q40" s="338"/>
    </row>
    <row r="41" spans="1:17">
      <c r="A41" s="319"/>
      <c r="B41" s="319"/>
      <c r="C41" s="319"/>
      <c r="D41" s="321"/>
      <c r="E41" s="321"/>
      <c r="F41" s="321"/>
      <c r="G41" s="321"/>
      <c r="H41" s="321"/>
      <c r="I41" s="321"/>
      <c r="J41" s="321"/>
      <c r="K41" s="321"/>
      <c r="L41" s="321"/>
      <c r="M41" s="321"/>
      <c r="N41" s="344"/>
      <c r="O41" s="339"/>
      <c r="P41" s="339"/>
      <c r="Q41" s="338"/>
    </row>
    <row r="42" spans="1:17">
      <c r="A42" s="319"/>
      <c r="B42" s="319"/>
      <c r="C42" s="319"/>
      <c r="D42" s="321"/>
      <c r="E42" s="321"/>
      <c r="F42" s="321"/>
      <c r="G42" s="321"/>
      <c r="H42" s="321"/>
      <c r="I42" s="321"/>
      <c r="J42" s="321"/>
      <c r="K42" s="321"/>
      <c r="L42" s="321"/>
      <c r="M42" s="321"/>
      <c r="N42" s="344"/>
      <c r="O42" s="339"/>
      <c r="P42" s="339"/>
      <c r="Q42" s="338"/>
    </row>
    <row r="43" spans="1:17" hidden="1">
      <c r="A43" s="345"/>
      <c r="B43" s="345"/>
      <c r="C43" s="345" t="s">
        <v>507</v>
      </c>
      <c r="D43" s="321"/>
      <c r="F43" s="321"/>
      <c r="G43" s="321"/>
      <c r="H43" s="321"/>
      <c r="I43" s="348">
        <v>0.245866</v>
      </c>
      <c r="J43" s="321"/>
      <c r="K43" s="321"/>
      <c r="L43" s="321"/>
      <c r="M43" s="327" t="s">
        <v>510</v>
      </c>
      <c r="N43" s="344"/>
      <c r="O43" s="339"/>
      <c r="P43" s="339"/>
      <c r="Q43" s="338"/>
    </row>
    <row r="44" spans="1:17" hidden="1">
      <c r="A44" s="345"/>
      <c r="B44" s="345"/>
      <c r="C44" s="345" t="s">
        <v>511</v>
      </c>
      <c r="D44" s="321"/>
      <c r="E44" s="321"/>
      <c r="F44" s="321"/>
      <c r="G44" s="321"/>
      <c r="H44" s="321"/>
      <c r="I44" s="347">
        <f>1/(1-I43)</f>
        <v>1.3260242874608492</v>
      </c>
      <c r="J44" s="321"/>
      <c r="K44" s="321"/>
      <c r="L44" s="321"/>
      <c r="M44" s="327"/>
      <c r="N44" s="344"/>
      <c r="O44" s="339"/>
      <c r="P44" s="339"/>
      <c r="Q44" s="338"/>
    </row>
    <row r="45" spans="1:17" ht="13.5" thickBot="1">
      <c r="A45" s="349"/>
      <c r="B45" s="349"/>
      <c r="C45" s="349"/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50"/>
      <c r="P45" s="339"/>
      <c r="Q45" s="338"/>
    </row>
    <row r="46" spans="1:17">
      <c r="A46" s="319"/>
      <c r="B46" s="319"/>
      <c r="C46" s="319"/>
      <c r="D46" s="321"/>
      <c r="E46" s="321"/>
      <c r="F46" s="321"/>
      <c r="G46" s="321"/>
      <c r="H46" s="321"/>
      <c r="I46" s="321"/>
      <c r="J46" s="321"/>
      <c r="K46" s="321"/>
      <c r="L46" s="321"/>
      <c r="M46" s="321"/>
      <c r="N46" s="351"/>
      <c r="P46" s="339"/>
      <c r="Q46" s="338"/>
    </row>
    <row r="47" spans="1:17">
      <c r="A47" s="319"/>
      <c r="B47" s="319"/>
      <c r="C47" s="319"/>
      <c r="D47" s="321"/>
      <c r="E47" s="321"/>
      <c r="F47" s="321"/>
      <c r="G47" s="321"/>
      <c r="H47" s="321"/>
      <c r="I47" s="321"/>
      <c r="J47" s="321"/>
      <c r="K47" s="321"/>
      <c r="L47" s="321"/>
      <c r="M47" s="321"/>
      <c r="N47" s="351"/>
      <c r="O47" s="339"/>
      <c r="P47" s="339"/>
      <c r="Q47" s="352"/>
    </row>
    <row r="48" spans="1:17">
      <c r="A48" s="319"/>
      <c r="B48" s="319"/>
      <c r="C48" s="319"/>
      <c r="D48" s="321"/>
      <c r="E48" s="321"/>
      <c r="F48" s="321"/>
      <c r="G48" s="321"/>
      <c r="H48" s="321"/>
      <c r="I48" s="353"/>
      <c r="J48" s="353"/>
      <c r="K48" s="353"/>
      <c r="L48" s="321"/>
      <c r="M48" s="321"/>
      <c r="N48" s="351"/>
      <c r="P48" s="337"/>
      <c r="Q48" s="338"/>
    </row>
    <row r="49" spans="1:17">
      <c r="A49" s="319"/>
      <c r="B49" s="319"/>
      <c r="C49" s="319"/>
      <c r="D49" s="321"/>
      <c r="E49" s="321"/>
      <c r="F49" s="321"/>
      <c r="G49" s="321"/>
      <c r="H49" s="321"/>
      <c r="I49" s="321"/>
      <c r="J49" s="321"/>
      <c r="K49" s="321"/>
      <c r="L49" s="321"/>
      <c r="M49" s="321"/>
      <c r="N49" s="351"/>
    </row>
    <row r="50" spans="1:17">
      <c r="A50" s="319"/>
      <c r="B50" s="319"/>
      <c r="C50" s="319"/>
      <c r="D50" s="321"/>
      <c r="E50" s="321"/>
      <c r="F50" s="321"/>
      <c r="G50" s="321"/>
      <c r="H50" s="321"/>
      <c r="I50" s="321"/>
      <c r="J50" s="321"/>
      <c r="K50" s="321"/>
      <c r="L50" s="321"/>
      <c r="M50" s="321"/>
      <c r="N50" s="354"/>
    </row>
    <row r="51" spans="1:17">
      <c r="A51" s="319"/>
      <c r="B51" s="319"/>
      <c r="C51" s="319"/>
      <c r="D51" s="321"/>
      <c r="E51" s="321"/>
      <c r="F51" s="321"/>
      <c r="G51" s="321"/>
      <c r="H51" s="321"/>
      <c r="I51" s="321"/>
      <c r="J51" s="321"/>
      <c r="K51" s="321"/>
      <c r="L51" s="321"/>
      <c r="M51" s="321"/>
      <c r="N51" s="354"/>
      <c r="O51" s="337"/>
      <c r="P51" s="337"/>
      <c r="Q51" s="338"/>
    </row>
    <row r="52" spans="1:17">
      <c r="A52" s="319"/>
      <c r="B52" s="319"/>
      <c r="C52" s="319"/>
      <c r="D52" s="321"/>
      <c r="E52" s="321"/>
      <c r="F52" s="321"/>
      <c r="G52" s="321"/>
      <c r="H52" s="321"/>
      <c r="I52" s="321"/>
      <c r="J52" s="321"/>
      <c r="K52" s="321"/>
      <c r="L52" s="321"/>
      <c r="M52" s="321"/>
      <c r="N52" s="354"/>
      <c r="O52" s="339"/>
      <c r="P52" s="339"/>
      <c r="Q52" s="352"/>
    </row>
    <row r="53" spans="1:17">
      <c r="A53" s="319"/>
      <c r="B53" s="319"/>
      <c r="C53" s="319"/>
      <c r="D53" s="321"/>
      <c r="E53" s="321"/>
      <c r="F53" s="321"/>
      <c r="G53" s="321"/>
      <c r="H53" s="321"/>
      <c r="I53" s="321"/>
      <c r="J53" s="321"/>
      <c r="K53" s="321"/>
      <c r="L53" s="321"/>
      <c r="M53" s="321"/>
      <c r="N53" s="354"/>
    </row>
    <row r="54" spans="1:17">
      <c r="A54" s="319"/>
      <c r="B54" s="319"/>
      <c r="C54" s="319"/>
      <c r="D54" s="321"/>
      <c r="E54" s="321"/>
      <c r="F54" s="321"/>
      <c r="G54" s="321"/>
      <c r="H54" s="321"/>
      <c r="I54" s="321"/>
      <c r="J54" s="321"/>
      <c r="K54" s="321"/>
      <c r="L54" s="321"/>
      <c r="M54" s="321"/>
      <c r="N54" s="354"/>
    </row>
    <row r="55" spans="1:17">
      <c r="A55" s="319"/>
      <c r="B55" s="319"/>
      <c r="C55" s="319"/>
      <c r="D55" s="321"/>
      <c r="E55" s="321"/>
      <c r="F55" s="321"/>
      <c r="G55" s="321"/>
      <c r="H55" s="321"/>
      <c r="I55" s="321"/>
      <c r="J55" s="321"/>
      <c r="K55" s="321"/>
      <c r="L55" s="321"/>
      <c r="M55" s="321"/>
      <c r="N55" s="354"/>
    </row>
    <row r="56" spans="1:17">
      <c r="A56" s="319"/>
      <c r="B56" s="319"/>
      <c r="C56" s="319"/>
      <c r="D56" s="321"/>
      <c r="E56" s="321"/>
      <c r="F56" s="321"/>
      <c r="G56" s="321"/>
      <c r="H56" s="321"/>
      <c r="I56" s="321"/>
      <c r="J56" s="321"/>
      <c r="K56" s="321"/>
      <c r="L56" s="321"/>
      <c r="M56" s="321"/>
      <c r="N56" s="354"/>
    </row>
    <row r="57" spans="1:17">
      <c r="A57" s="319"/>
      <c r="B57" s="319"/>
      <c r="C57" s="319"/>
      <c r="D57" s="321"/>
      <c r="E57" s="321"/>
      <c r="F57" s="321"/>
      <c r="G57" s="321"/>
      <c r="H57" s="321"/>
      <c r="I57" s="321"/>
      <c r="J57" s="321"/>
      <c r="K57" s="321"/>
      <c r="L57" s="321"/>
      <c r="M57" s="321"/>
      <c r="N57" s="354"/>
    </row>
    <row r="58" spans="1:17">
      <c r="A58" s="319"/>
      <c r="B58" s="319"/>
      <c r="C58" s="319"/>
      <c r="D58" s="321"/>
      <c r="E58" s="321"/>
      <c r="F58" s="321"/>
      <c r="G58" s="321"/>
      <c r="H58" s="321"/>
      <c r="I58" s="321"/>
      <c r="J58" s="321"/>
      <c r="K58" s="321"/>
      <c r="L58" s="321"/>
      <c r="M58" s="321"/>
      <c r="N58" s="354"/>
    </row>
    <row r="59" spans="1:17">
      <c r="A59" s="319"/>
      <c r="B59" s="319"/>
      <c r="C59" s="319"/>
      <c r="D59" s="321"/>
      <c r="E59" s="321"/>
      <c r="F59" s="321"/>
      <c r="G59" s="321"/>
      <c r="H59" s="321"/>
      <c r="I59" s="321"/>
      <c r="J59" s="321"/>
      <c r="K59" s="321"/>
      <c r="L59" s="321"/>
      <c r="M59" s="321"/>
      <c r="N59" s="354"/>
    </row>
    <row r="60" spans="1:17">
      <c r="A60" s="319"/>
      <c r="B60" s="319"/>
      <c r="C60" s="319"/>
      <c r="D60" s="321"/>
      <c r="E60" s="321"/>
      <c r="F60" s="321"/>
      <c r="G60" s="321"/>
      <c r="H60" s="321"/>
      <c r="I60" s="321"/>
      <c r="J60" s="321"/>
      <c r="K60" s="321"/>
      <c r="L60" s="321"/>
      <c r="M60" s="321"/>
      <c r="N60" s="354"/>
    </row>
    <row r="61" spans="1:17">
      <c r="A61" s="319"/>
      <c r="B61" s="319"/>
      <c r="C61" s="319"/>
      <c r="D61" s="321"/>
      <c r="E61" s="321"/>
      <c r="F61" s="321"/>
      <c r="G61" s="321"/>
      <c r="H61" s="321"/>
      <c r="I61" s="321"/>
      <c r="J61" s="321"/>
      <c r="K61" s="321"/>
      <c r="L61" s="321"/>
      <c r="M61" s="321"/>
      <c r="N61" s="354"/>
    </row>
    <row r="62" spans="1:17">
      <c r="A62" s="319"/>
      <c r="B62" s="319"/>
      <c r="C62" s="319"/>
      <c r="D62" s="321"/>
      <c r="E62" s="321"/>
      <c r="F62" s="321"/>
      <c r="G62" s="321"/>
      <c r="H62" s="321"/>
      <c r="I62" s="321"/>
      <c r="J62" s="321"/>
      <c r="K62" s="321"/>
      <c r="L62" s="321"/>
      <c r="M62" s="321"/>
      <c r="N62" s="354"/>
    </row>
    <row r="63" spans="1:17">
      <c r="A63" s="319"/>
      <c r="B63" s="319"/>
      <c r="C63" s="319"/>
      <c r="D63" s="321"/>
      <c r="E63" s="321"/>
      <c r="F63" s="321"/>
      <c r="G63" s="321"/>
      <c r="H63" s="321"/>
      <c r="I63" s="321"/>
      <c r="J63" s="321"/>
      <c r="K63" s="321"/>
      <c r="L63" s="321"/>
      <c r="M63" s="321"/>
      <c r="N63" s="354"/>
    </row>
    <row r="64" spans="1:17">
      <c r="A64" s="319"/>
      <c r="B64" s="319"/>
      <c r="C64" s="319"/>
      <c r="D64" s="321"/>
      <c r="E64" s="321"/>
      <c r="F64" s="321"/>
      <c r="G64" s="321"/>
      <c r="H64" s="321"/>
      <c r="I64" s="321"/>
      <c r="J64" s="321"/>
      <c r="K64" s="321"/>
      <c r="L64" s="321"/>
      <c r="M64" s="321"/>
      <c r="N64" s="354"/>
    </row>
    <row r="65" spans="1:14">
      <c r="A65" s="319"/>
      <c r="B65" s="319"/>
      <c r="C65" s="319"/>
      <c r="D65" s="321"/>
      <c r="E65" s="321"/>
      <c r="F65" s="321"/>
      <c r="G65" s="321"/>
      <c r="H65" s="321"/>
      <c r="I65" s="321"/>
      <c r="J65" s="321"/>
      <c r="K65" s="321"/>
      <c r="L65" s="321"/>
      <c r="M65" s="321"/>
      <c r="N65" s="354"/>
    </row>
    <row r="66" spans="1:14">
      <c r="A66" s="319"/>
      <c r="B66" s="319"/>
      <c r="C66" s="319"/>
      <c r="D66" s="321"/>
      <c r="E66" s="321"/>
      <c r="F66" s="321"/>
      <c r="G66" s="321"/>
      <c r="H66" s="321"/>
      <c r="I66" s="321"/>
      <c r="J66" s="321"/>
      <c r="K66" s="321"/>
      <c r="L66" s="321"/>
      <c r="M66" s="321"/>
      <c r="N66" s="354"/>
    </row>
    <row r="67" spans="1:14">
      <c r="A67" s="319"/>
      <c r="B67" s="319"/>
      <c r="C67" s="319"/>
      <c r="D67" s="321"/>
      <c r="E67" s="321"/>
      <c r="F67" s="321"/>
      <c r="G67" s="321"/>
      <c r="H67" s="321"/>
      <c r="I67" s="321"/>
      <c r="J67" s="321"/>
      <c r="K67" s="321"/>
      <c r="L67" s="321"/>
      <c r="M67" s="321"/>
      <c r="N67" s="354"/>
    </row>
    <row r="68" spans="1:14">
      <c r="A68" s="319"/>
      <c r="B68" s="319"/>
      <c r="C68" s="319"/>
      <c r="D68" s="321"/>
      <c r="E68" s="321"/>
      <c r="F68" s="321"/>
      <c r="G68" s="321"/>
      <c r="H68" s="321"/>
      <c r="I68" s="321"/>
      <c r="J68" s="321"/>
      <c r="K68" s="321"/>
      <c r="L68" s="321"/>
      <c r="M68" s="321"/>
      <c r="N68" s="354"/>
    </row>
    <row r="69" spans="1:14">
      <c r="A69" s="319"/>
      <c r="B69" s="319"/>
      <c r="C69" s="319"/>
      <c r="D69" s="321"/>
      <c r="E69" s="321"/>
      <c r="F69" s="321"/>
      <c r="G69" s="321"/>
      <c r="H69" s="321"/>
      <c r="I69" s="321"/>
      <c r="J69" s="321"/>
      <c r="K69" s="321"/>
      <c r="L69" s="321"/>
      <c r="M69" s="321"/>
      <c r="N69" s="354"/>
    </row>
    <row r="70" spans="1:14">
      <c r="A70" s="319"/>
      <c r="B70" s="319"/>
      <c r="C70" s="319"/>
      <c r="D70" s="321"/>
      <c r="E70" s="321"/>
      <c r="F70" s="321"/>
      <c r="G70" s="321"/>
      <c r="H70" s="321"/>
      <c r="I70" s="321"/>
      <c r="J70" s="321"/>
      <c r="K70" s="321"/>
      <c r="L70" s="321"/>
      <c r="M70" s="321"/>
      <c r="N70" s="354"/>
    </row>
    <row r="71" spans="1:14">
      <c r="A71" s="319"/>
      <c r="B71" s="319"/>
      <c r="C71" s="319"/>
      <c r="D71" s="321"/>
      <c r="E71" s="321"/>
      <c r="F71" s="321"/>
      <c r="G71" s="321"/>
      <c r="H71" s="321"/>
      <c r="I71" s="321"/>
      <c r="J71" s="321"/>
      <c r="K71" s="321"/>
      <c r="L71" s="321"/>
      <c r="M71" s="321"/>
      <c r="N71" s="354"/>
    </row>
    <row r="72" spans="1:14">
      <c r="A72" s="319"/>
      <c r="B72" s="319"/>
      <c r="C72" s="319"/>
      <c r="D72" s="321"/>
      <c r="E72" s="321"/>
      <c r="F72" s="321"/>
      <c r="G72" s="321"/>
      <c r="H72" s="321"/>
      <c r="I72" s="321"/>
      <c r="J72" s="321"/>
      <c r="K72" s="321"/>
      <c r="L72" s="321"/>
      <c r="M72" s="321"/>
      <c r="N72" s="354"/>
    </row>
    <row r="73" spans="1:14">
      <c r="A73" s="319"/>
      <c r="B73" s="319"/>
      <c r="C73" s="319"/>
      <c r="D73" s="321"/>
      <c r="E73" s="321"/>
      <c r="F73" s="321"/>
      <c r="G73" s="321"/>
      <c r="H73" s="321"/>
      <c r="I73" s="321"/>
      <c r="J73" s="321"/>
      <c r="K73" s="321"/>
      <c r="L73" s="321"/>
      <c r="M73" s="321"/>
      <c r="N73" s="354"/>
    </row>
    <row r="74" spans="1:14">
      <c r="A74" s="319"/>
      <c r="B74" s="319"/>
      <c r="C74" s="319"/>
      <c r="D74" s="321"/>
      <c r="E74" s="321"/>
      <c r="F74" s="321"/>
      <c r="G74" s="321"/>
      <c r="H74" s="321"/>
      <c r="I74" s="321"/>
      <c r="J74" s="321"/>
      <c r="K74" s="321"/>
      <c r="L74" s="321"/>
      <c r="M74" s="321"/>
      <c r="N74" s="354"/>
    </row>
    <row r="75" spans="1:14">
      <c r="A75" s="319"/>
      <c r="B75" s="319"/>
      <c r="C75" s="319"/>
      <c r="D75" s="321"/>
      <c r="E75" s="321"/>
      <c r="F75" s="321"/>
      <c r="G75" s="321"/>
      <c r="H75" s="321"/>
      <c r="I75" s="321"/>
      <c r="J75" s="321"/>
      <c r="K75" s="321"/>
      <c r="L75" s="321"/>
      <c r="M75" s="321"/>
      <c r="N75" s="354"/>
    </row>
    <row r="76" spans="1:14">
      <c r="A76" s="319"/>
      <c r="B76" s="319"/>
      <c r="C76" s="319"/>
      <c r="D76" s="321"/>
      <c r="E76" s="321"/>
      <c r="F76" s="321"/>
      <c r="G76" s="321"/>
      <c r="H76" s="321"/>
      <c r="I76" s="321"/>
      <c r="J76" s="321"/>
      <c r="K76" s="321"/>
      <c r="L76" s="321"/>
      <c r="M76" s="321"/>
      <c r="N76" s="354"/>
    </row>
    <row r="77" spans="1:14">
      <c r="A77" s="319"/>
      <c r="B77" s="319"/>
      <c r="C77" s="319"/>
      <c r="D77" s="321"/>
      <c r="E77" s="321"/>
      <c r="F77" s="321"/>
      <c r="G77" s="321"/>
      <c r="H77" s="321"/>
      <c r="I77" s="321"/>
      <c r="J77" s="321"/>
      <c r="K77" s="321"/>
      <c r="L77" s="321"/>
      <c r="M77" s="321"/>
      <c r="N77" s="354"/>
    </row>
    <row r="78" spans="1:14">
      <c r="A78" s="319"/>
      <c r="B78" s="319"/>
      <c r="C78" s="319"/>
      <c r="D78" s="321"/>
      <c r="E78" s="321"/>
      <c r="F78" s="321"/>
      <c r="G78" s="321"/>
      <c r="H78" s="321"/>
      <c r="I78" s="321"/>
      <c r="J78" s="321"/>
      <c r="K78" s="321"/>
      <c r="L78" s="321"/>
      <c r="M78" s="321"/>
      <c r="N78" s="354"/>
    </row>
    <row r="79" spans="1:14">
      <c r="A79" s="319"/>
      <c r="B79" s="319"/>
      <c r="C79" s="319"/>
      <c r="D79" s="321"/>
      <c r="E79" s="321"/>
      <c r="F79" s="321"/>
      <c r="G79" s="321"/>
      <c r="H79" s="321"/>
      <c r="I79" s="321"/>
      <c r="J79" s="321"/>
      <c r="K79" s="321"/>
      <c r="L79" s="321"/>
      <c r="M79" s="321"/>
      <c r="N79" s="354"/>
    </row>
    <row r="80" spans="1:14">
      <c r="A80" s="319"/>
      <c r="B80" s="319"/>
      <c r="C80" s="319"/>
      <c r="D80" s="321"/>
      <c r="E80" s="321"/>
      <c r="F80" s="321"/>
      <c r="G80" s="321"/>
      <c r="H80" s="321"/>
      <c r="I80" s="321"/>
      <c r="J80" s="321"/>
      <c r="K80" s="321"/>
      <c r="L80" s="321"/>
      <c r="M80" s="321"/>
      <c r="N80" s="354"/>
    </row>
    <row r="81" spans="1:14">
      <c r="A81" s="319"/>
      <c r="B81" s="319"/>
      <c r="C81" s="319"/>
      <c r="D81" s="321"/>
      <c r="E81" s="321"/>
      <c r="F81" s="321"/>
      <c r="G81" s="321"/>
      <c r="H81" s="321"/>
      <c r="I81" s="321"/>
      <c r="J81" s="321"/>
      <c r="K81" s="321"/>
      <c r="L81" s="321"/>
      <c r="M81" s="321"/>
      <c r="N81" s="354"/>
    </row>
    <row r="82" spans="1:14">
      <c r="A82" s="319"/>
      <c r="B82" s="319"/>
      <c r="C82" s="319"/>
      <c r="D82" s="321"/>
      <c r="E82" s="321"/>
      <c r="F82" s="321"/>
      <c r="G82" s="321"/>
      <c r="H82" s="321"/>
      <c r="I82" s="321"/>
      <c r="J82" s="321"/>
      <c r="K82" s="321"/>
      <c r="L82" s="321"/>
      <c r="M82" s="321"/>
      <c r="N82" s="354"/>
    </row>
    <row r="83" spans="1:14">
      <c r="A83" s="319"/>
      <c r="B83" s="319"/>
      <c r="C83" s="319"/>
      <c r="D83" s="321"/>
      <c r="E83" s="321"/>
      <c r="F83" s="321"/>
      <c r="G83" s="321"/>
      <c r="H83" s="321"/>
      <c r="I83" s="321"/>
      <c r="J83" s="321"/>
      <c r="K83" s="321"/>
      <c r="L83" s="321"/>
      <c r="M83" s="321"/>
      <c r="N83" s="323"/>
    </row>
    <row r="84" spans="1:14">
      <c r="A84" s="319"/>
      <c r="B84" s="319"/>
      <c r="C84" s="319"/>
      <c r="D84" s="321"/>
      <c r="E84" s="321"/>
      <c r="F84" s="321"/>
      <c r="G84" s="321"/>
      <c r="H84" s="321"/>
      <c r="I84" s="321"/>
      <c r="J84" s="321"/>
      <c r="K84" s="321"/>
      <c r="L84" s="321"/>
      <c r="M84" s="321"/>
      <c r="N84" s="323"/>
    </row>
    <row r="85" spans="1:14">
      <c r="A85" s="319"/>
      <c r="B85" s="319"/>
      <c r="C85" s="319"/>
      <c r="D85" s="321"/>
      <c r="E85" s="321"/>
      <c r="F85" s="321"/>
      <c r="G85" s="321"/>
      <c r="H85" s="321"/>
      <c r="I85" s="321"/>
      <c r="J85" s="321"/>
      <c r="K85" s="321"/>
      <c r="L85" s="321"/>
      <c r="M85" s="321"/>
      <c r="N85" s="323"/>
    </row>
    <row r="86" spans="1:14">
      <c r="A86" s="319"/>
      <c r="B86" s="319"/>
      <c r="C86" s="319"/>
      <c r="D86" s="321"/>
      <c r="E86" s="321"/>
      <c r="F86" s="321"/>
      <c r="G86" s="321"/>
      <c r="H86" s="321"/>
      <c r="I86" s="321"/>
      <c r="J86" s="321"/>
      <c r="K86" s="321"/>
      <c r="L86" s="321"/>
      <c r="M86" s="321"/>
      <c r="N86" s="323"/>
    </row>
    <row r="87" spans="1:14">
      <c r="A87" s="319"/>
      <c r="B87" s="319"/>
      <c r="C87" s="319"/>
      <c r="D87" s="321"/>
      <c r="E87" s="321"/>
      <c r="F87" s="321"/>
      <c r="G87" s="321"/>
      <c r="H87" s="321"/>
      <c r="I87" s="321"/>
      <c r="J87" s="321"/>
      <c r="K87" s="321"/>
      <c r="L87" s="321"/>
      <c r="M87" s="321"/>
      <c r="N87" s="323"/>
    </row>
    <row r="88" spans="1:14">
      <c r="A88" s="319"/>
      <c r="B88" s="319"/>
      <c r="C88" s="319"/>
      <c r="D88" s="321"/>
      <c r="E88" s="321"/>
      <c r="F88" s="321"/>
      <c r="G88" s="321"/>
      <c r="H88" s="321"/>
      <c r="I88" s="321"/>
      <c r="J88" s="321"/>
      <c r="K88" s="321"/>
      <c r="L88" s="321"/>
      <c r="M88" s="321"/>
      <c r="N88" s="323"/>
    </row>
    <row r="89" spans="1:14">
      <c r="A89" s="319"/>
      <c r="B89" s="319"/>
      <c r="C89" s="319"/>
      <c r="D89" s="321"/>
      <c r="E89" s="321"/>
      <c r="F89" s="321"/>
      <c r="G89" s="321"/>
      <c r="H89" s="321"/>
      <c r="I89" s="321"/>
      <c r="J89" s="321"/>
      <c r="K89" s="321"/>
      <c r="L89" s="321"/>
      <c r="M89" s="321"/>
      <c r="N89" s="323"/>
    </row>
    <row r="90" spans="1:14">
      <c r="A90" s="319"/>
      <c r="B90" s="319"/>
      <c r="C90" s="319"/>
      <c r="D90" s="321"/>
      <c r="E90" s="321"/>
      <c r="F90" s="321"/>
      <c r="G90" s="321"/>
      <c r="H90" s="321"/>
      <c r="I90" s="321"/>
      <c r="J90" s="321"/>
      <c r="K90" s="321"/>
      <c r="L90" s="321"/>
      <c r="M90" s="321"/>
      <c r="N90" s="323"/>
    </row>
    <row r="91" spans="1:14">
      <c r="A91" s="319"/>
      <c r="B91" s="319"/>
      <c r="C91" s="319"/>
      <c r="D91" s="321"/>
      <c r="E91" s="321"/>
      <c r="F91" s="321"/>
      <c r="G91" s="321"/>
      <c r="H91" s="321"/>
      <c r="I91" s="321"/>
      <c r="J91" s="321"/>
      <c r="K91" s="321"/>
      <c r="L91" s="321"/>
      <c r="M91" s="321"/>
      <c r="N91" s="323"/>
    </row>
    <row r="92" spans="1:14">
      <c r="A92" s="319"/>
      <c r="B92" s="319"/>
      <c r="C92" s="319"/>
      <c r="D92" s="321"/>
      <c r="E92" s="321"/>
      <c r="F92" s="321"/>
      <c r="G92" s="321"/>
      <c r="H92" s="321"/>
      <c r="I92" s="321"/>
      <c r="J92" s="321"/>
      <c r="K92" s="321"/>
      <c r="L92" s="321"/>
      <c r="M92" s="321"/>
      <c r="N92" s="323"/>
    </row>
    <row r="93" spans="1:14">
      <c r="A93" s="319"/>
      <c r="B93" s="319"/>
      <c r="C93" s="319"/>
      <c r="D93" s="321"/>
      <c r="E93" s="321"/>
      <c r="F93" s="321"/>
      <c r="G93" s="321"/>
      <c r="H93" s="321"/>
      <c r="I93" s="321"/>
      <c r="J93" s="321"/>
      <c r="K93" s="321"/>
      <c r="L93" s="321"/>
      <c r="M93" s="321"/>
      <c r="N93" s="323"/>
    </row>
    <row r="94" spans="1:14">
      <c r="A94" s="355"/>
      <c r="B94" s="355"/>
      <c r="C94" s="355"/>
      <c r="D94" s="356"/>
      <c r="E94" s="356"/>
      <c r="F94" s="356"/>
      <c r="G94" s="356"/>
      <c r="H94" s="356"/>
      <c r="I94" s="356"/>
      <c r="J94" s="356"/>
      <c r="K94" s="356"/>
      <c r="L94" s="356"/>
      <c r="M94" s="356"/>
      <c r="N94" s="323"/>
    </row>
    <row r="95" spans="1:14">
      <c r="A95" s="357"/>
      <c r="B95" s="357"/>
      <c r="C95" s="357"/>
      <c r="D95" s="356"/>
      <c r="E95" s="356"/>
      <c r="F95" s="356"/>
      <c r="G95" s="356"/>
      <c r="H95" s="356"/>
      <c r="I95" s="356"/>
      <c r="J95" s="356"/>
      <c r="K95" s="356"/>
      <c r="L95" s="356"/>
      <c r="M95" s="356"/>
      <c r="N95" s="323"/>
    </row>
    <row r="97" spans="5:12">
      <c r="E97" s="319"/>
      <c r="F97" s="319"/>
      <c r="G97" s="319"/>
      <c r="H97" s="319"/>
      <c r="I97" s="319"/>
      <c r="J97" s="319"/>
      <c r="K97" s="319"/>
      <c r="L97" s="31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C73AF3B03E6C43BBC3D533D659DA67" ma:contentTypeVersion="8" ma:contentTypeDescription="Create a new document." ma:contentTypeScope="" ma:versionID="a4f1708aa31c73d4ba77105a6f3e1382">
  <xsd:schema xmlns:xsd="http://www.w3.org/2001/XMLSchema" xmlns:xs="http://www.w3.org/2001/XMLSchema" xmlns:p="http://schemas.microsoft.com/office/2006/metadata/properties" xmlns:ns2="d29c7260-46c5-46b4-a8ad-007a8cef8ee0" xmlns:ns3="7721d2fb-9025-442c-ab0e-b2fd77020983" targetNamespace="http://schemas.microsoft.com/office/2006/metadata/properties" ma:root="true" ma:fieldsID="10a9f226492e7f2f3e80ab6b23814c24" ns2:_="" ns3:_="">
    <xsd:import namespace="d29c7260-46c5-46b4-a8ad-007a8cef8ee0"/>
    <xsd:import namespace="7721d2fb-9025-442c-ab0e-b2fd770209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9c7260-46c5-46b4-a8ad-007a8cef8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1d2fb-9025-442c-ab0e-b2fd7702098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0C0EB5-6F7E-4123-91D1-91F233769D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9c7260-46c5-46b4-a8ad-007a8cef8ee0"/>
    <ds:schemaRef ds:uri="7721d2fb-9025-442c-ab0e-b2fd770209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884E99-5E9E-4491-8358-157B75F9ED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D65583-E03D-4386-8A99-26567323CE4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Exhibit-RMP(RMM-1) page 1</vt:lpstr>
      <vt:lpstr>Exhibit-RMP(RMM-1) page 2</vt:lpstr>
      <vt:lpstr>Exhibit-RMP(RMM-1) page 3</vt:lpstr>
      <vt:lpstr>Exhibit-RMP(RMM-2)</vt:lpstr>
      <vt:lpstr>Comparison</vt:lpstr>
      <vt:lpstr>Sh1 Bill Impact</vt:lpstr>
      <vt:lpstr>Table 1</vt:lpstr>
      <vt:lpstr>Sch9 Adj</vt:lpstr>
      <vt:lpstr>EBA Base</vt:lpstr>
      <vt:lpstr>Cost Factor</vt:lpstr>
      <vt:lpstr>Note</vt:lpstr>
      <vt:lpstr>'Exhibit-RMP(RMM-1) page 1'!Print_Area</vt:lpstr>
      <vt:lpstr>'Exhibit-RMP(RMM-1) page 2'!Print_Area</vt:lpstr>
      <vt:lpstr>'Exhibit-RMP(RMM-2)'!Print_Area</vt:lpstr>
      <vt:lpstr>'Sh1 Bill Impact'!Print_Area</vt:lpstr>
    </vt:vector>
  </TitlesOfParts>
  <Manager/>
  <Company>PacifiCorp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p74618</dc:creator>
  <cp:keywords/>
  <dc:description/>
  <cp:lastModifiedBy>Fred Nass</cp:lastModifiedBy>
  <cp:revision/>
  <dcterms:created xsi:type="dcterms:W3CDTF">2012-05-11T17:24:36Z</dcterms:created>
  <dcterms:modified xsi:type="dcterms:W3CDTF">2025-05-02T16:38:05Z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0x0101006FC73AF3B03E6C43BBC3D533D659DA67</vt:lpwstr>
  </property>
</Properties>
</file>