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I:\Websites\Pscweb\utilities\electric\25docs\2503506\"/>
    </mc:Choice>
  </mc:AlternateContent>
  <xr:revisionPtr revIDLastSave="0" documentId="8_{9039D4A8-6B6B-437D-AC1A-98BCA9893994}" xr6:coauthVersionLast="47" xr6:coauthVersionMax="47" xr10:uidLastSave="{00000000-0000-0000-0000-000000000000}"/>
  <bookViews>
    <workbookView xWindow="660" yWindow="615" windowWidth="22560" windowHeight="19875" tabRatio="937" activeTab="1" xr2:uid="{67FFA0C0-E939-4881-B70A-E545E3F0F1DE}"/>
  </bookViews>
  <sheets>
    <sheet name="I-Rate Calculation" sheetId="15" r:id="rId1"/>
    <sheet name="II-Program Costs" sheetId="14" r:id="rId2"/>
    <sheet name="III-Customer Load Calcs" sheetId="5" r:id="rId3"/>
    <sheet name="IIIa-Avg Res by Community" sheetId="13" r:id="rId4"/>
    <sheet name="IV-Attach UT CREA 8.2" sheetId="4" r:id="rId5"/>
    <sheet name="V-Attach UT CREA 8.1" sheetId="3" r:id="rId6"/>
    <sheet name="VI-Small UT Solar Premium" sheetId="6" r:id="rId7"/>
    <sheet name="VIa-Solar Costs &amp; Benefits" sheetId="12" r:id="rId8"/>
    <sheet name="VII-Estimates-9042024" sheetId="9" r:id="rId9"/>
    <sheet name="VIII-Postage&amp;print" sheetId="8" r:id="rId10"/>
    <sheet name="IX-DR 6.1 Adj for New Est" sheetId="7" r:id="rId11"/>
    <sheet name="X-Summary" sheetId="11" r:id="rId12"/>
    <sheet name="XI-Estimate" sheetId="10" r:id="rId13"/>
  </sheets>
  <externalReferences>
    <externalReference r:id="rId14"/>
    <externalReference r:id="rId15"/>
    <externalReference r:id="rId16"/>
    <externalReference r:id="rId17"/>
  </externalReferences>
  <definedNames>
    <definedName name="_xlnm._FilterDatabase" localSheetId="12" hidden="1">'XI-Estimate'!$D$17:$D$31</definedName>
    <definedName name="_ftn1" localSheetId="10">'IX-DR 6.1 Adj for New Est'!$C$22</definedName>
    <definedName name="_ftn10" localSheetId="10">'IX-DR 6.1 Adj for New Est'!$B$31</definedName>
    <definedName name="_ftn11" localSheetId="10">'IX-DR 6.1 Adj for New Est'!$B$32</definedName>
    <definedName name="_ftn12" localSheetId="10">'IX-DR 6.1 Adj for New Est'!$B$33</definedName>
    <definedName name="_ftn13" localSheetId="10">'IX-DR 6.1 Adj for New Est'!$B$34</definedName>
    <definedName name="_ftn14" localSheetId="10">'IX-DR 6.1 Adj for New Est'!$B$35</definedName>
    <definedName name="_ftn15" localSheetId="10">'IX-DR 6.1 Adj for New Est'!$B$36</definedName>
    <definedName name="_ftn2" localSheetId="10">'IX-DR 6.1 Adj for New Est'!$B$25</definedName>
    <definedName name="_ftn3" localSheetId="10">'IX-DR 6.1 Adj for New Est'!$C$24</definedName>
    <definedName name="_ftn4" localSheetId="10">'IX-DR 6.1 Adj for New Est'!$C$25</definedName>
    <definedName name="_ftn5" localSheetId="10">'IX-DR 6.1 Adj for New Est'!$B$26</definedName>
    <definedName name="_ftn6" localSheetId="10">'IX-DR 6.1 Adj for New Est'!$B$27</definedName>
    <definedName name="_ftn7" localSheetId="10">'IX-DR 6.1 Adj for New Est'!$B$28</definedName>
    <definedName name="_ftn8" localSheetId="10">'IX-DR 6.1 Adj for New Est'!$B$29</definedName>
    <definedName name="_ftn9" localSheetId="10">'IX-DR 6.1 Adj for New Est'!$B$30</definedName>
    <definedName name="_ftnref1" localSheetId="10">'IX-DR 6.1 Adj for New Est'!$F$6</definedName>
    <definedName name="_ftnref10" localSheetId="10">'IX-DR 6.1 Adj for New Est'!$E$13</definedName>
    <definedName name="_ftnref11" localSheetId="10">'IX-DR 6.1 Adj for New Est'!$F$13</definedName>
    <definedName name="_ftnref12" localSheetId="10">'IX-DR 6.1 Adj for New Est'!$E$16</definedName>
    <definedName name="_ftnref13" localSheetId="10">'IX-DR 6.1 Adj for New Est'!$F$16</definedName>
    <definedName name="_ftnref14" localSheetId="10">'IX-DR 6.1 Adj for New Est'!$E$17</definedName>
    <definedName name="_ftnref15" localSheetId="10">'IX-DR 6.1 Adj for New Est'!$F$17</definedName>
    <definedName name="_ftnref2" localSheetId="10">'IX-DR 6.1 Adj for New Est'!$F$7</definedName>
    <definedName name="_ftnref3" localSheetId="10">'IX-DR 6.1 Adj for New Est'!$E$8</definedName>
    <definedName name="_ftnref6" localSheetId="10">'IX-DR 6.1 Adj for New Est'!$E$9</definedName>
    <definedName name="_ftnref7" localSheetId="10">'IX-DR 6.1 Adj for New Est'!$F$9</definedName>
    <definedName name="_ftnref8" localSheetId="10">'IX-DR 6.1 Adj for New Est'!$E$10</definedName>
    <definedName name="_ftnref9" localSheetId="10">'IX-DR 6.1 Adj for New Est'!$F$10</definedName>
    <definedName name="DATA1" localSheetId="12">#REF!</definedName>
    <definedName name="DATA1">#REF!</definedName>
    <definedName name="DATA10" localSheetId="12">#REF!</definedName>
    <definedName name="DATA10">#REF!</definedName>
    <definedName name="DATA11" localSheetId="12">#REF!</definedName>
    <definedName name="DATA11">#REF!</definedName>
    <definedName name="DATA111" localSheetId="12">#REF!</definedName>
    <definedName name="DATA111">#REF!</definedName>
    <definedName name="DATA12" localSheetId="12">#REF!</definedName>
    <definedName name="DATA12">#REF!</definedName>
    <definedName name="DATA13" localSheetId="12">#REF!</definedName>
    <definedName name="DATA13">#REF!</definedName>
    <definedName name="DATA14" localSheetId="12">#REF!</definedName>
    <definedName name="DATA14">#REF!</definedName>
    <definedName name="DATA15" localSheetId="12">#REF!</definedName>
    <definedName name="DATA15">#REF!</definedName>
    <definedName name="DATA16" localSheetId="12">#REF!</definedName>
    <definedName name="DATA16">#REF!</definedName>
    <definedName name="DATA2" localSheetId="12">#REF!</definedName>
    <definedName name="DATA2">#REF!</definedName>
    <definedName name="DATA3" localSheetId="12">#REF!</definedName>
    <definedName name="DATA3">#REF!</definedName>
    <definedName name="DATA4" localSheetId="12">#REF!</definedName>
    <definedName name="DATA4">#REF!</definedName>
    <definedName name="DATA5" localSheetId="12">#REF!</definedName>
    <definedName name="DATA5">#REF!</definedName>
    <definedName name="DATA6" localSheetId="12">#REF!</definedName>
    <definedName name="DATA6">#REF!</definedName>
    <definedName name="DATA7" localSheetId="12">#REF!</definedName>
    <definedName name="DATA7">#REF!</definedName>
    <definedName name="DATA8" localSheetId="12">#REF!</definedName>
    <definedName name="DATA8">#REF!</definedName>
    <definedName name="DATA9" localSheetId="12">#REF!</definedName>
    <definedName name="DATA9">#REF!</definedName>
    <definedName name="_xlnm.Print_Area" localSheetId="3">'IIIa-Avg Res by Community'!$D$4:$M$26</definedName>
    <definedName name="_xlnm.Print_Area" localSheetId="1">'II-Program Costs'!$B$2:$J$90</definedName>
    <definedName name="_xlnm.Print_Area" localSheetId="12">'XI-Estimate'!$B$16:$I$32</definedName>
    <definedName name="regionNameLibrary">[1]Library!$C$60</definedName>
    <definedName name="TEST0" localSheetId="12">#REF!</definedName>
    <definedName name="TEST0">#REF!</definedName>
    <definedName name="TEST2" localSheetId="12">#REF!</definedName>
    <definedName name="TEST2">#REF!</definedName>
    <definedName name="TESTHKEY" localSheetId="12">#REF!</definedName>
    <definedName name="TESTHKEY">#REF!</definedName>
    <definedName name="TESTKEYS" localSheetId="12">#REF!</definedName>
    <definedName name="TESTKEYS">#REF!</definedName>
    <definedName name="Testkeys1" localSheetId="12">#REF!</definedName>
    <definedName name="Testkeys1">#REF!</definedName>
    <definedName name="TESTVKEY" localSheetId="12">#REF!</definedName>
    <definedName name="TESTVKEY">#REF!</definedName>
    <definedName name="yearRange">[1]CalculateEERE!$N$20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2" i="14" l="1"/>
  <c r="H83" i="14"/>
  <c r="H81" i="14"/>
  <c r="M8" i="13"/>
  <c r="M9" i="13"/>
  <c r="M10" i="13"/>
  <c r="M11" i="13"/>
  <c r="M12" i="13"/>
  <c r="M13" i="13"/>
  <c r="M14" i="13"/>
  <c r="M15" i="13"/>
  <c r="M16" i="13"/>
  <c r="M17" i="13"/>
  <c r="M18" i="13"/>
  <c r="M19" i="13"/>
  <c r="M20" i="13"/>
  <c r="M21" i="13"/>
  <c r="M22" i="13"/>
  <c r="M23" i="13"/>
  <c r="M24" i="13"/>
  <c r="M25" i="13"/>
  <c r="M7" i="13"/>
  <c r="F74" i="14" l="1"/>
  <c r="E28" i="13"/>
  <c r="I11" i="15"/>
  <c r="I12" i="15"/>
  <c r="I13" i="15"/>
  <c r="I14" i="15"/>
  <c r="I15" i="15"/>
  <c r="I16" i="15"/>
  <c r="I17" i="15"/>
  <c r="I18" i="15"/>
  <c r="I19" i="15"/>
  <c r="I20" i="15"/>
  <c r="I21" i="15"/>
  <c r="I22" i="15"/>
  <c r="I23" i="15"/>
  <c r="I24" i="15"/>
  <c r="I25" i="15"/>
  <c r="I26" i="15"/>
  <c r="I27" i="15"/>
  <c r="I28" i="15"/>
  <c r="I29" i="15"/>
  <c r="I30" i="15"/>
  <c r="I31" i="15"/>
  <c r="I32" i="15"/>
  <c r="I33" i="15"/>
  <c r="I10" i="15"/>
  <c r="G11" i="15"/>
  <c r="G12" i="15"/>
  <c r="G13" i="15"/>
  <c r="G14" i="15"/>
  <c r="G15" i="15"/>
  <c r="G16" i="15"/>
  <c r="G17" i="15"/>
  <c r="G18" i="15"/>
  <c r="G19" i="15"/>
  <c r="G20" i="15"/>
  <c r="G21" i="15"/>
  <c r="G22" i="15"/>
  <c r="G23" i="15"/>
  <c r="G24" i="15"/>
  <c r="G25" i="15"/>
  <c r="G26" i="15"/>
  <c r="G27" i="15"/>
  <c r="G28" i="15"/>
  <c r="G29" i="15"/>
  <c r="G30" i="15"/>
  <c r="G31" i="15"/>
  <c r="G32" i="15"/>
  <c r="G33" i="15"/>
  <c r="G10" i="15"/>
  <c r="K10" i="15"/>
  <c r="K11" i="15"/>
  <c r="K9" i="15"/>
  <c r="K21" i="13" l="1"/>
  <c r="I7" i="13"/>
  <c r="K19" i="13"/>
  <c r="I17" i="13"/>
  <c r="K17" i="13"/>
  <c r="I16" i="13"/>
  <c r="I14" i="13"/>
  <c r="K20" i="13"/>
  <c r="K16" i="13"/>
  <c r="I15" i="13"/>
  <c r="I13" i="13"/>
  <c r="K18" i="13"/>
  <c r="I12" i="13"/>
  <c r="K15" i="13"/>
  <c r="I11" i="13"/>
  <c r="K14" i="13"/>
  <c r="I26" i="13"/>
  <c r="I10" i="13"/>
  <c r="K13" i="13"/>
  <c r="I25" i="13"/>
  <c r="I9" i="13"/>
  <c r="K12" i="13"/>
  <c r="I24" i="13"/>
  <c r="I8" i="13"/>
  <c r="K11" i="13"/>
  <c r="I23" i="13"/>
  <c r="K7" i="13"/>
  <c r="K10" i="13"/>
  <c r="I22" i="13"/>
  <c r="K25" i="13"/>
  <c r="K9" i="13"/>
  <c r="I21" i="13"/>
  <c r="K24" i="13"/>
  <c r="K8" i="13"/>
  <c r="I20" i="13"/>
  <c r="K23" i="13"/>
  <c r="I19" i="13"/>
  <c r="K22" i="13"/>
  <c r="I18" i="13"/>
  <c r="K26" i="13" l="1"/>
  <c r="F78" i="14"/>
  <c r="F70" i="14"/>
  <c r="H66" i="14"/>
  <c r="F66" i="14"/>
  <c r="J9" i="14"/>
  <c r="F75" i="14"/>
  <c r="E78" i="14"/>
  <c r="F77" i="14"/>
  <c r="G77" i="14" s="1"/>
  <c r="F76" i="14"/>
  <c r="E69" i="14"/>
  <c r="D50" i="14"/>
  <c r="D57" i="14" s="1"/>
  <c r="E72" i="14" s="1"/>
  <c r="D23" i="14"/>
  <c r="F67" i="14" s="1"/>
  <c r="H67" i="14" s="1"/>
  <c r="D22" i="14"/>
  <c r="F71" i="14" s="1"/>
  <c r="D21" i="14"/>
  <c r="D18" i="14"/>
  <c r="F68" i="14" s="1"/>
  <c r="H68" i="14" s="1"/>
  <c r="D16" i="14"/>
  <c r="D15" i="14"/>
  <c r="F73" i="14" s="1"/>
  <c r="D14" i="14"/>
  <c r="F72" i="14" s="1"/>
  <c r="D9" i="14"/>
  <c r="G9" i="14" s="1"/>
  <c r="G8" i="14"/>
  <c r="G7" i="14"/>
  <c r="F79" i="14" l="1"/>
  <c r="I78" i="14"/>
  <c r="I72" i="14"/>
  <c r="F69" i="14"/>
  <c r="H69" i="14" s="1"/>
  <c r="I76" i="14"/>
  <c r="I75" i="14"/>
  <c r="H8" i="6" l="1"/>
  <c r="G8" i="6"/>
  <c r="G26" i="13" l="1"/>
  <c r="L26" i="13"/>
  <c r="M26" i="13"/>
  <c r="L25" i="13"/>
  <c r="L24" i="13"/>
  <c r="L23" i="13"/>
  <c r="L22" i="13"/>
  <c r="L21" i="13"/>
  <c r="L20" i="13"/>
  <c r="L19" i="13"/>
  <c r="L18" i="13"/>
  <c r="L17" i="13"/>
  <c r="L16" i="13"/>
  <c r="L15" i="13"/>
  <c r="L14" i="13"/>
  <c r="L13" i="13"/>
  <c r="L12" i="13"/>
  <c r="L11" i="13"/>
  <c r="L10" i="13"/>
  <c r="L9" i="13"/>
  <c r="L8" i="13"/>
  <c r="L7" i="13"/>
  <c r="F26" i="13"/>
  <c r="E25" i="13"/>
  <c r="J25" i="13" s="1"/>
  <c r="E24" i="13"/>
  <c r="G24" i="13" s="1"/>
  <c r="H24" i="13" s="1"/>
  <c r="E23" i="13"/>
  <c r="G23" i="13" s="1"/>
  <c r="H23" i="13" s="1"/>
  <c r="E22" i="13"/>
  <c r="J22" i="13" s="1"/>
  <c r="E21" i="13"/>
  <c r="J21" i="13" s="1"/>
  <c r="E20" i="13"/>
  <c r="J20" i="13" s="1"/>
  <c r="E19" i="13"/>
  <c r="J19" i="13" s="1"/>
  <c r="E18" i="13"/>
  <c r="J18" i="13" s="1"/>
  <c r="E17" i="13"/>
  <c r="J17" i="13" s="1"/>
  <c r="E16" i="13"/>
  <c r="G16" i="13" s="1"/>
  <c r="H16" i="13" s="1"/>
  <c r="E15" i="13"/>
  <c r="G15" i="13" s="1"/>
  <c r="H15" i="13" s="1"/>
  <c r="E14" i="13"/>
  <c r="J14" i="13" s="1"/>
  <c r="E13" i="13"/>
  <c r="J13" i="13" s="1"/>
  <c r="E12" i="13"/>
  <c r="J12" i="13" s="1"/>
  <c r="E11" i="13"/>
  <c r="J11" i="13" s="1"/>
  <c r="E10" i="13"/>
  <c r="J10" i="13" s="1"/>
  <c r="E9" i="13"/>
  <c r="J9" i="13" s="1"/>
  <c r="E8" i="13"/>
  <c r="G8" i="13" s="1"/>
  <c r="H8" i="13" s="1"/>
  <c r="E7" i="13"/>
  <c r="G7" i="13" s="1"/>
  <c r="H7" i="13" s="1"/>
  <c r="D28" i="12"/>
  <c r="C28" i="12"/>
  <c r="D26" i="12"/>
  <c r="C26" i="12"/>
  <c r="E22" i="12"/>
  <c r="C27" i="12" s="1"/>
  <c r="E12" i="12"/>
  <c r="D27" i="12" s="1"/>
  <c r="D2" i="11"/>
  <c r="E22" i="9"/>
  <c r="D22" i="9"/>
  <c r="C22" i="9"/>
  <c r="F20" i="9"/>
  <c r="F22" i="9" s="1"/>
  <c r="C17" i="9"/>
  <c r="C5" i="9" s="1"/>
  <c r="G41" i="8"/>
  <c r="F41" i="8"/>
  <c r="E41" i="8"/>
  <c r="H39" i="8"/>
  <c r="H41" i="8" s="1"/>
  <c r="H37" i="8"/>
  <c r="G37" i="8"/>
  <c r="F37" i="8"/>
  <c r="E37" i="8"/>
  <c r="D37" i="8"/>
  <c r="C37" i="8"/>
  <c r="H36" i="8"/>
  <c r="H35" i="8"/>
  <c r="H34" i="8"/>
  <c r="H33" i="8"/>
  <c r="H32" i="8"/>
  <c r="H31" i="8"/>
  <c r="H30" i="8"/>
  <c r="H29" i="8"/>
  <c r="H28" i="8"/>
  <c r="H27" i="8"/>
  <c r="H26" i="8"/>
  <c r="H25" i="8"/>
  <c r="H24" i="8"/>
  <c r="H23" i="8"/>
  <c r="H22" i="8"/>
  <c r="H21" i="8"/>
  <c r="H20" i="8"/>
  <c r="H19" i="8"/>
  <c r="H18" i="8"/>
  <c r="H17" i="8"/>
  <c r="H16" i="8"/>
  <c r="H15" i="8"/>
  <c r="H14" i="8"/>
  <c r="H13" i="8"/>
  <c r="H12" i="8"/>
  <c r="H11" i="8"/>
  <c r="H10" i="8"/>
  <c r="H9" i="8"/>
  <c r="H8" i="8"/>
  <c r="G17" i="7"/>
  <c r="G15" i="7"/>
  <c r="G13" i="7"/>
  <c r="G11" i="7"/>
  <c r="G10" i="7"/>
  <c r="G9" i="7"/>
  <c r="F7" i="6"/>
  <c r="D7" i="6"/>
  <c r="G7" i="6" l="1"/>
  <c r="G9" i="13"/>
  <c r="H9" i="13" s="1"/>
  <c r="G17" i="13"/>
  <c r="H17" i="13" s="1"/>
  <c r="G25" i="13"/>
  <c r="H25" i="13" s="1"/>
  <c r="E26" i="13"/>
  <c r="H26" i="13" s="1"/>
  <c r="J7" i="13"/>
  <c r="J15" i="13"/>
  <c r="J23" i="13"/>
  <c r="G10" i="13"/>
  <c r="H10" i="13" s="1"/>
  <c r="G18" i="13"/>
  <c r="H18" i="13" s="1"/>
  <c r="J8" i="13"/>
  <c r="J16" i="13"/>
  <c r="J24" i="13"/>
  <c r="G11" i="13"/>
  <c r="H11" i="13" s="1"/>
  <c r="G19" i="13"/>
  <c r="H19" i="13" s="1"/>
  <c r="G12" i="13"/>
  <c r="H12" i="13" s="1"/>
  <c r="G20" i="13"/>
  <c r="H20" i="13" s="1"/>
  <c r="G13" i="13"/>
  <c r="H13" i="13" s="1"/>
  <c r="G21" i="13"/>
  <c r="H21" i="13" s="1"/>
  <c r="G14" i="13"/>
  <c r="H14" i="13" s="1"/>
  <c r="G22" i="13"/>
  <c r="H22" i="13" s="1"/>
  <c r="H7" i="6" l="1"/>
  <c r="J26" i="13"/>
  <c r="E19" i="5"/>
  <c r="AU231" i="4"/>
  <c r="AT231" i="4"/>
  <c r="AS231" i="4"/>
  <c r="AR231" i="4"/>
  <c r="AQ231" i="4"/>
  <c r="AP231" i="4"/>
  <c r="AM231" i="4"/>
  <c r="AL231" i="4"/>
  <c r="AK231" i="4"/>
  <c r="AJ231" i="4"/>
  <c r="AI231" i="4"/>
  <c r="AH231" i="4"/>
  <c r="AG231" i="4"/>
  <c r="AF231" i="4"/>
  <c r="AE231" i="4"/>
  <c r="AD231" i="4"/>
  <c r="AC231" i="4"/>
  <c r="AB231" i="4"/>
  <c r="AA231" i="4"/>
  <c r="Z231" i="4"/>
  <c r="W231" i="4"/>
  <c r="V231" i="4"/>
  <c r="S231" i="4"/>
  <c r="R231" i="4"/>
  <c r="Q231" i="4"/>
  <c r="P231" i="4"/>
  <c r="O231" i="4"/>
  <c r="N231" i="4"/>
  <c r="M231" i="4"/>
  <c r="L231" i="4"/>
  <c r="K231" i="4"/>
  <c r="J231" i="4"/>
  <c r="I231" i="4"/>
  <c r="H231" i="4"/>
  <c r="G231" i="4"/>
  <c r="F231" i="4"/>
  <c r="E231" i="4"/>
  <c r="D231" i="4"/>
  <c r="AV230" i="4"/>
  <c r="AX230" i="4" s="1"/>
  <c r="AN230" i="4"/>
  <c r="X230" i="4"/>
  <c r="T230" i="4"/>
  <c r="AV229" i="4"/>
  <c r="AX229" i="4" s="1"/>
  <c r="AN229" i="4"/>
  <c r="X229" i="4"/>
  <c r="T229" i="4"/>
  <c r="AV228" i="4"/>
  <c r="AN228" i="4"/>
  <c r="AX228" i="4" s="1"/>
  <c r="X228" i="4"/>
  <c r="T228" i="4"/>
  <c r="AX227" i="4"/>
  <c r="AV227" i="4"/>
  <c r="AN227" i="4"/>
  <c r="X227" i="4"/>
  <c r="T227" i="4"/>
  <c r="AV226" i="4"/>
  <c r="AN226" i="4"/>
  <c r="AX226" i="4" s="1"/>
  <c r="X226" i="4"/>
  <c r="T226" i="4"/>
  <c r="AV225" i="4"/>
  <c r="AX225" i="4" s="1"/>
  <c r="AN225" i="4"/>
  <c r="X225" i="4"/>
  <c r="T225" i="4"/>
  <c r="AX224" i="4"/>
  <c r="AV224" i="4"/>
  <c r="AN224" i="4"/>
  <c r="X224" i="4"/>
  <c r="T224" i="4"/>
  <c r="AV223" i="4"/>
  <c r="AX223" i="4" s="1"/>
  <c r="AN223" i="4"/>
  <c r="X223" i="4"/>
  <c r="T223" i="4"/>
  <c r="AV222" i="4"/>
  <c r="AX222" i="4" s="1"/>
  <c r="AN222" i="4"/>
  <c r="X222" i="4"/>
  <c r="T222" i="4"/>
  <c r="AV221" i="4"/>
  <c r="AX221" i="4" s="1"/>
  <c r="AN221" i="4"/>
  <c r="X221" i="4"/>
  <c r="T221" i="4"/>
  <c r="AV220" i="4"/>
  <c r="AN220" i="4"/>
  <c r="AX220" i="4" s="1"/>
  <c r="X220" i="4"/>
  <c r="T220" i="4"/>
  <c r="AX219" i="4"/>
  <c r="AV219" i="4"/>
  <c r="AN219" i="4"/>
  <c r="X219" i="4"/>
  <c r="T219" i="4"/>
  <c r="AV218" i="4"/>
  <c r="AN218" i="4"/>
  <c r="AX218" i="4" s="1"/>
  <c r="X218" i="4"/>
  <c r="T218" i="4"/>
  <c r="AV217" i="4"/>
  <c r="AX217" i="4" s="1"/>
  <c r="AN217" i="4"/>
  <c r="X217" i="4"/>
  <c r="T217" i="4"/>
  <c r="AX216" i="4"/>
  <c r="AV216" i="4"/>
  <c r="AN216" i="4"/>
  <c r="X216" i="4"/>
  <c r="T216" i="4"/>
  <c r="AV215" i="4"/>
  <c r="AX215" i="4" s="1"/>
  <c r="AN215" i="4"/>
  <c r="X215" i="4"/>
  <c r="T215" i="4"/>
  <c r="AV214" i="4"/>
  <c r="AX214" i="4" s="1"/>
  <c r="AN214" i="4"/>
  <c r="X214" i="4"/>
  <c r="T214" i="4"/>
  <c r="AV213" i="4"/>
  <c r="AX213" i="4" s="1"/>
  <c r="AN213" i="4"/>
  <c r="X213" i="4"/>
  <c r="T213" i="4"/>
  <c r="AV212" i="4"/>
  <c r="AN212" i="4"/>
  <c r="AX212" i="4" s="1"/>
  <c r="X212" i="4"/>
  <c r="T212" i="4"/>
  <c r="AX211" i="4"/>
  <c r="AV211" i="4"/>
  <c r="AN211" i="4"/>
  <c r="X211" i="4"/>
  <c r="T211" i="4"/>
  <c r="AV210" i="4"/>
  <c r="AN210" i="4"/>
  <c r="AX210" i="4" s="1"/>
  <c r="X210" i="4"/>
  <c r="T210" i="4"/>
  <c r="AV209" i="4"/>
  <c r="AX209" i="4" s="1"/>
  <c r="AN209" i="4"/>
  <c r="X209" i="4"/>
  <c r="T209" i="4"/>
  <c r="AX208" i="4"/>
  <c r="AV208" i="4"/>
  <c r="AN208" i="4"/>
  <c r="X208" i="4"/>
  <c r="T208" i="4"/>
  <c r="AV207" i="4"/>
  <c r="AX207" i="4" s="1"/>
  <c r="AN207" i="4"/>
  <c r="X207" i="4"/>
  <c r="T207" i="4"/>
  <c r="AV206" i="4"/>
  <c r="AX206" i="4" s="1"/>
  <c r="AN206" i="4"/>
  <c r="X206" i="4"/>
  <c r="T206" i="4"/>
  <c r="AV205" i="4"/>
  <c r="AX205" i="4" s="1"/>
  <c r="AN205" i="4"/>
  <c r="X205" i="4"/>
  <c r="T205" i="4"/>
  <c r="AV204" i="4"/>
  <c r="AN204" i="4"/>
  <c r="AX204" i="4" s="1"/>
  <c r="X204" i="4"/>
  <c r="T204" i="4"/>
  <c r="AX203" i="4"/>
  <c r="AV203" i="4"/>
  <c r="AN203" i="4"/>
  <c r="X203" i="4"/>
  <c r="T203" i="4"/>
  <c r="AV202" i="4"/>
  <c r="AN202" i="4"/>
  <c r="AX202" i="4" s="1"/>
  <c r="X202" i="4"/>
  <c r="T202" i="4"/>
  <c r="AV201" i="4"/>
  <c r="AX201" i="4" s="1"/>
  <c r="AN201" i="4"/>
  <c r="X201" i="4"/>
  <c r="T201" i="4"/>
  <c r="AX200" i="4"/>
  <c r="AV200" i="4"/>
  <c r="AN200" i="4"/>
  <c r="X200" i="4"/>
  <c r="T200" i="4"/>
  <c r="AV199" i="4"/>
  <c r="AX199" i="4" s="1"/>
  <c r="AN199" i="4"/>
  <c r="X199" i="4"/>
  <c r="T199" i="4"/>
  <c r="AV198" i="4"/>
  <c r="AX198" i="4" s="1"/>
  <c r="AN198" i="4"/>
  <c r="X198" i="4"/>
  <c r="T198" i="4"/>
  <c r="AV197" i="4"/>
  <c r="AX197" i="4" s="1"/>
  <c r="AN197" i="4"/>
  <c r="X197" i="4"/>
  <c r="T197" i="4"/>
  <c r="AV196" i="4"/>
  <c r="AN196" i="4"/>
  <c r="AX196" i="4" s="1"/>
  <c r="X196" i="4"/>
  <c r="T196" i="4"/>
  <c r="AX195" i="4"/>
  <c r="AV195" i="4"/>
  <c r="AN195" i="4"/>
  <c r="X195" i="4"/>
  <c r="T195" i="4"/>
  <c r="AV194" i="4"/>
  <c r="AN194" i="4"/>
  <c r="AX194" i="4" s="1"/>
  <c r="X194" i="4"/>
  <c r="T194" i="4"/>
  <c r="AV193" i="4"/>
  <c r="AX193" i="4" s="1"/>
  <c r="AN193" i="4"/>
  <c r="X193" i="4"/>
  <c r="T193" i="4"/>
  <c r="AX192" i="4"/>
  <c r="AV192" i="4"/>
  <c r="AN192" i="4"/>
  <c r="X192" i="4"/>
  <c r="T192" i="4"/>
  <c r="AV191" i="4"/>
  <c r="AX191" i="4" s="1"/>
  <c r="AN191" i="4"/>
  <c r="X191" i="4"/>
  <c r="T191" i="4"/>
  <c r="AV190" i="4"/>
  <c r="AX190" i="4" s="1"/>
  <c r="AN190" i="4"/>
  <c r="X190" i="4"/>
  <c r="T190" i="4"/>
  <c r="AV189" i="4"/>
  <c r="AX189" i="4" s="1"/>
  <c r="AN189" i="4"/>
  <c r="X189" i="4"/>
  <c r="T189" i="4"/>
  <c r="AV188" i="4"/>
  <c r="AN188" i="4"/>
  <c r="AX188" i="4" s="1"/>
  <c r="X188" i="4"/>
  <c r="T188" i="4"/>
  <c r="AX187" i="4"/>
  <c r="AV187" i="4"/>
  <c r="AN187" i="4"/>
  <c r="X187" i="4"/>
  <c r="T187" i="4"/>
  <c r="AV186" i="4"/>
  <c r="AN186" i="4"/>
  <c r="AX186" i="4" s="1"/>
  <c r="X186" i="4"/>
  <c r="T186" i="4"/>
  <c r="AV185" i="4"/>
  <c r="AX185" i="4" s="1"/>
  <c r="AN185" i="4"/>
  <c r="X185" i="4"/>
  <c r="T185" i="4"/>
  <c r="AX184" i="4"/>
  <c r="AV184" i="4"/>
  <c r="AN184" i="4"/>
  <c r="X184" i="4"/>
  <c r="T184" i="4"/>
  <c r="AV183" i="4"/>
  <c r="AX183" i="4" s="1"/>
  <c r="AN183" i="4"/>
  <c r="X183" i="4"/>
  <c r="T183" i="4"/>
  <c r="AV182" i="4"/>
  <c r="AX182" i="4" s="1"/>
  <c r="AN182" i="4"/>
  <c r="X182" i="4"/>
  <c r="T182" i="4"/>
  <c r="AV181" i="4"/>
  <c r="AX181" i="4" s="1"/>
  <c r="AN181" i="4"/>
  <c r="X181" i="4"/>
  <c r="T181" i="4"/>
  <c r="AV180" i="4"/>
  <c r="AN180" i="4"/>
  <c r="AX180" i="4" s="1"/>
  <c r="X180" i="4"/>
  <c r="T180" i="4"/>
  <c r="AX179" i="4"/>
  <c r="AV179" i="4"/>
  <c r="AN179" i="4"/>
  <c r="X179" i="4"/>
  <c r="T179" i="4"/>
  <c r="AV178" i="4"/>
  <c r="AN178" i="4"/>
  <c r="AX178" i="4" s="1"/>
  <c r="X178" i="4"/>
  <c r="T178" i="4"/>
  <c r="AV177" i="4"/>
  <c r="AX177" i="4" s="1"/>
  <c r="AN177" i="4"/>
  <c r="X177" i="4"/>
  <c r="T177" i="4"/>
  <c r="AX176" i="4"/>
  <c r="AV176" i="4"/>
  <c r="AN176" i="4"/>
  <c r="X176" i="4"/>
  <c r="T176" i="4"/>
  <c r="AV175" i="4"/>
  <c r="AX175" i="4" s="1"/>
  <c r="AN175" i="4"/>
  <c r="X175" i="4"/>
  <c r="T175" i="4"/>
  <c r="AV174" i="4"/>
  <c r="AX174" i="4" s="1"/>
  <c r="AN174" i="4"/>
  <c r="X174" i="4"/>
  <c r="T174" i="4"/>
  <c r="AV173" i="4"/>
  <c r="AX173" i="4" s="1"/>
  <c r="AN173" i="4"/>
  <c r="X173" i="4"/>
  <c r="T173" i="4"/>
  <c r="AV172" i="4"/>
  <c r="AN172" i="4"/>
  <c r="AX172" i="4" s="1"/>
  <c r="X172" i="4"/>
  <c r="T172" i="4"/>
  <c r="AX171" i="4"/>
  <c r="AV171" i="4"/>
  <c r="AN171" i="4"/>
  <c r="X171" i="4"/>
  <c r="T171" i="4"/>
  <c r="AV170" i="4"/>
  <c r="AN170" i="4"/>
  <c r="AX170" i="4" s="1"/>
  <c r="X170" i="4"/>
  <c r="T170" i="4"/>
  <c r="AV169" i="4"/>
  <c r="AX169" i="4" s="1"/>
  <c r="AN169" i="4"/>
  <c r="X169" i="4"/>
  <c r="T169" i="4"/>
  <c r="AX168" i="4"/>
  <c r="AV168" i="4"/>
  <c r="AN168" i="4"/>
  <c r="X168" i="4"/>
  <c r="T168" i="4"/>
  <c r="AV167" i="4"/>
  <c r="AX167" i="4" s="1"/>
  <c r="AN167" i="4"/>
  <c r="X167" i="4"/>
  <c r="T167" i="4"/>
  <c r="AV166" i="4"/>
  <c r="AX166" i="4" s="1"/>
  <c r="AN166" i="4"/>
  <c r="X166" i="4"/>
  <c r="T166" i="4"/>
  <c r="AV165" i="4"/>
  <c r="AX165" i="4" s="1"/>
  <c r="AN165" i="4"/>
  <c r="X165" i="4"/>
  <c r="T165" i="4"/>
  <c r="AV164" i="4"/>
  <c r="AN164" i="4"/>
  <c r="AX164" i="4" s="1"/>
  <c r="X164" i="4"/>
  <c r="T164" i="4"/>
  <c r="AX163" i="4"/>
  <c r="AV163" i="4"/>
  <c r="AN163" i="4"/>
  <c r="X163" i="4"/>
  <c r="T163" i="4"/>
  <c r="AV162" i="4"/>
  <c r="AN162" i="4"/>
  <c r="AX162" i="4" s="1"/>
  <c r="X162" i="4"/>
  <c r="T162" i="4"/>
  <c r="AV161" i="4"/>
  <c r="AX161" i="4" s="1"/>
  <c r="AN161" i="4"/>
  <c r="X161" i="4"/>
  <c r="T161" i="4"/>
  <c r="AX160" i="4"/>
  <c r="AV160" i="4"/>
  <c r="AN160" i="4"/>
  <c r="X160" i="4"/>
  <c r="T160" i="4"/>
  <c r="AV159" i="4"/>
  <c r="AX159" i="4" s="1"/>
  <c r="AN159" i="4"/>
  <c r="X159" i="4"/>
  <c r="T159" i="4"/>
  <c r="AV158" i="4"/>
  <c r="AX158" i="4" s="1"/>
  <c r="AN158" i="4"/>
  <c r="X158" i="4"/>
  <c r="T158" i="4"/>
  <c r="AV157" i="4"/>
  <c r="AX157" i="4" s="1"/>
  <c r="AN157" i="4"/>
  <c r="X157" i="4"/>
  <c r="T157" i="4"/>
  <c r="AV156" i="4"/>
  <c r="AN156" i="4"/>
  <c r="AX156" i="4" s="1"/>
  <c r="X156" i="4"/>
  <c r="T156" i="4"/>
  <c r="AX155" i="4"/>
  <c r="AV155" i="4"/>
  <c r="AN155" i="4"/>
  <c r="X155" i="4"/>
  <c r="T155" i="4"/>
  <c r="AV154" i="4"/>
  <c r="AN154" i="4"/>
  <c r="AX154" i="4" s="1"/>
  <c r="X154" i="4"/>
  <c r="T154" i="4"/>
  <c r="AV153" i="4"/>
  <c r="AX153" i="4" s="1"/>
  <c r="AN153" i="4"/>
  <c r="X153" i="4"/>
  <c r="T153" i="4"/>
  <c r="AX152" i="4"/>
  <c r="AV152" i="4"/>
  <c r="AN152" i="4"/>
  <c r="X152" i="4"/>
  <c r="T152" i="4"/>
  <c r="AV151" i="4"/>
  <c r="AX151" i="4" s="1"/>
  <c r="AN151" i="4"/>
  <c r="X151" i="4"/>
  <c r="T151" i="4"/>
  <c r="AV150" i="4"/>
  <c r="AX150" i="4" s="1"/>
  <c r="AN150" i="4"/>
  <c r="X150" i="4"/>
  <c r="T150" i="4"/>
  <c r="AV149" i="4"/>
  <c r="AX149" i="4" s="1"/>
  <c r="AN149" i="4"/>
  <c r="X149" i="4"/>
  <c r="T149" i="4"/>
  <c r="AV148" i="4"/>
  <c r="AN148" i="4"/>
  <c r="AX148" i="4" s="1"/>
  <c r="X148" i="4"/>
  <c r="T148" i="4"/>
  <c r="AX147" i="4"/>
  <c r="AV147" i="4"/>
  <c r="AN147" i="4"/>
  <c r="X147" i="4"/>
  <c r="T147" i="4"/>
  <c r="AV146" i="4"/>
  <c r="AN146" i="4"/>
  <c r="AX146" i="4" s="1"/>
  <c r="X146" i="4"/>
  <c r="T146" i="4"/>
  <c r="AV145" i="4"/>
  <c r="AX145" i="4" s="1"/>
  <c r="AN145" i="4"/>
  <c r="X145" i="4"/>
  <c r="T145" i="4"/>
  <c r="AX144" i="4"/>
  <c r="AV144" i="4"/>
  <c r="AN144" i="4"/>
  <c r="X144" i="4"/>
  <c r="T144" i="4"/>
  <c r="AV143" i="4"/>
  <c r="AX143" i="4" s="1"/>
  <c r="AN143" i="4"/>
  <c r="X143" i="4"/>
  <c r="T143" i="4"/>
  <c r="AV142" i="4"/>
  <c r="AX142" i="4" s="1"/>
  <c r="AN142" i="4"/>
  <c r="X142" i="4"/>
  <c r="T142" i="4"/>
  <c r="AV141" i="4"/>
  <c r="AX141" i="4" s="1"/>
  <c r="AN141" i="4"/>
  <c r="X141" i="4"/>
  <c r="T141" i="4"/>
  <c r="AV140" i="4"/>
  <c r="AN140" i="4"/>
  <c r="AX140" i="4" s="1"/>
  <c r="X140" i="4"/>
  <c r="T140" i="4"/>
  <c r="AX139" i="4"/>
  <c r="AV139" i="4"/>
  <c r="AN139" i="4"/>
  <c r="X139" i="4"/>
  <c r="T139" i="4"/>
  <c r="AV138" i="4"/>
  <c r="AN138" i="4"/>
  <c r="AX138" i="4" s="1"/>
  <c r="X138" i="4"/>
  <c r="T138" i="4"/>
  <c r="AV137" i="4"/>
  <c r="AX137" i="4" s="1"/>
  <c r="AN137" i="4"/>
  <c r="X137" i="4"/>
  <c r="T137" i="4"/>
  <c r="AX136" i="4"/>
  <c r="AV136" i="4"/>
  <c r="AN136" i="4"/>
  <c r="X136" i="4"/>
  <c r="T136" i="4"/>
  <c r="AV135" i="4"/>
  <c r="AX135" i="4" s="1"/>
  <c r="AN135" i="4"/>
  <c r="X135" i="4"/>
  <c r="T135" i="4"/>
  <c r="AV134" i="4"/>
  <c r="AX134" i="4" s="1"/>
  <c r="AN134" i="4"/>
  <c r="X134" i="4"/>
  <c r="T134" i="4"/>
  <c r="AV133" i="4"/>
  <c r="AX133" i="4" s="1"/>
  <c r="AN133" i="4"/>
  <c r="X133" i="4"/>
  <c r="T133" i="4"/>
  <c r="AV132" i="4"/>
  <c r="AN132" i="4"/>
  <c r="AX132" i="4" s="1"/>
  <c r="X132" i="4"/>
  <c r="T132" i="4"/>
  <c r="AX131" i="4"/>
  <c r="AV131" i="4"/>
  <c r="AN131" i="4"/>
  <c r="X131" i="4"/>
  <c r="T131" i="4"/>
  <c r="AV130" i="4"/>
  <c r="AN130" i="4"/>
  <c r="AX130" i="4" s="1"/>
  <c r="X130" i="4"/>
  <c r="T130" i="4"/>
  <c r="AV129" i="4"/>
  <c r="AX129" i="4" s="1"/>
  <c r="AN129" i="4"/>
  <c r="X129" i="4"/>
  <c r="T129" i="4"/>
  <c r="AX128" i="4"/>
  <c r="AV128" i="4"/>
  <c r="AN128" i="4"/>
  <c r="X128" i="4"/>
  <c r="T128" i="4"/>
  <c r="AV127" i="4"/>
  <c r="AX127" i="4" s="1"/>
  <c r="AN127" i="4"/>
  <c r="X127" i="4"/>
  <c r="T127" i="4"/>
  <c r="AV126" i="4"/>
  <c r="AX126" i="4" s="1"/>
  <c r="AN126" i="4"/>
  <c r="X126" i="4"/>
  <c r="T126" i="4"/>
  <c r="AV125" i="4"/>
  <c r="AX125" i="4" s="1"/>
  <c r="AN125" i="4"/>
  <c r="X125" i="4"/>
  <c r="T125" i="4"/>
  <c r="AV124" i="4"/>
  <c r="AN124" i="4"/>
  <c r="AX124" i="4" s="1"/>
  <c r="X124" i="4"/>
  <c r="T124" i="4"/>
  <c r="AX123" i="4"/>
  <c r="AV123" i="4"/>
  <c r="AN123" i="4"/>
  <c r="X123" i="4"/>
  <c r="T123" i="4"/>
  <c r="AV122" i="4"/>
  <c r="AN122" i="4"/>
  <c r="AX122" i="4" s="1"/>
  <c r="X122" i="4"/>
  <c r="T122" i="4"/>
  <c r="AV121" i="4"/>
  <c r="AX121" i="4" s="1"/>
  <c r="AN121" i="4"/>
  <c r="X121" i="4"/>
  <c r="T121" i="4"/>
  <c r="AX120" i="4"/>
  <c r="AV120" i="4"/>
  <c r="AN120" i="4"/>
  <c r="X120" i="4"/>
  <c r="T120" i="4"/>
  <c r="AV119" i="4"/>
  <c r="AX119" i="4" s="1"/>
  <c r="AN119" i="4"/>
  <c r="X119" i="4"/>
  <c r="T119" i="4"/>
  <c r="AV118" i="4"/>
  <c r="AX118" i="4" s="1"/>
  <c r="AN118" i="4"/>
  <c r="X118" i="4"/>
  <c r="T118" i="4"/>
  <c r="AV117" i="4"/>
  <c r="AX117" i="4" s="1"/>
  <c r="AN117" i="4"/>
  <c r="X117" i="4"/>
  <c r="T117" i="4"/>
  <c r="AV116" i="4"/>
  <c r="AN116" i="4"/>
  <c r="AX116" i="4" s="1"/>
  <c r="X116" i="4"/>
  <c r="T116" i="4"/>
  <c r="AX115" i="4"/>
  <c r="AV115" i="4"/>
  <c r="AN115" i="4"/>
  <c r="X115" i="4"/>
  <c r="T115" i="4"/>
  <c r="AV114" i="4"/>
  <c r="AN114" i="4"/>
  <c r="AX114" i="4" s="1"/>
  <c r="X114" i="4"/>
  <c r="T114" i="4"/>
  <c r="AV113" i="4"/>
  <c r="AX113" i="4" s="1"/>
  <c r="AN113" i="4"/>
  <c r="X113" i="4"/>
  <c r="T113" i="4"/>
  <c r="AX112" i="4"/>
  <c r="AV112" i="4"/>
  <c r="AN112" i="4"/>
  <c r="X112" i="4"/>
  <c r="T112" i="4"/>
  <c r="AV111" i="4"/>
  <c r="AX111" i="4" s="1"/>
  <c r="AN111" i="4"/>
  <c r="X111" i="4"/>
  <c r="T111" i="4"/>
  <c r="AV110" i="4"/>
  <c r="AX110" i="4" s="1"/>
  <c r="AN110" i="4"/>
  <c r="X110" i="4"/>
  <c r="T110" i="4"/>
  <c r="AV109" i="4"/>
  <c r="AX109" i="4" s="1"/>
  <c r="AN109" i="4"/>
  <c r="X109" i="4"/>
  <c r="T109" i="4"/>
  <c r="AV108" i="4"/>
  <c r="AN108" i="4"/>
  <c r="AX108" i="4" s="1"/>
  <c r="X108" i="4"/>
  <c r="T108" i="4"/>
  <c r="AX107" i="4"/>
  <c r="AV107" i="4"/>
  <c r="AN107" i="4"/>
  <c r="X107" i="4"/>
  <c r="T107" i="4"/>
  <c r="AV106" i="4"/>
  <c r="AN106" i="4"/>
  <c r="AX106" i="4" s="1"/>
  <c r="X106" i="4"/>
  <c r="T106" i="4"/>
  <c r="AV105" i="4"/>
  <c r="AX105" i="4" s="1"/>
  <c r="AN105" i="4"/>
  <c r="X105" i="4"/>
  <c r="T105" i="4"/>
  <c r="AX104" i="4"/>
  <c r="AV104" i="4"/>
  <c r="AN104" i="4"/>
  <c r="X104" i="4"/>
  <c r="T104" i="4"/>
  <c r="AV103" i="4"/>
  <c r="AX103" i="4" s="1"/>
  <c r="AN103" i="4"/>
  <c r="X103" i="4"/>
  <c r="T103" i="4"/>
  <c r="AV102" i="4"/>
  <c r="AX102" i="4" s="1"/>
  <c r="AN102" i="4"/>
  <c r="X102" i="4"/>
  <c r="T102" i="4"/>
  <c r="AV101" i="4"/>
  <c r="AX101" i="4" s="1"/>
  <c r="AN101" i="4"/>
  <c r="X101" i="4"/>
  <c r="T101" i="4"/>
  <c r="AV100" i="4"/>
  <c r="AN100" i="4"/>
  <c r="AX100" i="4" s="1"/>
  <c r="X100" i="4"/>
  <c r="T100" i="4"/>
  <c r="AX99" i="4"/>
  <c r="AV99" i="4"/>
  <c r="AN99" i="4"/>
  <c r="X99" i="4"/>
  <c r="T99" i="4"/>
  <c r="AV98" i="4"/>
  <c r="AN98" i="4"/>
  <c r="AX98" i="4" s="1"/>
  <c r="X98" i="4"/>
  <c r="T98" i="4"/>
  <c r="AV97" i="4"/>
  <c r="AX97" i="4" s="1"/>
  <c r="AN97" i="4"/>
  <c r="X97" i="4"/>
  <c r="T97" i="4"/>
  <c r="AX96" i="4"/>
  <c r="AV96" i="4"/>
  <c r="AN96" i="4"/>
  <c r="X96" i="4"/>
  <c r="T96" i="4"/>
  <c r="AV95" i="4"/>
  <c r="AX95" i="4" s="1"/>
  <c r="AN95" i="4"/>
  <c r="X95" i="4"/>
  <c r="T95" i="4"/>
  <c r="AV94" i="4"/>
  <c r="AX94" i="4" s="1"/>
  <c r="AN94" i="4"/>
  <c r="X94" i="4"/>
  <c r="T94" i="4"/>
  <c r="AV93" i="4"/>
  <c r="AX93" i="4" s="1"/>
  <c r="AN93" i="4"/>
  <c r="X93" i="4"/>
  <c r="T93" i="4"/>
  <c r="AV92" i="4"/>
  <c r="AN92" i="4"/>
  <c r="AX92" i="4" s="1"/>
  <c r="X92" i="4"/>
  <c r="T92" i="4"/>
  <c r="AX91" i="4"/>
  <c r="AV91" i="4"/>
  <c r="AN91" i="4"/>
  <c r="X91" i="4"/>
  <c r="T91" i="4"/>
  <c r="AV90" i="4"/>
  <c r="AN90" i="4"/>
  <c r="AX90" i="4" s="1"/>
  <c r="X90" i="4"/>
  <c r="T90" i="4"/>
  <c r="AV89" i="4"/>
  <c r="AX89" i="4" s="1"/>
  <c r="AN89" i="4"/>
  <c r="X89" i="4"/>
  <c r="T89" i="4"/>
  <c r="AX88" i="4"/>
  <c r="AV88" i="4"/>
  <c r="AN88" i="4"/>
  <c r="X88" i="4"/>
  <c r="T88" i="4"/>
  <c r="AV87" i="4"/>
  <c r="AX87" i="4" s="1"/>
  <c r="AN87" i="4"/>
  <c r="X87" i="4"/>
  <c r="T87" i="4"/>
  <c r="AV86" i="4"/>
  <c r="AX86" i="4" s="1"/>
  <c r="AN86" i="4"/>
  <c r="X86" i="4"/>
  <c r="T86" i="4"/>
  <c r="AV85" i="4"/>
  <c r="AX85" i="4" s="1"/>
  <c r="AN85" i="4"/>
  <c r="X85" i="4"/>
  <c r="T85" i="4"/>
  <c r="AV84" i="4"/>
  <c r="AN84" i="4"/>
  <c r="AX84" i="4" s="1"/>
  <c r="X84" i="4"/>
  <c r="T84" i="4"/>
  <c r="AX83" i="4"/>
  <c r="AV83" i="4"/>
  <c r="AN83" i="4"/>
  <c r="X83" i="4"/>
  <c r="T83" i="4"/>
  <c r="AV82" i="4"/>
  <c r="AN82" i="4"/>
  <c r="AX82" i="4" s="1"/>
  <c r="X82" i="4"/>
  <c r="T82" i="4"/>
  <c r="AV81" i="4"/>
  <c r="AX81" i="4" s="1"/>
  <c r="AN81" i="4"/>
  <c r="X81" i="4"/>
  <c r="T81" i="4"/>
  <c r="AX80" i="4"/>
  <c r="AV80" i="4"/>
  <c r="AN80" i="4"/>
  <c r="X80" i="4"/>
  <c r="T80" i="4"/>
  <c r="AV79" i="4"/>
  <c r="AX79" i="4" s="1"/>
  <c r="AN79" i="4"/>
  <c r="X79" i="4"/>
  <c r="T79" i="4"/>
  <c r="AV78" i="4"/>
  <c r="AX78" i="4" s="1"/>
  <c r="AN78" i="4"/>
  <c r="X78" i="4"/>
  <c r="T78" i="4"/>
  <c r="AV77" i="4"/>
  <c r="AX77" i="4" s="1"/>
  <c r="AN77" i="4"/>
  <c r="X77" i="4"/>
  <c r="T77" i="4"/>
  <c r="AV76" i="4"/>
  <c r="AN76" i="4"/>
  <c r="AX76" i="4" s="1"/>
  <c r="X76" i="4"/>
  <c r="T76" i="4"/>
  <c r="AX75" i="4"/>
  <c r="AV75" i="4"/>
  <c r="AN75" i="4"/>
  <c r="X75" i="4"/>
  <c r="T75" i="4"/>
  <c r="AV74" i="4"/>
  <c r="AN74" i="4"/>
  <c r="AX74" i="4" s="1"/>
  <c r="X74" i="4"/>
  <c r="T74" i="4"/>
  <c r="AV73" i="4"/>
  <c r="AX73" i="4" s="1"/>
  <c r="AN73" i="4"/>
  <c r="X73" i="4"/>
  <c r="T73" i="4"/>
  <c r="AX72" i="4"/>
  <c r="AV72" i="4"/>
  <c r="AN72" i="4"/>
  <c r="X72" i="4"/>
  <c r="T72" i="4"/>
  <c r="AV71" i="4"/>
  <c r="AX71" i="4" s="1"/>
  <c r="AN71" i="4"/>
  <c r="X71" i="4"/>
  <c r="T71" i="4"/>
  <c r="AV70" i="4"/>
  <c r="AX70" i="4" s="1"/>
  <c r="AN70" i="4"/>
  <c r="X70" i="4"/>
  <c r="T70" i="4"/>
  <c r="AV69" i="4"/>
  <c r="AX69" i="4" s="1"/>
  <c r="AN69" i="4"/>
  <c r="X69" i="4"/>
  <c r="T69" i="4"/>
  <c r="AV68" i="4"/>
  <c r="AN68" i="4"/>
  <c r="AX68" i="4" s="1"/>
  <c r="X68" i="4"/>
  <c r="T68" i="4"/>
  <c r="AX67" i="4"/>
  <c r="AV67" i="4"/>
  <c r="AN67" i="4"/>
  <c r="X67" i="4"/>
  <c r="T67" i="4"/>
  <c r="AV66" i="4"/>
  <c r="AN66" i="4"/>
  <c r="AX66" i="4" s="1"/>
  <c r="X66" i="4"/>
  <c r="T66" i="4"/>
  <c r="AV65" i="4"/>
  <c r="AX65" i="4" s="1"/>
  <c r="AN65" i="4"/>
  <c r="X65" i="4"/>
  <c r="T65" i="4"/>
  <c r="AX64" i="4"/>
  <c r="AV64" i="4"/>
  <c r="AN64" i="4"/>
  <c r="X64" i="4"/>
  <c r="T64" i="4"/>
  <c r="AV63" i="4"/>
  <c r="AX63" i="4" s="1"/>
  <c r="AN63" i="4"/>
  <c r="X63" i="4"/>
  <c r="T63" i="4"/>
  <c r="AV62" i="4"/>
  <c r="AX62" i="4" s="1"/>
  <c r="AN62" i="4"/>
  <c r="X62" i="4"/>
  <c r="T62" i="4"/>
  <c r="AV61" i="4"/>
  <c r="AX61" i="4" s="1"/>
  <c r="AN61" i="4"/>
  <c r="X61" i="4"/>
  <c r="T61" i="4"/>
  <c r="AV60" i="4"/>
  <c r="AN60" i="4"/>
  <c r="AX60" i="4" s="1"/>
  <c r="X60" i="4"/>
  <c r="T60" i="4"/>
  <c r="AX59" i="4"/>
  <c r="AV59" i="4"/>
  <c r="AN59" i="4"/>
  <c r="X59" i="4"/>
  <c r="T59" i="4"/>
  <c r="AV58" i="4"/>
  <c r="AN58" i="4"/>
  <c r="AX58" i="4" s="1"/>
  <c r="X58" i="4"/>
  <c r="T58" i="4"/>
  <c r="AV57" i="4"/>
  <c r="AX57" i="4" s="1"/>
  <c r="AN57" i="4"/>
  <c r="X57" i="4"/>
  <c r="T57" i="4"/>
  <c r="AX56" i="4"/>
  <c r="AV56" i="4"/>
  <c r="AN56" i="4"/>
  <c r="X56" i="4"/>
  <c r="T56" i="4"/>
  <c r="AV55" i="4"/>
  <c r="AX55" i="4" s="1"/>
  <c r="AN55" i="4"/>
  <c r="X55" i="4"/>
  <c r="T55" i="4"/>
  <c r="AV54" i="4"/>
  <c r="AX54" i="4" s="1"/>
  <c r="AN54" i="4"/>
  <c r="X54" i="4"/>
  <c r="T54" i="4"/>
  <c r="AV53" i="4"/>
  <c r="AX53" i="4" s="1"/>
  <c r="AN53" i="4"/>
  <c r="X53" i="4"/>
  <c r="T53" i="4"/>
  <c r="AV52" i="4"/>
  <c r="AN52" i="4"/>
  <c r="AX52" i="4" s="1"/>
  <c r="X52" i="4"/>
  <c r="T52" i="4"/>
  <c r="AX51" i="4"/>
  <c r="AV51" i="4"/>
  <c r="AN51" i="4"/>
  <c r="X51" i="4"/>
  <c r="T51" i="4"/>
  <c r="AV50" i="4"/>
  <c r="AN50" i="4"/>
  <c r="AX50" i="4" s="1"/>
  <c r="X50" i="4"/>
  <c r="T50" i="4"/>
  <c r="AV49" i="4"/>
  <c r="AX49" i="4" s="1"/>
  <c r="AN49" i="4"/>
  <c r="X49" i="4"/>
  <c r="T49" i="4"/>
  <c r="AX48" i="4"/>
  <c r="AV48" i="4"/>
  <c r="AN48" i="4"/>
  <c r="X48" i="4"/>
  <c r="T48" i="4"/>
  <c r="AV47" i="4"/>
  <c r="AX47" i="4" s="1"/>
  <c r="AN47" i="4"/>
  <c r="X47" i="4"/>
  <c r="T47" i="4"/>
  <c r="AV46" i="4"/>
  <c r="AX46" i="4" s="1"/>
  <c r="AN46" i="4"/>
  <c r="X46" i="4"/>
  <c r="T46" i="4"/>
  <c r="AV45" i="4"/>
  <c r="AX45" i="4" s="1"/>
  <c r="AN45" i="4"/>
  <c r="X45" i="4"/>
  <c r="T45" i="4"/>
  <c r="AV44" i="4"/>
  <c r="AN44" i="4"/>
  <c r="AX44" i="4" s="1"/>
  <c r="X44" i="4"/>
  <c r="T44" i="4"/>
  <c r="AX43" i="4"/>
  <c r="AV43" i="4"/>
  <c r="AN43" i="4"/>
  <c r="X43" i="4"/>
  <c r="T43" i="4"/>
  <c r="AV42" i="4"/>
  <c r="AN42" i="4"/>
  <c r="AX42" i="4" s="1"/>
  <c r="X42" i="4"/>
  <c r="T42" i="4"/>
  <c r="AV41" i="4"/>
  <c r="AX41" i="4" s="1"/>
  <c r="AN41" i="4"/>
  <c r="X41" i="4"/>
  <c r="T41" i="4"/>
  <c r="AX40" i="4"/>
  <c r="AV40" i="4"/>
  <c r="AN40" i="4"/>
  <c r="X40" i="4"/>
  <c r="T40" i="4"/>
  <c r="AV39" i="4"/>
  <c r="AX39" i="4" s="1"/>
  <c r="AN39" i="4"/>
  <c r="X39" i="4"/>
  <c r="T39" i="4"/>
  <c r="AV38" i="4"/>
  <c r="AX38" i="4" s="1"/>
  <c r="AN38" i="4"/>
  <c r="X38" i="4"/>
  <c r="T38" i="4"/>
  <c r="AV37" i="4"/>
  <c r="AX37" i="4" s="1"/>
  <c r="AN37" i="4"/>
  <c r="X37" i="4"/>
  <c r="T37" i="4"/>
  <c r="AV36" i="4"/>
  <c r="AN36" i="4"/>
  <c r="AX36" i="4" s="1"/>
  <c r="X36" i="4"/>
  <c r="T36" i="4"/>
  <c r="AX35" i="4"/>
  <c r="AV35" i="4"/>
  <c r="AN35" i="4"/>
  <c r="X35" i="4"/>
  <c r="T35" i="4"/>
  <c r="AV34" i="4"/>
  <c r="AN34" i="4"/>
  <c r="AX34" i="4" s="1"/>
  <c r="X34" i="4"/>
  <c r="T34" i="4"/>
  <c r="AV33" i="4"/>
  <c r="AX33" i="4" s="1"/>
  <c r="AN33" i="4"/>
  <c r="X33" i="4"/>
  <c r="T33" i="4"/>
  <c r="AX32" i="4"/>
  <c r="AV32" i="4"/>
  <c r="AN32" i="4"/>
  <c r="X32" i="4"/>
  <c r="T32" i="4"/>
  <c r="AV31" i="4"/>
  <c r="AX31" i="4" s="1"/>
  <c r="AN31" i="4"/>
  <c r="X31" i="4"/>
  <c r="T31" i="4"/>
  <c r="AV30" i="4"/>
  <c r="AX30" i="4" s="1"/>
  <c r="AN30" i="4"/>
  <c r="X30" i="4"/>
  <c r="T30" i="4"/>
  <c r="AV29" i="4"/>
  <c r="AX29" i="4" s="1"/>
  <c r="AN29" i="4"/>
  <c r="X29" i="4"/>
  <c r="T29" i="4"/>
  <c r="AV28" i="4"/>
  <c r="AN28" i="4"/>
  <c r="AX28" i="4" s="1"/>
  <c r="X28" i="4"/>
  <c r="T28" i="4"/>
  <c r="AX27" i="4"/>
  <c r="AV27" i="4"/>
  <c r="AN27" i="4"/>
  <c r="X27" i="4"/>
  <c r="T27" i="4"/>
  <c r="AV26" i="4"/>
  <c r="AN26" i="4"/>
  <c r="AX26" i="4" s="1"/>
  <c r="X26" i="4"/>
  <c r="T26" i="4"/>
  <c r="AV25" i="4"/>
  <c r="AX25" i="4" s="1"/>
  <c r="AN25" i="4"/>
  <c r="X25" i="4"/>
  <c r="T25" i="4"/>
  <c r="AV24" i="4"/>
  <c r="AX24" i="4" s="1"/>
  <c r="AN24" i="4"/>
  <c r="X24" i="4"/>
  <c r="T24" i="4"/>
  <c r="AV23" i="4"/>
  <c r="AX23" i="4" s="1"/>
  <c r="AN23" i="4"/>
  <c r="X23" i="4"/>
  <c r="T23" i="4"/>
  <c r="AV22" i="4"/>
  <c r="AX22" i="4" s="1"/>
  <c r="AN22" i="4"/>
  <c r="X22" i="4"/>
  <c r="T22" i="4"/>
  <c r="AV21" i="4"/>
  <c r="AX21" i="4" s="1"/>
  <c r="AN21" i="4"/>
  <c r="X21" i="4"/>
  <c r="T21" i="4"/>
  <c r="AV20" i="4"/>
  <c r="AN20" i="4"/>
  <c r="AX20" i="4" s="1"/>
  <c r="X20" i="4"/>
  <c r="T20" i="4"/>
  <c r="AX19" i="4"/>
  <c r="AV19" i="4"/>
  <c r="AN19" i="4"/>
  <c r="X19" i="4"/>
  <c r="T19" i="4"/>
  <c r="AV18" i="4"/>
  <c r="AN18" i="4"/>
  <c r="AX18" i="4" s="1"/>
  <c r="X18" i="4"/>
  <c r="T18" i="4"/>
  <c r="AV17" i="4"/>
  <c r="AX17" i="4" s="1"/>
  <c r="AN17" i="4"/>
  <c r="X17" i="4"/>
  <c r="T17" i="4"/>
  <c r="AV16" i="4"/>
  <c r="AX16" i="4" s="1"/>
  <c r="AN16" i="4"/>
  <c r="X16" i="4"/>
  <c r="T16" i="4"/>
  <c r="AV15" i="4"/>
  <c r="AX15" i="4" s="1"/>
  <c r="AN15" i="4"/>
  <c r="X15" i="4"/>
  <c r="T15" i="4"/>
  <c r="AV14" i="4"/>
  <c r="AX14" i="4" s="1"/>
  <c r="AN14" i="4"/>
  <c r="X14" i="4"/>
  <c r="T14" i="4"/>
  <c r="AV13" i="4"/>
  <c r="AX13" i="4" s="1"/>
  <c r="AN13" i="4"/>
  <c r="X13" i="4"/>
  <c r="T13" i="4"/>
  <c r="AV12" i="4"/>
  <c r="AN12" i="4"/>
  <c r="AX12" i="4" s="1"/>
  <c r="X12" i="4"/>
  <c r="T12" i="4"/>
  <c r="AX11" i="4"/>
  <c r="AV11" i="4"/>
  <c r="AN11" i="4"/>
  <c r="X11" i="4"/>
  <c r="T11" i="4"/>
  <c r="AV10" i="4"/>
  <c r="AN10" i="4"/>
  <c r="AX10" i="4" s="1"/>
  <c r="X10" i="4"/>
  <c r="T10" i="4"/>
  <c r="AV9" i="4"/>
  <c r="AX9" i="4" s="1"/>
  <c r="AN9" i="4"/>
  <c r="X9" i="4"/>
  <c r="T9" i="4"/>
  <c r="AV8" i="4"/>
  <c r="AX8" i="4" s="1"/>
  <c r="AN8" i="4"/>
  <c r="X8" i="4"/>
  <c r="T8" i="4"/>
  <c r="AV7" i="4"/>
  <c r="AX7" i="4" s="1"/>
  <c r="AN7" i="4"/>
  <c r="X7" i="4"/>
  <c r="T7" i="4"/>
  <c r="AV6" i="4"/>
  <c r="AX6" i="4" s="1"/>
  <c r="AN6" i="4"/>
  <c r="X6" i="4"/>
  <c r="T6" i="4"/>
  <c r="AV5" i="4"/>
  <c r="AX5" i="4" s="1"/>
  <c r="AN5" i="4"/>
  <c r="X5" i="4"/>
  <c r="T5" i="4"/>
  <c r="AV4" i="4"/>
  <c r="AN4" i="4"/>
  <c r="AX4" i="4" s="1"/>
  <c r="X4" i="4"/>
  <c r="T4" i="4"/>
  <c r="AX3" i="4"/>
  <c r="AV3" i="4"/>
  <c r="AV231" i="4" s="1"/>
  <c r="AN3" i="4"/>
  <c r="AN231" i="4" s="1"/>
  <c r="X3" i="4"/>
  <c r="X231" i="4" s="1"/>
  <c r="T3" i="4"/>
  <c r="T231" i="4" s="1"/>
  <c r="V45" i="3"/>
  <c r="U45" i="3"/>
  <c r="T45" i="3"/>
  <c r="S45" i="3"/>
  <c r="R45" i="3"/>
  <c r="Q45" i="3"/>
  <c r="P45" i="3"/>
  <c r="O45" i="3"/>
  <c r="N45" i="3"/>
  <c r="M45" i="3"/>
  <c r="L45" i="3"/>
  <c r="K45" i="3"/>
  <c r="J45" i="3"/>
  <c r="I45" i="3"/>
  <c r="H45" i="3"/>
  <c r="G45" i="3"/>
  <c r="F45" i="3"/>
  <c r="E45" i="3"/>
  <c r="D45" i="3"/>
  <c r="C45" i="3"/>
  <c r="V37" i="3"/>
  <c r="U37" i="3"/>
  <c r="T37" i="3"/>
  <c r="S37" i="3"/>
  <c r="R37" i="3"/>
  <c r="Q37" i="3"/>
  <c r="P37" i="3"/>
  <c r="O37" i="3"/>
  <c r="N37" i="3"/>
  <c r="M37" i="3"/>
  <c r="L37" i="3"/>
  <c r="K37" i="3"/>
  <c r="J37" i="3"/>
  <c r="I37" i="3"/>
  <c r="H37" i="3"/>
  <c r="G37" i="3"/>
  <c r="F37" i="3"/>
  <c r="E37" i="3"/>
  <c r="D37" i="3"/>
  <c r="C37" i="3"/>
  <c r="V22" i="3"/>
  <c r="U22" i="3"/>
  <c r="T22" i="3"/>
  <c r="S22" i="3"/>
  <c r="R22" i="3"/>
  <c r="Q22" i="3"/>
  <c r="P22" i="3"/>
  <c r="O22" i="3"/>
  <c r="N22" i="3"/>
  <c r="M22" i="3"/>
  <c r="L22" i="3"/>
  <c r="K22" i="3"/>
  <c r="J22" i="3"/>
  <c r="I22" i="3"/>
  <c r="H22" i="3"/>
  <c r="G22" i="3"/>
  <c r="F22" i="3"/>
  <c r="E22" i="3"/>
  <c r="D22" i="3"/>
  <c r="C22" i="3"/>
  <c r="V18" i="3"/>
  <c r="V48" i="3" s="1"/>
  <c r="U18" i="3"/>
  <c r="U48" i="3" s="1"/>
  <c r="T18" i="3"/>
  <c r="T48" i="3" s="1"/>
  <c r="S18" i="3"/>
  <c r="S48" i="3" s="1"/>
  <c r="R18" i="3"/>
  <c r="R48" i="3" s="1"/>
  <c r="Q18" i="3"/>
  <c r="Q48" i="3" s="1"/>
  <c r="P18" i="3"/>
  <c r="P48" i="3" s="1"/>
  <c r="O18" i="3"/>
  <c r="O48" i="3" s="1"/>
  <c r="N18" i="3"/>
  <c r="N48" i="3" s="1"/>
  <c r="M18" i="3"/>
  <c r="M48" i="3" s="1"/>
  <c r="L18" i="3"/>
  <c r="L48" i="3" s="1"/>
  <c r="K18" i="3"/>
  <c r="K48" i="3" s="1"/>
  <c r="J18" i="3"/>
  <c r="J48" i="3" s="1"/>
  <c r="I18" i="3"/>
  <c r="I48" i="3" s="1"/>
  <c r="H18" i="3"/>
  <c r="H48" i="3" s="1"/>
  <c r="G18" i="3"/>
  <c r="G48" i="3" s="1"/>
  <c r="F18" i="3"/>
  <c r="F48" i="3" s="1"/>
  <c r="E18" i="3"/>
  <c r="E48" i="3" s="1"/>
  <c r="D18" i="3"/>
  <c r="D48" i="3" s="1"/>
  <c r="C18" i="3"/>
  <c r="C48" i="3" s="1"/>
  <c r="X48" i="3" s="1"/>
  <c r="D7" i="5" l="1"/>
  <c r="E20" i="5"/>
  <c r="I20" i="5" s="1"/>
  <c r="D8" i="5"/>
  <c r="D24" i="5"/>
  <c r="E13" i="5"/>
  <c r="I13" i="5" s="1"/>
  <c r="D9" i="5"/>
  <c r="D17" i="5"/>
  <c r="E6" i="5"/>
  <c r="E14" i="5"/>
  <c r="E22" i="5"/>
  <c r="E12" i="5"/>
  <c r="I12" i="5" s="1"/>
  <c r="D16" i="5"/>
  <c r="E21" i="5"/>
  <c r="I21" i="5" s="1"/>
  <c r="D10" i="5"/>
  <c r="D18" i="5"/>
  <c r="E7" i="5"/>
  <c r="I7" i="5" s="1"/>
  <c r="E15" i="5"/>
  <c r="I15" i="5" s="1"/>
  <c r="E23" i="5"/>
  <c r="I23" i="5" s="1"/>
  <c r="E16" i="5"/>
  <c r="I16" i="5" s="1"/>
  <c r="D23" i="5"/>
  <c r="H23" i="5" s="1"/>
  <c r="D11" i="5"/>
  <c r="D19" i="5"/>
  <c r="E8" i="5"/>
  <c r="I8" i="5" s="1"/>
  <c r="D36" i="14" s="1"/>
  <c r="E24" i="5"/>
  <c r="I24" i="5" s="1"/>
  <c r="D12" i="5"/>
  <c r="D20" i="5"/>
  <c r="E9" i="5"/>
  <c r="I9" i="5" s="1"/>
  <c r="E17" i="5"/>
  <c r="I17" i="5" s="1"/>
  <c r="D13" i="5"/>
  <c r="D21" i="5"/>
  <c r="E10" i="5"/>
  <c r="I10" i="5" s="1"/>
  <c r="E18" i="5"/>
  <c r="I18" i="5" s="1"/>
  <c r="D15" i="5"/>
  <c r="D6" i="5"/>
  <c r="D14" i="5"/>
  <c r="D22" i="5"/>
  <c r="E11" i="5"/>
  <c r="I11" i="5" s="1"/>
  <c r="I19" i="5"/>
  <c r="I22" i="5"/>
  <c r="I14" i="5"/>
  <c r="AX231" i="4"/>
  <c r="E22" i="15" l="1"/>
  <c r="E15" i="15"/>
  <c r="E31" i="15"/>
  <c r="E24" i="15"/>
  <c r="E11" i="15"/>
  <c r="E16" i="15"/>
  <c r="E32" i="15"/>
  <c r="E10" i="15"/>
  <c r="E26" i="15"/>
  <c r="E28" i="15"/>
  <c r="E29" i="15"/>
  <c r="E14" i="15"/>
  <c r="E17" i="15"/>
  <c r="E33" i="15"/>
  <c r="E27" i="15"/>
  <c r="E12" i="15"/>
  <c r="E13" i="15"/>
  <c r="E18" i="15"/>
  <c r="E9" i="15"/>
  <c r="E20" i="15"/>
  <c r="E21" i="15"/>
  <c r="E25" i="15"/>
  <c r="E30" i="15"/>
  <c r="E19" i="15"/>
  <c r="E23" i="15"/>
  <c r="L23" i="5"/>
  <c r="J18" i="5"/>
  <c r="K18" i="5" s="1"/>
  <c r="H18" i="5"/>
  <c r="H9" i="5"/>
  <c r="L9" i="5" s="1"/>
  <c r="J9" i="5"/>
  <c r="K9" i="5" s="1"/>
  <c r="H16" i="5"/>
  <c r="J16" i="5"/>
  <c r="K16" i="5" s="1"/>
  <c r="J19" i="5"/>
  <c r="K19" i="5" s="1"/>
  <c r="H19" i="5"/>
  <c r="H12" i="5"/>
  <c r="J12" i="5"/>
  <c r="K12" i="5" s="1"/>
  <c r="J14" i="5"/>
  <c r="K14" i="5" s="1"/>
  <c r="H14" i="5"/>
  <c r="L14" i="5" s="1"/>
  <c r="H21" i="5"/>
  <c r="J7" i="5"/>
  <c r="K7" i="5" s="1"/>
  <c r="H7" i="5"/>
  <c r="L7" i="5" s="1"/>
  <c r="H20" i="5"/>
  <c r="J20" i="5"/>
  <c r="K20" i="5" s="1"/>
  <c r="J17" i="5"/>
  <c r="K17" i="5" s="1"/>
  <c r="H17" i="5"/>
  <c r="L17" i="5" s="1"/>
  <c r="J6" i="5"/>
  <c r="K6" i="5" s="1"/>
  <c r="H6" i="5"/>
  <c r="D58" i="14" s="1"/>
  <c r="D25" i="5"/>
  <c r="D34" i="14" s="1"/>
  <c r="H24" i="5"/>
  <c r="J24" i="5"/>
  <c r="K24" i="5" s="1"/>
  <c r="J8" i="5"/>
  <c r="K8" i="5" s="1"/>
  <c r="H8" i="5"/>
  <c r="D39" i="14" s="1"/>
  <c r="H10" i="5"/>
  <c r="L10" i="5" s="1"/>
  <c r="J10" i="5"/>
  <c r="K10" i="5" s="1"/>
  <c r="H11" i="5"/>
  <c r="H15" i="5"/>
  <c r="J15" i="5"/>
  <c r="K15" i="5" s="1"/>
  <c r="I6" i="5"/>
  <c r="E25" i="5"/>
  <c r="J13" i="5"/>
  <c r="K13" i="5" s="1"/>
  <c r="H13" i="5"/>
  <c r="L13" i="5" s="1"/>
  <c r="J22" i="5"/>
  <c r="K22" i="5" s="1"/>
  <c r="H22" i="5"/>
  <c r="L22" i="5" s="1"/>
  <c r="J23" i="5"/>
  <c r="K23" i="5" s="1"/>
  <c r="D33" i="14" l="1"/>
  <c r="D28" i="14"/>
  <c r="L8" i="5"/>
  <c r="L6" i="5"/>
  <c r="J25" i="5"/>
  <c r="K25" i="5" s="1"/>
  <c r="H25" i="5"/>
  <c r="I25" i="5"/>
  <c r="D35" i="14" s="1"/>
  <c r="C20" i="15" l="1"/>
  <c r="C22" i="15"/>
  <c r="C13" i="15"/>
  <c r="C29" i="15"/>
  <c r="C30" i="15"/>
  <c r="C33" i="15"/>
  <c r="C18" i="15"/>
  <c r="C24" i="15"/>
  <c r="C25" i="15"/>
  <c r="C28" i="15"/>
  <c r="C14" i="15"/>
  <c r="C15" i="15"/>
  <c r="C26" i="15"/>
  <c r="C31" i="15"/>
  <c r="C19" i="15"/>
  <c r="C21" i="15"/>
  <c r="C16" i="15"/>
  <c r="C32" i="15"/>
  <c r="C17" i="15"/>
  <c r="C23" i="15"/>
  <c r="C27" i="15"/>
  <c r="C9" i="15"/>
  <c r="C10" i="15"/>
  <c r="C11" i="15"/>
  <c r="C12" i="15"/>
  <c r="D45" i="14"/>
  <c r="D46" i="14" s="1"/>
  <c r="D51" i="14" s="1"/>
  <c r="D37" i="14"/>
  <c r="D38" i="14"/>
  <c r="D40" i="14"/>
  <c r="F80" i="14"/>
  <c r="G80" i="14" s="1"/>
  <c r="G81" i="14" s="1"/>
  <c r="G83" i="14" s="1"/>
  <c r="E80" i="14"/>
  <c r="D41" i="14"/>
  <c r="D13" i="15" l="1"/>
  <c r="D29" i="15"/>
  <c r="D30" i="15"/>
  <c r="D32" i="15"/>
  <c r="D22" i="15"/>
  <c r="D24" i="15"/>
  <c r="D28" i="15"/>
  <c r="D18" i="15"/>
  <c r="D20" i="15"/>
  <c r="D23" i="15"/>
  <c r="D27" i="15"/>
  <c r="D15" i="15"/>
  <c r="D16" i="15"/>
  <c r="D33" i="15"/>
  <c r="D9" i="15"/>
  <c r="D11" i="15"/>
  <c r="D31" i="15"/>
  <c r="D17" i="15"/>
  <c r="D21" i="15"/>
  <c r="D25" i="15"/>
  <c r="D10" i="15"/>
  <c r="D26" i="15"/>
  <c r="D14" i="15"/>
  <c r="D19" i="15"/>
  <c r="D12" i="15"/>
  <c r="D44" i="14"/>
  <c r="D49" i="14" s="1"/>
  <c r="E70" i="14" s="1"/>
  <c r="H70" i="14" s="1"/>
  <c r="D42" i="14"/>
  <c r="D43" i="14"/>
  <c r="D54" i="14"/>
  <c r="D55" i="14" s="1"/>
  <c r="D52" i="14"/>
  <c r="D53" i="14"/>
  <c r="E73" i="14" s="1"/>
  <c r="I73" i="14" s="1"/>
  <c r="H25" i="15" l="1"/>
  <c r="J25" i="15" s="1"/>
  <c r="L25" i="15" s="1"/>
  <c r="H26" i="15"/>
  <c r="J26" i="15" s="1"/>
  <c r="L26" i="15" s="1"/>
  <c r="H28" i="15"/>
  <c r="J28" i="15" s="1"/>
  <c r="L28" i="15" s="1"/>
  <c r="H13" i="15"/>
  <c r="J13" i="15" s="1"/>
  <c r="L13" i="15" s="1"/>
  <c r="H18" i="15"/>
  <c r="J18" i="15" s="1"/>
  <c r="L18" i="15" s="1"/>
  <c r="H10" i="15"/>
  <c r="J10" i="15" s="1"/>
  <c r="L10" i="15" s="1"/>
  <c r="H16" i="15"/>
  <c r="J16" i="15" s="1"/>
  <c r="L16" i="15" s="1"/>
  <c r="H17" i="15"/>
  <c r="J17" i="15" s="1"/>
  <c r="L17" i="15" s="1"/>
  <c r="H19" i="15"/>
  <c r="J19" i="15" s="1"/>
  <c r="L19" i="15" s="1"/>
  <c r="H24" i="15"/>
  <c r="J24" i="15" s="1"/>
  <c r="L24" i="15" s="1"/>
  <c r="H12" i="15"/>
  <c r="J12" i="15" s="1"/>
  <c r="L12" i="15" s="1"/>
  <c r="H30" i="15"/>
  <c r="J30" i="15" s="1"/>
  <c r="L30" i="15" s="1"/>
  <c r="H31" i="15"/>
  <c r="J31" i="15" s="1"/>
  <c r="L31" i="15" s="1"/>
  <c r="H20" i="15"/>
  <c r="J20" i="15" s="1"/>
  <c r="L20" i="15" s="1"/>
  <c r="H27" i="15"/>
  <c r="J27" i="15" s="1"/>
  <c r="L27" i="15" s="1"/>
  <c r="H29" i="15"/>
  <c r="J29" i="15" s="1"/>
  <c r="L29" i="15" s="1"/>
  <c r="H14" i="15"/>
  <c r="J14" i="15" s="1"/>
  <c r="L14" i="15" s="1"/>
  <c r="H33" i="15"/>
  <c r="J33" i="15" s="1"/>
  <c r="L33" i="15" s="1"/>
  <c r="H21" i="15"/>
  <c r="J21" i="15" s="1"/>
  <c r="L21" i="15" s="1"/>
  <c r="H11" i="15"/>
  <c r="J11" i="15" s="1"/>
  <c r="L11" i="15" s="1"/>
  <c r="H22" i="15"/>
  <c r="J22" i="15" s="1"/>
  <c r="L22" i="15" s="1"/>
  <c r="H23" i="15"/>
  <c r="J23" i="15" s="1"/>
  <c r="L23" i="15" s="1"/>
  <c r="H15" i="15"/>
  <c r="J15" i="15" s="1"/>
  <c r="L15" i="15" s="1"/>
  <c r="H32" i="15"/>
  <c r="J32" i="15" s="1"/>
  <c r="L32" i="15" s="1"/>
  <c r="E71" i="14"/>
  <c r="H71" i="14" s="1"/>
  <c r="E79" i="14"/>
  <c r="I79" i="14" s="1"/>
  <c r="I81" i="14" s="1"/>
  <c r="F9" i="15" l="1"/>
  <c r="J9" i="15" s="1"/>
  <c r="L9" i="15" s="1"/>
  <c r="I83" i="14"/>
  <c r="M21" i="15" l="1"/>
  <c r="N21" i="15" s="1"/>
  <c r="O21" i="15" s="1"/>
  <c r="P21" i="15" s="1"/>
  <c r="Q21" i="15" s="1"/>
  <c r="R21" i="15" s="1"/>
  <c r="S21" i="15" s="1"/>
  <c r="M17" i="15"/>
  <c r="N17" i="15" s="1"/>
  <c r="O17" i="15" s="1"/>
  <c r="P17" i="15" s="1"/>
  <c r="Q17" i="15" s="1"/>
  <c r="R17" i="15" s="1"/>
  <c r="S17" i="15" s="1"/>
  <c r="M28" i="15"/>
  <c r="N28" i="15" s="1"/>
  <c r="O28" i="15" s="1"/>
  <c r="P28" i="15" s="1"/>
  <c r="Q28" i="15" s="1"/>
  <c r="R28" i="15" s="1"/>
  <c r="S28" i="15" s="1"/>
  <c r="M13" i="15"/>
  <c r="N13" i="15" s="1"/>
  <c r="O13" i="15" s="1"/>
  <c r="P13" i="15" s="1"/>
  <c r="Q13" i="15" s="1"/>
  <c r="R13" i="15" s="1"/>
  <c r="S13" i="15" s="1"/>
  <c r="M32" i="15"/>
  <c r="N32" i="15" s="1"/>
  <c r="O32" i="15" s="1"/>
  <c r="P32" i="15" s="1"/>
  <c r="Q32" i="15" s="1"/>
  <c r="R32" i="15" s="1"/>
  <c r="S32" i="15" s="1"/>
  <c r="M26" i="15"/>
  <c r="N26" i="15" s="1"/>
  <c r="O26" i="15" s="1"/>
  <c r="P26" i="15" s="1"/>
  <c r="Q26" i="15" s="1"/>
  <c r="R26" i="15" s="1"/>
  <c r="S26" i="15" s="1"/>
  <c r="M25" i="15"/>
  <c r="N25" i="15" s="1"/>
  <c r="O25" i="15" s="1"/>
  <c r="P25" i="15" s="1"/>
  <c r="Q25" i="15" s="1"/>
  <c r="R25" i="15" s="1"/>
  <c r="S25" i="15" s="1"/>
  <c r="M27" i="15"/>
  <c r="N27" i="15" s="1"/>
  <c r="O27" i="15" s="1"/>
  <c r="P27" i="15" s="1"/>
  <c r="Q27" i="15" s="1"/>
  <c r="R27" i="15" s="1"/>
  <c r="S27" i="15" s="1"/>
  <c r="M9" i="15"/>
  <c r="N9" i="15" s="1"/>
  <c r="O9" i="15" s="1"/>
  <c r="P9" i="15" s="1"/>
  <c r="Q9" i="15" s="1"/>
  <c r="R9" i="15" s="1"/>
  <c r="S9" i="15" s="1"/>
  <c r="M19" i="15"/>
  <c r="N19" i="15" s="1"/>
  <c r="O19" i="15" s="1"/>
  <c r="P19" i="15" s="1"/>
  <c r="Q19" i="15" s="1"/>
  <c r="R19" i="15" s="1"/>
  <c r="S19" i="15" s="1"/>
  <c r="M30" i="15"/>
  <c r="N30" i="15" s="1"/>
  <c r="O30" i="15" s="1"/>
  <c r="P30" i="15" s="1"/>
  <c r="Q30" i="15" s="1"/>
  <c r="R30" i="15" s="1"/>
  <c r="S30" i="15" s="1"/>
  <c r="M33" i="15"/>
  <c r="N33" i="15" s="1"/>
  <c r="O33" i="15" s="1"/>
  <c r="P33" i="15" s="1"/>
  <c r="Q33" i="15" s="1"/>
  <c r="R33" i="15" s="1"/>
  <c r="S33" i="15" s="1"/>
  <c r="M15" i="15"/>
  <c r="N15" i="15" s="1"/>
  <c r="O15" i="15" s="1"/>
  <c r="P15" i="15" s="1"/>
  <c r="Q15" i="15" s="1"/>
  <c r="R15" i="15" s="1"/>
  <c r="S15" i="15" s="1"/>
  <c r="M10" i="15"/>
  <c r="N10" i="15" s="1"/>
  <c r="O10" i="15" s="1"/>
  <c r="P10" i="15" s="1"/>
  <c r="Q10" i="15" s="1"/>
  <c r="R10" i="15" s="1"/>
  <c r="S10" i="15" s="1"/>
  <c r="M16" i="15"/>
  <c r="N16" i="15" s="1"/>
  <c r="O16" i="15" s="1"/>
  <c r="P16" i="15" s="1"/>
  <c r="Q16" i="15" s="1"/>
  <c r="R16" i="15" s="1"/>
  <c r="S16" i="15" s="1"/>
  <c r="M22" i="15"/>
  <c r="N22" i="15" s="1"/>
  <c r="O22" i="15" s="1"/>
  <c r="P22" i="15" s="1"/>
  <c r="Q22" i="15" s="1"/>
  <c r="R22" i="15" s="1"/>
  <c r="S22" i="15" s="1"/>
  <c r="M20" i="15"/>
  <c r="N20" i="15" s="1"/>
  <c r="O20" i="15" s="1"/>
  <c r="P20" i="15" s="1"/>
  <c r="M18" i="15"/>
  <c r="N18" i="15" s="1"/>
  <c r="O18" i="15" s="1"/>
  <c r="P18" i="15" s="1"/>
  <c r="Q18" i="15" s="1"/>
  <c r="R18" i="15" s="1"/>
  <c r="S18" i="15" s="1"/>
  <c r="M23" i="15"/>
  <c r="N23" i="15" s="1"/>
  <c r="O23" i="15" s="1"/>
  <c r="P23" i="15" s="1"/>
  <c r="Q23" i="15" s="1"/>
  <c r="R23" i="15" s="1"/>
  <c r="S23" i="15" s="1"/>
  <c r="M24" i="15"/>
  <c r="N24" i="15" s="1"/>
  <c r="O24" i="15" s="1"/>
  <c r="P24" i="15" s="1"/>
  <c r="Q24" i="15" s="1"/>
  <c r="R24" i="15" s="1"/>
  <c r="S24" i="15" s="1"/>
  <c r="M11" i="15"/>
  <c r="N11" i="15" s="1"/>
  <c r="O11" i="15" s="1"/>
  <c r="P11" i="15" s="1"/>
  <c r="Q11" i="15" s="1"/>
  <c r="R11" i="15" s="1"/>
  <c r="S11" i="15" s="1"/>
  <c r="M12" i="15"/>
  <c r="N12" i="15" s="1"/>
  <c r="O12" i="15" s="1"/>
  <c r="P12" i="15" s="1"/>
  <c r="Q12" i="15" s="1"/>
  <c r="R12" i="15" s="1"/>
  <c r="S12" i="15" s="1"/>
  <c r="M31" i="15"/>
  <c r="N31" i="15" s="1"/>
  <c r="O31" i="15" s="1"/>
  <c r="P31" i="15" s="1"/>
  <c r="M14" i="15"/>
  <c r="N14" i="15" s="1"/>
  <c r="O14" i="15" s="1"/>
  <c r="P14" i="15" s="1"/>
  <c r="Q14" i="15" s="1"/>
  <c r="R14" i="15" s="1"/>
  <c r="S14" i="15" s="1"/>
  <c r="M29" i="15"/>
  <c r="N29" i="15" s="1"/>
  <c r="O29" i="15" s="1"/>
  <c r="P29" i="15" s="1"/>
  <c r="Q29" i="15" s="1"/>
  <c r="R29" i="15" s="1"/>
  <c r="S29" i="15" s="1"/>
  <c r="Q20" i="15"/>
  <c r="R20" i="15" s="1"/>
  <c r="S20" i="15" s="1"/>
  <c r="Q31" i="15"/>
  <c r="R31" i="15" s="1"/>
  <c r="S31" i="15" s="1"/>
  <c r="E27" i="12"/>
  <c r="E28" i="12" l="1"/>
  <c r="E2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tc={237E979A-24BA-4138-887A-011DE34DE9F1}</author>
  </authors>
  <commentList>
    <comment ref="E19" authorId="0" shapeId="0" xr:uid="{237E979A-24BA-4138-887A-011DE34DE9F1}">
      <text>
        <t>[Threaded comment]
Your version of Excel allows you to read this threaded comment; however, any edits to it will get removed if the file is opened in a newer version of Excel. Learn more: https://go.microsoft.com/fwlink/?linkid=870924
Comment:
    Paper confirm to Paper Opt-Out Received - 12,000 qty is estimated.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tc={488C2FB7-0ECC-4374-B2F1-BDE2A6C82C8F}</author>
  </authors>
  <commentList>
    <comment ref="G6" authorId="0" shapeId="0" xr:uid="{488C2FB7-0ECC-4374-B2F1-BDE2A6C82C8F}">
      <text>
        <t>[Threaded comment]
Your version of Excel allows you to read this threaded comment; however, any edits to it will get removed if the file is opened in a newer version of Excel. Learn more: https://go.microsoft.com/fwlink/?linkid=870924
Comment:
    Paper confirm to Paper Opt-Out Received - 12,000 qty is estimated.</t>
      </text>
    </comment>
  </commentList>
</comments>
</file>

<file path=xl/sharedStrings.xml><?xml version="1.0" encoding="utf-8"?>
<sst xmlns="http://schemas.openxmlformats.org/spreadsheetml/2006/main" count="933" uniqueCount="543">
  <si>
    <t>Table A. Estimated Program Rate and Charge from 2026 through 2050</t>
  </si>
  <si>
    <t>Year</t>
  </si>
  <si>
    <t>Participants</t>
  </si>
  <si>
    <t>Participating Load (kWh)</t>
  </si>
  <si>
    <t>Participants - Sch.3</t>
  </si>
  <si>
    <t>Admin Launch Costs ($)</t>
  </si>
  <si>
    <t>Ongoing Noticing - 2x ($)</t>
  </si>
  <si>
    <t>Ongoing Customer Phone Support ($)</t>
  </si>
  <si>
    <t>Ongoing Agency Support ($)</t>
  </si>
  <si>
    <t>Total Admin Cost ($)</t>
  </si>
  <si>
    <t>Resource Reserves ($)</t>
  </si>
  <si>
    <t>Subtotal Program Cost ($)</t>
  </si>
  <si>
    <t>Ongoing Trust / Escrow @1.5% of Subtotal Program Cost ($)</t>
  </si>
  <si>
    <t>Grand Total Program Cost ($)</t>
  </si>
  <si>
    <t>Program Rate Before Sch.3 Assistance ($ per kWh)</t>
  </si>
  <si>
    <t>Avg Residential Monthly Program Charge @637kWh Before Sch.3 Assistance ($)</t>
  </si>
  <si>
    <t>Sch.3 Assistance Subsidy ($)</t>
  </si>
  <si>
    <t>Sch.3 Assistance Monthly Fixed Charge Paid by Non-Sch.3 Participants ($)</t>
  </si>
  <si>
    <t>Avg Residential Monthly Bill @637kWh with Bill Assistance Subsidy ($)</t>
  </si>
  <si>
    <t>Exhibit A to Resolution 25-01, Initial Program Charge and Billing (page 1 of 2)</t>
  </si>
  <si>
    <t>Table A. Resource Net-Cost Assumptions and Reserves</t>
  </si>
  <si>
    <t>(a)</t>
  </si>
  <si>
    <t>(b)</t>
  </si>
  <si>
    <t>(c)</t>
  </si>
  <si>
    <t>(d)</t>
  </si>
  <si>
    <t>(e)</t>
  </si>
  <si>
    <t>(f)</t>
  </si>
  <si>
    <t>Description</t>
  </si>
  <si>
    <t>Net-Cost ($)</t>
  </si>
  <si>
    <t>Reserve Start Year</t>
  </si>
  <si>
    <t>Reserve End Year</t>
  </si>
  <si>
    <t>Cost per Year</t>
  </si>
  <si>
    <t>Notes</t>
  </si>
  <si>
    <t>(1)</t>
  </si>
  <si>
    <t>60 MW UT Solar Online 2028</t>
  </si>
  <si>
    <t>Based on net-cost of $10 per MWh for 60 MW solar producing 167,789 MWh per yearassuming 0.5% degradation for 12.5 years</t>
  </si>
  <si>
    <t>(2)</t>
  </si>
  <si>
    <t>0 MW UT Solar Online 2029</t>
  </si>
  <si>
    <t>Based on net-cost of $3.79 per MWh for 20 MW solar scaled to $1 per MWh for 200 MW (Sheet VI)</t>
  </si>
  <si>
    <t>60MW UT Solar Online 2030</t>
  </si>
  <si>
    <t>Table B. Price Inputs</t>
  </si>
  <si>
    <t>Price per Unit ($)</t>
  </si>
  <si>
    <t>Units</t>
  </si>
  <si>
    <t>Based on Year</t>
  </si>
  <si>
    <t>Annual Price Growth Rate</t>
  </si>
  <si>
    <t>Noticing (2x) -- ongoing</t>
  </si>
  <si>
    <t>$ for 2 notices</t>
  </si>
  <si>
    <t>Cost claimed by PacifiCorp (Sheet VII)</t>
  </si>
  <si>
    <t>Noticing opt-out confirmation (1x) for paper exit</t>
  </si>
  <si>
    <t>$ per card</t>
  </si>
  <si>
    <t>(3)</t>
  </si>
  <si>
    <t>Notice translation -- one time</t>
  </si>
  <si>
    <t>$</t>
  </si>
  <si>
    <t>Cost claimed by PacifiCorp (Sheet IX)</t>
  </si>
  <si>
    <t>(4)</t>
  </si>
  <si>
    <t>Phone Support 20% overtime  wage -- opt-out and cancellation periods</t>
  </si>
  <si>
    <t>$ per hour</t>
  </si>
  <si>
    <t>Avg Customer support hourly wage claimed by PacifiCorp, weighted 80% regular and 20% overtime (Sheet IX)</t>
  </si>
  <si>
    <t>(5)</t>
  </si>
  <si>
    <t>Phone Support -- 800 Number setup and greeting</t>
  </si>
  <si>
    <t>(6)</t>
  </si>
  <si>
    <t>Phone Support -- 800 number hourly cost</t>
  </si>
  <si>
    <t>$0.04 per minute cost claimed by PacifiCorp x 60 minutes (Sheet IX)</t>
  </si>
  <si>
    <t>(7)</t>
  </si>
  <si>
    <t>Phone Support Regular Wage -- ongoing</t>
  </si>
  <si>
    <t>Avg of high $50 and low $46 regular hourly wage claimed by PacifiCorp (Sheet IX)</t>
  </si>
  <si>
    <t>(8)</t>
  </si>
  <si>
    <t>Phone Support Total Hourly Cost -- opt-out and cancellation periods</t>
  </si>
  <si>
    <t>Bb4 + Bb6</t>
  </si>
  <si>
    <t>(9)</t>
  </si>
  <si>
    <t>Phone Support Total Hourly Cost -- ongoing</t>
  </si>
  <si>
    <t>Bb7 + Bb6</t>
  </si>
  <si>
    <t>(10)</t>
  </si>
  <si>
    <t>IT Software Dev and Reports Cost -- one time</t>
  </si>
  <si>
    <t>Cost claimed by PacifiCorp (Sheet X)</t>
  </si>
  <si>
    <t>(11)</t>
  </si>
  <si>
    <t>Agency legal and technical consultation</t>
  </si>
  <si>
    <t>Annual Agency costs for solicitations and rate adjustments</t>
  </si>
  <si>
    <t>(12)</t>
  </si>
  <si>
    <t xml:space="preserve">Agency communications consultation </t>
  </si>
  <si>
    <t>Annual Agency revenue for communication needs</t>
  </si>
  <si>
    <t>(13)</t>
  </si>
  <si>
    <t>Utility Program Administrator</t>
  </si>
  <si>
    <t>Annual costs of Program Administrator</t>
  </si>
  <si>
    <t>(14)</t>
  </si>
  <si>
    <t>Noticing -- In-person customer contact (one-time)</t>
  </si>
  <si>
    <t>$ per mile</t>
  </si>
  <si>
    <t>In-person visit required for meter usage demand of 1 megawatt of higher per U.C.A. § 54-17-905(1)(c) ; IRS rate mileage rate used to estimate cost</t>
  </si>
  <si>
    <t>(15)</t>
  </si>
  <si>
    <t>First and Second Opt-Out Notice (Print, Mail, Confirmation)</t>
  </si>
  <si>
    <t>$ for 1 customer</t>
  </si>
  <si>
    <t>VII-Estimate-09042024 [Subject to U.S. Postage Increases]</t>
  </si>
  <si>
    <t>Table C. Quantities</t>
  </si>
  <si>
    <t>Amount</t>
  </si>
  <si>
    <t>Annual Growth Rate</t>
  </si>
  <si>
    <t>Eligible customers</t>
  </si>
  <si>
    <t>customers</t>
  </si>
  <si>
    <t>Sheet III</t>
  </si>
  <si>
    <t>Eligible annual load</t>
  </si>
  <si>
    <t>MW-hours</t>
  </si>
  <si>
    <t>Partipants</t>
  </si>
  <si>
    <t>80% res / 30% comm / 5% ind / 0% light+other (Sheet III)</t>
  </si>
  <si>
    <t>Participants -- Schedule 3</t>
  </si>
  <si>
    <t>Participants -- all except Schedule 3</t>
  </si>
  <si>
    <t>Participating annual load</t>
  </si>
  <si>
    <t>Participating annual load -- Schedule 3</t>
  </si>
  <si>
    <t>Participating annual load minus Schedule 3</t>
  </si>
  <si>
    <t>Exited customers -- opt-out &amp; cancellation periods</t>
  </si>
  <si>
    <t>Cb1 - Cb3</t>
  </si>
  <si>
    <t>Online and in-person exits - 60%</t>
  </si>
  <si>
    <t>Cb9 * 0.6</t>
  </si>
  <si>
    <t>Paper exits - 5%</t>
  </si>
  <si>
    <t>Cb9 * 0.05</t>
  </si>
  <si>
    <t>Phone exits - 35%</t>
  </si>
  <si>
    <t>Cb9 * 0.35</t>
  </si>
  <si>
    <t>Participation Rate</t>
  </si>
  <si>
    <t>percent</t>
  </si>
  <si>
    <t>Cb3 / Cb1</t>
  </si>
  <si>
    <t>Exit Rate</t>
  </si>
  <si>
    <t>1 - Cb13</t>
  </si>
  <si>
    <t>Phone Support -- initial staff training</t>
  </si>
  <si>
    <t>hours</t>
  </si>
  <si>
    <t>Sheet IX</t>
  </si>
  <si>
    <t>(16)</t>
  </si>
  <si>
    <t>Phone Support Hours per Contact</t>
  </si>
  <si>
    <t>PacifiCorp estimate</t>
  </si>
  <si>
    <t>(17)</t>
  </si>
  <si>
    <t>Phone Support Hours -- opt-out &amp; cancellation periods</t>
  </si>
  <si>
    <t>Cb12 * Cb16</t>
  </si>
  <si>
    <t>(18)</t>
  </si>
  <si>
    <t>New customer connections per month</t>
  </si>
  <si>
    <r>
      <t>76,484 annual new connections adjusted up to include Midvale to 84,</t>
    </r>
    <r>
      <rPr>
        <sz val="9"/>
        <color rgb="FFFF0000"/>
        <rFont val="Aptos Narrow"/>
        <family val="2"/>
        <scheme val="minor"/>
      </rPr>
      <t xml:space="preserve">135 </t>
    </r>
    <r>
      <rPr>
        <sz val="9"/>
        <color theme="1"/>
        <rFont val="Aptos Narrow"/>
        <family val="2"/>
        <scheme val="minor"/>
      </rPr>
      <t>and divided by 12 (Sheet IX)</t>
    </r>
  </si>
  <si>
    <t>(19)</t>
  </si>
  <si>
    <t>New customers exiting per month - 27%</t>
  </si>
  <si>
    <t>Cb18 * Cb14</t>
  </si>
  <si>
    <t>(20)</t>
  </si>
  <si>
    <t>Cb19 * 0.6</t>
  </si>
  <si>
    <t>(21)</t>
  </si>
  <si>
    <t>Cb19 * 0.05</t>
  </si>
  <si>
    <t>(22)</t>
  </si>
  <si>
    <t>Cb19 * 0.35</t>
  </si>
  <si>
    <t>(23)</t>
  </si>
  <si>
    <t>Phone support hours -- ongoing per month</t>
  </si>
  <si>
    <t>Cb16 * Cb22</t>
  </si>
  <si>
    <t>(24)</t>
  </si>
  <si>
    <t>Phone support training -- ongoing per year</t>
  </si>
  <si>
    <t>(25)</t>
  </si>
  <si>
    <t>Noticing (2x) -- ongoing per month</t>
  </si>
  <si>
    <t>notices</t>
  </si>
  <si>
    <t>Cb18 * 2</t>
  </si>
  <si>
    <t>(26)</t>
  </si>
  <si>
    <t>Avg residential monthly consumption, rounded</t>
  </si>
  <si>
    <t>kW-hours</t>
  </si>
  <si>
    <t>See Sheet III - avg. of Schedules 1, 2, and 3</t>
  </si>
  <si>
    <t>(27)</t>
  </si>
  <si>
    <t>miles</t>
  </si>
  <si>
    <t>Miles for in-person contact for 178 customers with usage demand of 1MW or higher</t>
  </si>
  <si>
    <t>Exhibit A to Resolution 25-01, Initial Program Charge and Billing (page 2 of 2)</t>
  </si>
  <si>
    <t>Table D. Program Expenses Summary</t>
  </si>
  <si>
    <t>(g)</t>
  </si>
  <si>
    <t>Quantity</t>
  </si>
  <si>
    <t>Price</t>
  </si>
  <si>
    <t>Billed Direct to Community</t>
  </si>
  <si>
    <t>Start-Up Costs In Rates</t>
  </si>
  <si>
    <t>Annual On-Going Cost</t>
  </si>
  <si>
    <t>Cost Calculation Formula</t>
  </si>
  <si>
    <r>
      <t xml:space="preserve">Noticing -- translation (one-time) </t>
    </r>
    <r>
      <rPr>
        <vertAlign val="superscript"/>
        <sz val="14"/>
        <color theme="1"/>
        <rFont val="Aptos Narrow"/>
        <family val="2"/>
        <scheme val="minor"/>
      </rPr>
      <t>(i,ii)</t>
    </r>
  </si>
  <si>
    <t>1 * [Bb3 * (1+Be3)^(Db1-Bd3)]</t>
  </si>
  <si>
    <r>
      <t xml:space="preserve">IT Software Development / reports (one-time) </t>
    </r>
    <r>
      <rPr>
        <vertAlign val="superscript"/>
        <sz val="14"/>
        <color theme="1"/>
        <rFont val="Aptos Narrow"/>
        <family val="2"/>
        <scheme val="minor"/>
      </rPr>
      <t>(ii)</t>
    </r>
  </si>
  <si>
    <t>1 * [Bb10 * (1+Be10)^(Db2-Bd10)]</t>
  </si>
  <si>
    <r>
      <t xml:space="preserve">Phone Support -- 800 number setup (one-time) </t>
    </r>
    <r>
      <rPr>
        <vertAlign val="superscript"/>
        <sz val="14"/>
        <color theme="1"/>
        <rFont val="Aptos Narrow"/>
        <family val="2"/>
        <scheme val="minor"/>
      </rPr>
      <t>(ii,iii)</t>
    </r>
  </si>
  <si>
    <t>1 * [Bb5 * (1+Be5)^(Db3-Bd5)]</t>
  </si>
  <si>
    <r>
      <t xml:space="preserve">Phone Support -- initial staff training </t>
    </r>
    <r>
      <rPr>
        <vertAlign val="superscript"/>
        <sz val="14"/>
        <color theme="1"/>
        <rFont val="Aptos Narrow"/>
        <family val="2"/>
        <scheme val="minor"/>
      </rPr>
      <t>(ii,iii,iv)</t>
    </r>
  </si>
  <si>
    <t>Cb15 * [Bb9 * (1+Be9)^(Db4-Bd9)]</t>
  </si>
  <si>
    <r>
      <t xml:space="preserve">Phone Support -- opt-out and cancellation periods </t>
    </r>
    <r>
      <rPr>
        <vertAlign val="superscript"/>
        <sz val="14"/>
        <color theme="1"/>
        <rFont val="Aptos Narrow"/>
        <family val="2"/>
        <scheme val="minor"/>
      </rPr>
      <t>(iii,iv)</t>
    </r>
  </si>
  <si>
    <t>[Cb17 * (1+Ce17)^(Db5-Cd17)] * [Bb4 * (1+Be4)^(Db5-Bd4)]</t>
  </si>
  <si>
    <r>
      <t xml:space="preserve">Phone Support -- ongoing (9 months) </t>
    </r>
    <r>
      <rPr>
        <vertAlign val="superscript"/>
        <sz val="14"/>
        <color theme="1"/>
        <rFont val="Aptos Narrow"/>
        <family val="2"/>
        <scheme val="minor"/>
      </rPr>
      <t>(iii,iv)</t>
    </r>
  </si>
  <si>
    <t>[9 * Cb23 * (1+Ce23)^(Db6-Cd23)] * [Bb9 * (1+Be9)^(Db6-Bd9)]</t>
  </si>
  <si>
    <r>
      <t xml:space="preserve">Noticing -- ongoing (12 months) </t>
    </r>
    <r>
      <rPr>
        <vertAlign val="superscript"/>
        <sz val="14"/>
        <color theme="1"/>
        <rFont val="Aptos Narrow"/>
        <family val="2"/>
        <scheme val="minor"/>
      </rPr>
      <t>(v)</t>
    </r>
  </si>
  <si>
    <t>[12 * Cb25 * (1+Ce25)^(Db7-Cd25)] * [Bb1 * (1+Be1)^(Db7-Bd1)]</t>
  </si>
  <si>
    <r>
      <t xml:space="preserve">Noticing -- paper exit confirmation (12 months) </t>
    </r>
    <r>
      <rPr>
        <vertAlign val="superscript"/>
        <sz val="14"/>
        <color theme="1"/>
        <rFont val="Aptos Narrow"/>
        <family val="2"/>
        <scheme val="minor"/>
      </rPr>
      <t>(iii,vi)</t>
    </r>
  </si>
  <si>
    <t>[Cb21 * (1+Ce21)^(Db8-Cd21)] * [Bb2 * (1+Be2)^(Db8-Bd2)]</t>
  </si>
  <si>
    <t>60 MW UT Solar online 2028</t>
  </si>
  <si>
    <t>1 * Ae1</t>
  </si>
  <si>
    <t>Agency Costs</t>
  </si>
  <si>
    <t>1 * [Bb11+Bb12] * (1+Be11)^(Db10-Bd11)]</t>
  </si>
  <si>
    <t>URC Program Administrator at Utility</t>
  </si>
  <si>
    <t>1*Bb13*[(1+Be13)^(Db11-Bd13)]</t>
  </si>
  <si>
    <t>Noticing -- In-person contact (one-time)</t>
  </si>
  <si>
    <t>Cb27*Bb14*[(1+Be14)^(Db12-Bd14)]</t>
  </si>
  <si>
    <t>Phone Support - annual refresher training</t>
  </si>
  <si>
    <t>Cb24 * [Bb9 * (1+Be9)^(Db13-Bd9)]</t>
  </si>
  <si>
    <t>Phone Support -- ongoing (12 months)</t>
  </si>
  <si>
    <t>[12 * Cb23 * (1+Ce23)^(Db6-Cd23)] * [Bb9 * (1+Be9)^(Db6-Bd9)]</t>
  </si>
  <si>
    <t>Cb1 * [Bb15 *(1+Be15)^(Db15-Bd15)]</t>
  </si>
  <si>
    <t>Sum of Individual Columns De, Df, and Dg respectively</t>
  </si>
  <si>
    <r>
      <t>Escrow / trust setup and management fees (assume 1.5</t>
    </r>
    <r>
      <rPr>
        <b/>
        <sz val="11"/>
        <rFont val="Aptos Narrow"/>
        <family val="2"/>
        <scheme val="minor"/>
      </rPr>
      <t>% appli</t>
    </r>
    <r>
      <rPr>
        <b/>
        <sz val="11"/>
        <color theme="1"/>
        <rFont val="Aptos Narrow"/>
        <family val="2"/>
        <scheme val="minor"/>
      </rPr>
      <t xml:space="preserve">ed to Program Subtotal Cost) </t>
    </r>
    <r>
      <rPr>
        <b/>
        <vertAlign val="superscript"/>
        <sz val="11"/>
        <color theme="1"/>
        <rFont val="Aptos Narrow"/>
        <family val="2"/>
        <scheme val="minor"/>
      </rPr>
      <t>(i, iii)</t>
    </r>
  </si>
  <si>
    <t>Column Df = Df16 * 0.015; Column Dg = Dg16 * 0.015</t>
  </si>
  <si>
    <t>Column Df = Df16 + Df17; Column Dg = Dg16 + Dg17</t>
  </si>
  <si>
    <t>i</t>
  </si>
  <si>
    <r>
      <t>A URC community would be willing to undertake this activity, thereby removing it from the program rate calculation</t>
    </r>
    <r>
      <rPr>
        <i/>
        <sz val="11"/>
        <color rgb="FFFF0000"/>
        <rFont val="Aptos Narrow"/>
        <family val="2"/>
        <scheme val="minor"/>
      </rPr>
      <t>/ Needs to be a Restricted Escrow Account set-up by the URC</t>
    </r>
  </si>
  <si>
    <t>ii</t>
  </si>
  <si>
    <t>URC's position is that all costs other than initial noticing should be covered by the program rate and not paid upfront by communities</t>
  </si>
  <si>
    <t>iii</t>
  </si>
  <si>
    <t>This is not a statutorily-required cost</t>
  </si>
  <si>
    <t>iv</t>
  </si>
  <si>
    <t>URC's position is that costs must be reasonable, incremental, and allocable</t>
  </si>
  <si>
    <t>v</t>
  </si>
  <si>
    <t>The second notice may be sent by email to paperless billing customers, reducing the cost of this line item</t>
  </si>
  <si>
    <t>vi</t>
  </si>
  <si>
    <t>URC advises that exit confirmations could be mailed with the customer's next bill, thereby eliminating this cost</t>
  </si>
  <si>
    <t>Table A. URC Program Participation Estimates Using PacifiCorp Customer and Load Data (2023)</t>
  </si>
  <si>
    <t>(h)</t>
  </si>
  <si>
    <t>(a) x (c)</t>
  </si>
  <si>
    <t>(b) x (c)</t>
  </si>
  <si>
    <t>(a) / (b)</t>
  </si>
  <si>
    <t>1,000 x [(f) / (g)]</t>
  </si>
  <si>
    <t>(((d)*1,000) / e) / 12</t>
  </si>
  <si>
    <t>Rate Schedule</t>
  </si>
  <si>
    <t>Eligible Annual Load (MWh)</t>
  </si>
  <si>
    <t>Eligible Customers (#)</t>
  </si>
  <si>
    <t>Customer Type</t>
  </si>
  <si>
    <t>Est. Participation (%)</t>
  </si>
  <si>
    <t>Est. Participating Load (MWh)</t>
  </si>
  <si>
    <t>Est. Participating Customers (#)</t>
  </si>
  <si>
    <t>Annual MWh per Eligible Customer</t>
  </si>
  <si>
    <t>Annual Avg kW per Customer</t>
  </si>
  <si>
    <t>Average Participant Monthly Consumption (kWh)</t>
  </si>
  <si>
    <t>Residential</t>
  </si>
  <si>
    <t>Commercial</t>
  </si>
  <si>
    <t>6A</t>
  </si>
  <si>
    <t>6B</t>
  </si>
  <si>
    <t>Lighting</t>
  </si>
  <si>
    <t>Industrial</t>
  </si>
  <si>
    <t>9A</t>
  </si>
  <si>
    <t>9M</t>
  </si>
  <si>
    <t>Renewable</t>
  </si>
  <si>
    <t>TOTAL</t>
  </si>
  <si>
    <t>Table A. Schedule 1 Residential Customer Consumption by Community Using PacifiCorp Customer and Load Data (2023)</t>
  </si>
  <si>
    <t>(i)</t>
  </si>
  <si>
    <t>(c) / 12</t>
  </si>
  <si>
    <r>
      <t>(d) *</t>
    </r>
    <r>
      <rPr>
        <i/>
        <sz val="11"/>
        <color rgb="FFFF0000"/>
        <rFont val="Aptos Narrow"/>
        <family val="2"/>
        <scheme val="minor"/>
      </rPr>
      <t xml:space="preserve"> 0.005007</t>
    </r>
  </si>
  <si>
    <t>(a) * 0.8</t>
  </si>
  <si>
    <r>
      <t>(f) *</t>
    </r>
    <r>
      <rPr>
        <i/>
        <sz val="11"/>
        <color rgb="FFFF0000"/>
        <rFont val="Aptos Narrow"/>
        <family val="2"/>
        <scheme val="minor"/>
      </rPr>
      <t xml:space="preserve"> 0.005007</t>
    </r>
  </si>
  <si>
    <t>(b) * 0.8</t>
  </si>
  <si>
    <r>
      <t xml:space="preserve">(h) * </t>
    </r>
    <r>
      <rPr>
        <i/>
        <sz val="11"/>
        <color rgb="FFFF0000"/>
        <rFont val="Aptos Narrow"/>
        <family val="2"/>
        <scheme val="minor"/>
      </rPr>
      <t xml:space="preserve">3.10 </t>
    </r>
    <r>
      <rPr>
        <i/>
        <sz val="11"/>
        <color theme="1"/>
        <rFont val="Aptos Narrow"/>
        <family val="2"/>
        <scheme val="minor"/>
      </rPr>
      <t>* 12</t>
    </r>
  </si>
  <si>
    <t>Sch.1 Annual Consumption (kWh)</t>
  </si>
  <si>
    <t>Sch.1 Customers (#)</t>
  </si>
  <si>
    <t>Avg Annual Consumption per Customer (kWh)</t>
  </si>
  <si>
    <t>Avg Monthly Consumption per Customer (kWh)</t>
  </si>
  <si>
    <r>
      <t>Avg monthly bill impact at</t>
    </r>
    <r>
      <rPr>
        <b/>
        <sz val="11"/>
        <color rgb="FFFF0000"/>
        <rFont val="Aptos Narrow"/>
        <family val="2"/>
        <scheme val="minor"/>
      </rPr>
      <t xml:space="preserve"> $0.005007</t>
    </r>
    <r>
      <rPr>
        <b/>
        <sz val="11"/>
        <color theme="1"/>
        <rFont val="Aptos Narrow"/>
        <family val="2"/>
        <scheme val="minor"/>
      </rPr>
      <t xml:space="preserve"> per kWh ($)</t>
    </r>
  </si>
  <si>
    <t>Estimated Annual Participating Load @80% (kWh)</t>
  </si>
  <si>
    <r>
      <t>Annual Revenue at</t>
    </r>
    <r>
      <rPr>
        <b/>
        <sz val="11"/>
        <color rgb="FFFF0000"/>
        <rFont val="Aptos Narrow"/>
        <family val="2"/>
        <scheme val="minor"/>
      </rPr>
      <t xml:space="preserve"> $0.005007</t>
    </r>
    <r>
      <rPr>
        <b/>
        <sz val="11"/>
        <color theme="1"/>
        <rFont val="Aptos Narrow"/>
        <family val="2"/>
        <scheme val="minor"/>
      </rPr>
      <t xml:space="preserve"> per kWh ($)</t>
    </r>
  </si>
  <si>
    <t>Estimated Participants @80% (#)</t>
  </si>
  <si>
    <r>
      <t>Annual Revenue at</t>
    </r>
    <r>
      <rPr>
        <b/>
        <sz val="11"/>
        <color rgb="FFFF0000"/>
        <rFont val="Aptos Narrow"/>
        <family val="2"/>
        <scheme val="minor"/>
      </rPr>
      <t xml:space="preserve"> $3.10</t>
    </r>
    <r>
      <rPr>
        <b/>
        <sz val="11"/>
        <color theme="1"/>
        <rFont val="Aptos Narrow"/>
        <family val="2"/>
        <scheme val="minor"/>
      </rPr>
      <t xml:space="preserve"> per Month per Participant ($)</t>
    </r>
  </si>
  <si>
    <t xml:space="preserve">CASTLE VALLEY                           </t>
  </si>
  <si>
    <t xml:space="preserve">MOAB                                    </t>
  </si>
  <si>
    <t xml:space="preserve">ALTA                                    </t>
  </si>
  <si>
    <t>COTTONWOOD HEIGHTS</t>
  </si>
  <si>
    <t>EMIGRATION CANYON TOWNSHIP</t>
  </si>
  <si>
    <t xml:space="preserve">HOLLADAY                                </t>
  </si>
  <si>
    <t xml:space="preserve">KEARNS                                  </t>
  </si>
  <si>
    <t xml:space="preserve">MIDVALE                                 </t>
  </si>
  <si>
    <t>MILLCREEK</t>
  </si>
  <si>
    <t xml:space="preserve">SALT LAKE CITY                          </t>
  </si>
  <si>
    <t xml:space="preserve">COALVILLE                               </t>
  </si>
  <si>
    <t xml:space="preserve">FRANCIS                                 </t>
  </si>
  <si>
    <t xml:space="preserve">OAKLEY                                  </t>
  </si>
  <si>
    <t xml:space="preserve">PARK CITY                               </t>
  </si>
  <si>
    <t xml:space="preserve">SPRINGDALE                              </t>
  </si>
  <si>
    <t xml:space="preserve">OGDEN                                   </t>
  </si>
  <si>
    <t>GRAND COUNTY Unincorporated</t>
  </si>
  <si>
    <t>SALT LAKE COUNTY Unincorporated</t>
  </si>
  <si>
    <t>SUMMIT COUNTY Unincorporated</t>
  </si>
  <si>
    <t>TOTALS</t>
  </si>
  <si>
    <t>Calculated Rate from CREA Model</t>
  </si>
  <si>
    <t xml:space="preserve">GRAND               </t>
  </si>
  <si>
    <t xml:space="preserve">SALT LAKE           </t>
  </si>
  <si>
    <t xml:space="preserve">SUMMIT              </t>
  </si>
  <si>
    <t xml:space="preserve">WASHINGTON          </t>
  </si>
  <si>
    <t xml:space="preserve">WEBER               </t>
  </si>
  <si>
    <t>Month</t>
  </si>
  <si>
    <t>Accounting Period</t>
  </si>
  <si>
    <t>Subtotal</t>
  </si>
  <si>
    <t xml:space="preserve">MOAB UNINCORPORATED                     </t>
  </si>
  <si>
    <t>GREEN RIVER UNINCORPORATED</t>
  </si>
  <si>
    <t>UNINCORPORATED</t>
  </si>
  <si>
    <t xml:space="preserve">ALTA UNINCORPORATED                     </t>
  </si>
  <si>
    <t xml:space="preserve">DRAPER UNINCORPORATED                   </t>
  </si>
  <si>
    <t xml:space="preserve">MAGNA UNINCORPORATED                    </t>
  </si>
  <si>
    <t xml:space="preserve">MIDVALE UNINCORPORATED                  </t>
  </si>
  <si>
    <t xml:space="preserve">MURRAY UNINCORPORATED                   </t>
  </si>
  <si>
    <t xml:space="preserve">RIVERTON UNINCORPORATED                 </t>
  </si>
  <si>
    <t xml:space="preserve">SALT LAKE CITY UNINCORPOR               </t>
  </si>
  <si>
    <t xml:space="preserve">SANDY UNINCORPORATED                    </t>
  </si>
  <si>
    <t xml:space="preserve">SOUTH JORDAN UNINCORPORAT               </t>
  </si>
  <si>
    <t xml:space="preserve">WEST JORDAN UNINCORPORATE               </t>
  </si>
  <si>
    <t xml:space="preserve">WEST VALLEY CITY UNINCORP               </t>
  </si>
  <si>
    <t>HERRIMAN UNINCORPORATED</t>
  </si>
  <si>
    <t>MILLCREEK UNINCORPORATED</t>
  </si>
  <si>
    <t xml:space="preserve">KAMAS UNINCORPORATED                    </t>
  </si>
  <si>
    <t xml:space="preserve">OAKLEY UNINCORPORATED                   </t>
  </si>
  <si>
    <t xml:space="preserve">PARK CITY UNINCORPORATED                </t>
  </si>
  <si>
    <t xml:space="preserve">HENEFER UNINCORPORATED                  </t>
  </si>
  <si>
    <t>PARK CITY UNICORPORATED TRANSIT TAX</t>
  </si>
  <si>
    <t>FRANCIS UNINCORPORATED</t>
  </si>
  <si>
    <t>Grand Total</t>
  </si>
  <si>
    <t>County</t>
  </si>
  <si>
    <t>Taxing District</t>
  </si>
  <si>
    <t>Total</t>
  </si>
  <si>
    <t>Other</t>
  </si>
  <si>
    <t>SUBTOTAL</t>
  </si>
  <si>
    <t>GRAND TOTAL</t>
  </si>
  <si>
    <t>Table A. Small (20 MW) Utah Solar Excess Cost (Premium) Using 2023 IRP Cost Information and 2023 Q2 Illustrative QF Pricing Information (2039-2053 Escalation)</t>
  </si>
  <si>
    <t>6.77% discount rate from PacifiCorp 2023 Integrated Resource Plan</t>
  </si>
  <si>
    <t>(a) + (b)</t>
  </si>
  <si>
    <t>(c) x 10</t>
  </si>
  <si>
    <t>20 MW UT Solar 25-Yr Cost NPV ($)</t>
  </si>
  <si>
    <t>20 MW UT Solar 25-Yr Benefit NPV ($)</t>
  </si>
  <si>
    <t>20 MW UT Solar 25-Yr Excess Cost NPV ($)</t>
  </si>
  <si>
    <t>200 MW UT Solar 25-Yr Excess Cost NPV ($)</t>
  </si>
  <si>
    <t>Scale to $1 net-cost</t>
  </si>
  <si>
    <t>$35.55 per MWh</t>
  </si>
  <si>
    <t>$31.76 per MWh</t>
  </si>
  <si>
    <t>UT Small Solar Fixed Costs @100% Wtg. ($000s)</t>
  </si>
  <si>
    <t>Nominal UT Small Solar Energy Prod. @ 100% Wtg. (MWh)</t>
  </si>
  <si>
    <t>Illustrative Solar Tracking UT 2023.Q2 at 32.25% CF ($/MWh)</t>
  </si>
  <si>
    <t>Illustrative Solar Avoided Cost Benefit ($000s)</t>
  </si>
  <si>
    <t>Costs calculated using:</t>
  </si>
  <si>
    <t>PacifiCorp 2023 IRP for 20 MW Utah solar resource</t>
  </si>
  <si>
    <t>Avoided cost benefit calculated using:</t>
  </si>
  <si>
    <t>Rocky Mountain Power Quarterly Compliance Filing -- 2023.Q2 Avoided Cost Input Changes</t>
  </si>
  <si>
    <t>To Update to 2025 IRP</t>
  </si>
  <si>
    <t>25-Yr NPV</t>
  </si>
  <si>
    <t>Table A. Four Prior Avoided Cost Values for Utah Solar as of Nov 2024</t>
  </si>
  <si>
    <t>Filing Date</t>
  </si>
  <si>
    <t>Schedule</t>
  </si>
  <si>
    <t>Timeframe</t>
  </si>
  <si>
    <t>Avoided Cost ($ per MWh)</t>
  </si>
  <si>
    <t>Link</t>
  </si>
  <si>
    <t>2026-2040</t>
  </si>
  <si>
    <t>https://pscdocs.utah.gov/electric/23docs/2303528/331453RMP2023.Q3AvdCstInptChngs12-27-2023.pdf#page=13</t>
  </si>
  <si>
    <t>https://pscdocs.utah.gov/electric/23docs/2303528/333030RMP2023Q4AvdCstInptChngs3-26-2024.pdf#page=39</t>
  </si>
  <si>
    <t>https://pscdocs.utah.gov/electric/24docs/2403535/334422RMP2024Q1AvdCstInptChngs6-26-2024.pdf#page=13</t>
  </si>
  <si>
    <t>https://pscdocs.utah.gov/electric/24docs/2403535/335798RMP2024Q2AvdCstInptChngs10-2-2024.pdf#page=20</t>
  </si>
  <si>
    <t>AVG (rounded)</t>
  </si>
  <si>
    <t>Table B. Solar Costs from 2023 IRP</t>
  </si>
  <si>
    <t>IRP</t>
  </si>
  <si>
    <t>State</t>
  </si>
  <si>
    <t>Size (MW)</t>
  </si>
  <si>
    <t>Yr1 Levelized Cost</t>
  </si>
  <si>
    <t>ID</t>
  </si>
  <si>
    <t>https://www.pacificorp.com/content/dam/pcorp/documents/en/pacificorp/energy/integrated-resource-plan/2023-irp/2023_IRP_Volume_I.pdf#page=188</t>
  </si>
  <si>
    <t>OR</t>
  </si>
  <si>
    <t>UT</t>
  </si>
  <si>
    <t>WY</t>
  </si>
  <si>
    <t>WA</t>
  </si>
  <si>
    <t>Table C. Low, Medium, and High Rate Assumptions</t>
  </si>
  <si>
    <t>Resource Cost (year 1 levelized $ per MWh)</t>
  </si>
  <si>
    <t>System Value (15-year levelized $ per MWh)</t>
  </si>
  <si>
    <t>Participation (year 1 Gwh)</t>
  </si>
  <si>
    <t>Low Rate</t>
  </si>
  <si>
    <t>Low 2023 IRP solar cost, high Sch.38 avoided cost from prior four quarters, 10% higher participation</t>
  </si>
  <si>
    <t>Medium Rate</t>
  </si>
  <si>
    <t>Avg 2023 IRP solar cost, avg Sch.38 solar avoided cost from prior four quarters, expected participation</t>
  </si>
  <si>
    <t>High Rate</t>
  </si>
  <si>
    <t>High 2023 IRP solar cost, low Sch.38 solar avoided cost from prior four quarters, 10% lower participation</t>
  </si>
  <si>
    <t>Initial estimates for Utah CREP (Community Renewable Energy Program)</t>
  </si>
  <si>
    <t>Total estimated project cost</t>
  </si>
  <si>
    <t>Assumptions-</t>
  </si>
  <si>
    <t>Volume will not increase more than 10%.</t>
  </si>
  <si>
    <t>If Volume is more than 10% increase, additional infrastructure will be needed.</t>
  </si>
  <si>
    <t>Full project cost are due upfront before work starts.</t>
  </si>
  <si>
    <t>1800 number charges for creation</t>
  </si>
  <si>
    <t>Activity</t>
  </si>
  <si>
    <t>Cost</t>
  </si>
  <si>
    <t>Aquire Toll-free number</t>
  </si>
  <si>
    <t>Routing Configuration &amp; Testing</t>
  </si>
  <si>
    <t>Studio Professional Greeting</t>
  </si>
  <si>
    <t>Postage, Print, and Mailing Charges</t>
  </si>
  <si>
    <t>Mailing 1 Outbound Total to EVERYONE (280,000 qty)</t>
  </si>
  <si>
    <t>Mailing 2 Outbound Total - PAPER BILLS ONLY (column B) (115,000 qty)</t>
  </si>
  <si>
    <t>Confirmation Mailing 3 Outbound Total (12,000 qty)</t>
  </si>
  <si>
    <t>GRAND TOTAL BY COMMUNITY</t>
  </si>
  <si>
    <t>Print &amp; mail =</t>
  </si>
  <si>
    <t>Postage =</t>
  </si>
  <si>
    <t>Utah Community Renewable Energy Program Mailing Estimates</t>
  </si>
  <si>
    <t>Total quantity (outbound)</t>
  </si>
  <si>
    <t>Participating Community</t>
  </si>
  <si>
    <t>Quantity Paper Bills</t>
  </si>
  <si>
    <t xml:space="preserve"> Quantity Paperless</t>
  </si>
  <si>
    <t>Mailing 2 Outbound Total - PAPER BILLS ONLY (column C) (115,000 qty)</t>
  </si>
  <si>
    <t>(postage per piece/estimated)</t>
  </si>
  <si>
    <t>Alta</t>
  </si>
  <si>
    <t>Castle Valley</t>
  </si>
  <si>
    <t>Coalville</t>
  </si>
  <si>
    <t>Cottonwood Heights</t>
  </si>
  <si>
    <t>Salt Lake County</t>
  </si>
  <si>
    <t>Draper unincorporated</t>
  </si>
  <si>
    <t>Emigration Canyon Township</t>
  </si>
  <si>
    <t>Francis</t>
  </si>
  <si>
    <t>Grand County</t>
  </si>
  <si>
    <t>Green River unincorporated</t>
  </si>
  <si>
    <t>Summit County</t>
  </si>
  <si>
    <t>Henefer unincorporated</t>
  </si>
  <si>
    <t>Herriman unincorporated</t>
  </si>
  <si>
    <t>Holladay</t>
  </si>
  <si>
    <t>Kamas unincorporated</t>
  </si>
  <si>
    <t>Kearns</t>
  </si>
  <si>
    <t>Magna unincorporated</t>
  </si>
  <si>
    <t>Midvale</t>
  </si>
  <si>
    <t>New Addition</t>
  </si>
  <si>
    <t>Midvale unincorporated</t>
  </si>
  <si>
    <t>Millcreek</t>
  </si>
  <si>
    <t>Moab</t>
  </si>
  <si>
    <t>Murray unincorporated</t>
  </si>
  <si>
    <t>Oakley</t>
  </si>
  <si>
    <t>Ogden</t>
  </si>
  <si>
    <t>Park City</t>
  </si>
  <si>
    <t>Riverton unincorporated</t>
  </si>
  <si>
    <t>Salt Lake City</t>
  </si>
  <si>
    <t>Sandy unincorporated</t>
  </si>
  <si>
    <t>South Jordan unincorporated</t>
  </si>
  <si>
    <t>Springdale</t>
  </si>
  <si>
    <t>West Jordan unincorporated</t>
  </si>
  <si>
    <t>West Valley City unincorporated</t>
  </si>
  <si>
    <t>Pricing Updated 9/4/24</t>
  </si>
  <si>
    <t>Julie Beaver</t>
  </si>
  <si>
    <t>Document title: CREA-MailingEstimates-ByCommunity-Postage Update-8-15-24.JB UPDATES 9.4.24</t>
  </si>
  <si>
    <t>a</t>
  </si>
  <si>
    <t>b</t>
  </si>
  <si>
    <t>c</t>
  </si>
  <si>
    <t>d</t>
  </si>
  <si>
    <t>e</t>
  </si>
  <si>
    <t>f</t>
  </si>
  <si>
    <t>g</t>
  </si>
  <si>
    <t>h</t>
  </si>
  <si>
    <t>Time Period</t>
  </si>
  <si>
    <t>Cost Description</t>
  </si>
  <si>
    <t>Cost determinant (tracked separately for program</t>
  </si>
  <si>
    <t># of Units</t>
  </si>
  <si>
    <t>Avg Cost per Unit ($)</t>
  </si>
  <si>
    <t>Total annual or One-Time Cost ($)</t>
  </si>
  <si>
    <t>If Ongoing Cost, # addl years to hold in reserve</t>
  </si>
  <si>
    <t>Addl reserve cost ($)</t>
  </si>
  <si>
    <t>Recover addl reserve cost in program year…</t>
  </si>
  <si>
    <r>
      <t xml:space="preserve">[ </t>
    </r>
    <r>
      <rPr>
        <b/>
        <i/>
        <sz val="10"/>
        <color theme="1"/>
        <rFont val="Times New Roman"/>
        <family val="1"/>
      </rPr>
      <t>d x e</t>
    </r>
    <r>
      <rPr>
        <b/>
        <sz val="10"/>
        <color theme="1"/>
        <rFont val="Times New Roman"/>
        <family val="1"/>
      </rPr>
      <t xml:space="preserve"> ]</t>
    </r>
  </si>
  <si>
    <r>
      <t xml:space="preserve">[ </t>
    </r>
    <r>
      <rPr>
        <b/>
        <i/>
        <sz val="10"/>
        <color theme="1"/>
        <rFont val="Times New Roman"/>
        <family val="1"/>
      </rPr>
      <t>f x g</t>
    </r>
    <r>
      <rPr>
        <b/>
        <sz val="10"/>
        <color theme="1"/>
        <rFont val="Times New Roman"/>
        <family val="1"/>
      </rPr>
      <t xml:space="preserve"> ]</t>
    </r>
  </si>
  <si>
    <t>Launch and Year 1</t>
  </si>
  <si>
    <t>Call Center Training Labor (basic training for all agents)</t>
  </si>
  <si>
    <t>Hours of labor</t>
  </si>
  <si>
    <t>80-120 hours</t>
  </si>
  <si>
    <t>$46-50 regular rate[1]</t>
  </si>
  <si>
    <t>$3,680 - $6,000</t>
  </si>
  <si>
    <t>Call Center Training Labor (est.) (5-10 agents with comprehensive training taking program calls)</t>
  </si>
  <si>
    <t>2-4 hours per agent = 10-40 hours</t>
  </si>
  <si>
    <t>$46-50 regular rate[2]</t>
  </si>
  <si>
    <t>$460 - $2,000</t>
  </si>
  <si>
    <t>Call Center Customer Support Labor (est.)</t>
  </si>
  <si>
    <t>unknown[3]</t>
  </si>
  <si>
    <r>
      <t>$46-$50 regular rate</t>
    </r>
    <r>
      <rPr>
        <vertAlign val="superscript"/>
        <sz val="10"/>
        <color rgb="FF000000"/>
        <rFont val="Times New Roman"/>
        <family val="1"/>
      </rPr>
      <t>[4]</t>
    </r>
    <r>
      <rPr>
        <sz val="10"/>
        <color rgb="FF000000"/>
        <rFont val="Times New Roman"/>
        <family val="1"/>
      </rPr>
      <t>, $69-$75 overtime rate</t>
    </r>
    <r>
      <rPr>
        <vertAlign val="superscript"/>
        <sz val="10"/>
        <color rgb="FF000000"/>
        <rFont val="Times New Roman"/>
        <family val="1"/>
      </rPr>
      <t>[5]</t>
    </r>
  </si>
  <si>
    <r>
      <t>Opt-out noticing for new customers in participating communities (est.) 1</t>
    </r>
    <r>
      <rPr>
        <vertAlign val="superscript"/>
        <sz val="10"/>
        <color rgb="FF000000"/>
        <rFont val="Times New Roman"/>
        <family val="1"/>
      </rPr>
      <t>st</t>
    </r>
    <r>
      <rPr>
        <sz val="10"/>
        <color rgb="FF000000"/>
        <rFont val="Times New Roman"/>
        <family val="1"/>
      </rPr>
      <t xml:space="preserve"> notice</t>
    </r>
  </si>
  <si>
    <t>Mailers</t>
  </si>
  <si>
    <t>280,000[6]</t>
  </si>
  <si>
    <t xml:space="preserve">$0.8653 per unit[7] </t>
  </si>
  <si>
    <r>
      <t>Opt-out noticing for new customers in participating communities (est.) 2</t>
    </r>
    <r>
      <rPr>
        <vertAlign val="superscript"/>
        <sz val="10"/>
        <color rgb="FF000000"/>
        <rFont val="Times New Roman"/>
        <family val="1"/>
      </rPr>
      <t>nd</t>
    </r>
    <r>
      <rPr>
        <sz val="10"/>
        <color rgb="FF000000"/>
        <rFont val="Times New Roman"/>
        <family val="1"/>
      </rPr>
      <t xml:space="preserve"> notice</t>
    </r>
  </si>
  <si>
    <t>115,000[8]</t>
  </si>
  <si>
    <t xml:space="preserve">$0.8632 per unit[9] </t>
  </si>
  <si>
    <t>Opt-out Noticing Confirmation Mailing</t>
  </si>
  <si>
    <t>12,000[16]</t>
  </si>
  <si>
    <t xml:space="preserve">$0.8787 per unit[16] </t>
  </si>
  <si>
    <t>Agency legal and analytical cost</t>
  </si>
  <si>
    <t>800 number services</t>
  </si>
  <si>
    <t>Number of calls</t>
  </si>
  <si>
    <t>Unknown[10]</t>
  </si>
  <si>
    <t>$0.04 per minute for incoming calls[11]</t>
  </si>
  <si>
    <t>Spanish Transalation service for Opt-Out Notice</t>
  </si>
  <si>
    <t>CCS Modification [17]</t>
  </si>
  <si>
    <t>Year 2 and subsequent years (ongoing costs)</t>
  </si>
  <si>
    <t>Unknown[12]</t>
  </si>
  <si>
    <t>$46-50 regular rate[13]</t>
  </si>
  <si>
    <t>Opt-out noticing for new customers in participating communities (est.)</t>
  </si>
  <si>
    <t>76,484[14]</t>
  </si>
  <si>
    <t>$0.8653 per unit plus postage/materials increase[15]</t>
  </si>
  <si>
    <t>Call center agent periodic refresher training/new employee training</t>
  </si>
  <si>
    <t>5-10 hours per year</t>
  </si>
  <si>
    <t>$230-$500</t>
  </si>
  <si>
    <t>… additional row …</t>
  </si>
  <si>
    <t xml:space="preserve">[1] UT CREA-URC Data Request 5.1 – based on 2023 labor rates, which do not reflect wage increases </t>
  </si>
  <si>
    <t>[5] UT CREA-URC Data Request 5.2</t>
  </si>
  <si>
    <t>[6] Attachment UT CREA-URC Data Request 8.1 – number of customers within geographic boundaries of listed communities as of September 4, 2024</t>
  </si>
  <si>
    <t>[7] Estimate reflects third-party postage/mailing rates as of September 4, 2024.</t>
  </si>
  <si>
    <t>[8] RMP anticipates customers who have opted out prior to the second notice will not be sent second notice so number of notices will be less than the first notice.  RMP is unable to estimate the number of customers who will opt out at the first notice and used an estimate of 115,000 for second notices that will be required as a surrogate.</t>
  </si>
  <si>
    <t>[9] UT CREA-URC Data Request 8.1, please see response for assumptions used in estimate.  Estimate reflects third-party postage/mailing rates as of September 4, 2024.</t>
  </si>
  <si>
    <t>[10] RMP is unable to estimate the call volume that will be generated by the program launch.</t>
  </si>
  <si>
    <t>[11]UT CREA-URC Data Request 5.3</t>
  </si>
  <si>
    <t xml:space="preserve">[12] RMP in unable to estimate the call volume that will be generated after year 1. </t>
  </si>
  <si>
    <t xml:space="preserve">[13] UT CREA-URC Data Request 5.1 – based on 2023 labor rates, which do not reflect wage increases </t>
  </si>
  <si>
    <t>[14] UT CREA-URC Data Request 6.1-b – Estimate is based on the CY 2023 new connection requests in the participating communities by taxing district.</t>
  </si>
  <si>
    <t>[15] Estimate reflects third-party postage/mailing rates as of September 4, 2024.</t>
  </si>
  <si>
    <t>[16] UT CREA-URC Data Request 8.1, please see response for assumptions used in estimate.  Estimate reflects third-party postage/mailing rates as of September 4, 2024.</t>
  </si>
  <si>
    <t>[17] Information Tecnology cost increased due to needs for Customer Service System (CSS) that will need to be modified to implement URC Program to bill participants in the program for new URC tariff (likely Tariff 100)</t>
  </si>
  <si>
    <t xml:space="preserve">Project Name:  </t>
  </si>
  <si>
    <t>Utah Renewable Communities</t>
  </si>
  <si>
    <t>Cost Type</t>
  </si>
  <si>
    <t>Budget Est</t>
  </si>
  <si>
    <t>Total Project Cost</t>
  </si>
  <si>
    <t>Capital:  IT Labor Role</t>
  </si>
  <si>
    <t>Hours</t>
  </si>
  <si>
    <t>Estimates</t>
  </si>
  <si>
    <t>IT</t>
  </si>
  <si>
    <t>Reporting</t>
  </si>
  <si>
    <t>URC</t>
  </si>
  <si>
    <t>Prepared By</t>
  </si>
  <si>
    <t>John Webb</t>
  </si>
  <si>
    <t>Capital</t>
  </si>
  <si>
    <t>Est Date Start</t>
  </si>
  <si>
    <t>OMAG</t>
  </si>
  <si>
    <t>Est Date Close</t>
  </si>
  <si>
    <t>PLC Phase</t>
  </si>
  <si>
    <t>Project Initiation</t>
  </si>
  <si>
    <t>Design</t>
  </si>
  <si>
    <t>Construction</t>
  </si>
  <si>
    <t>Testing</t>
  </si>
  <si>
    <t>Client Acceptance</t>
  </si>
  <si>
    <t>Implementation/Cutover</t>
  </si>
  <si>
    <t>Project Closure</t>
  </si>
  <si>
    <t>Budget</t>
  </si>
  <si>
    <t>Type</t>
  </si>
  <si>
    <t>%</t>
  </si>
  <si>
    <t>Rate 2025</t>
  </si>
  <si>
    <t>Project Manager</t>
  </si>
  <si>
    <t>Architect</t>
  </si>
  <si>
    <t>CSS Lead</t>
  </si>
  <si>
    <t>CSS Server</t>
  </si>
  <si>
    <t>Tibco Lead</t>
  </si>
  <si>
    <t>Web Lead</t>
  </si>
  <si>
    <t>CES Lead</t>
  </si>
  <si>
    <t>Reporting Lead</t>
  </si>
  <si>
    <t>QA Lead</t>
  </si>
  <si>
    <t>QA</t>
  </si>
  <si>
    <t>Networks</t>
  </si>
  <si>
    <t>BHE Security Lead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</si>
</sst>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0.000%"/>
    <numFmt numFmtId="168" formatCode="&quot;$&quot;#,##0.0000_);[Red]\(&quot;$&quot;#,##0.0000\)"/>
    <numFmt numFmtId="169" formatCode="&quot;$&quot;#,##0.00"/>
    <numFmt numFmtId="170" formatCode="0.0000000"/>
    <numFmt numFmtId="171" formatCode="_(* #,##0.0_);_(* \(#,##0.0\);_(* &quot;-&quot;??_);_(@_)"/>
    <numFmt numFmtId="172" formatCode="0.000000"/>
  </numFmts>
  <fonts count="68" x14ac:knownFonts="1">
    <font>
      <sz val="11"/>
      <color theme="1"/>
      <name val="Aptos Narrow"/>
      <family val="2"/>
      <scheme val="minor"/>
    </font>
    <font>
      <sz val="11"/>
      <color theme="1"/>
      <name val="Aptos Narrow"/>
      <family val="2"/>
      <scheme val="minor"/>
    </font>
    <font>
      <b/>
      <sz val="11"/>
      <color theme="1"/>
      <name val="Aptos Narrow"/>
      <family val="2"/>
      <scheme val="minor"/>
    </font>
    <font>
      <sz val="10"/>
      <color rgb="FF000000"/>
      <name val="Arial"/>
      <family val="2"/>
    </font>
    <font>
      <b/>
      <sz val="10"/>
      <color rgb="FF000000"/>
      <name val="Times New Roman"/>
      <family val="1"/>
    </font>
    <font>
      <sz val="10"/>
      <color rgb="FF000000"/>
      <name val="Times New Roman"/>
      <family val="1"/>
    </font>
    <font>
      <sz val="10"/>
      <color rgb="FF333333"/>
      <name val="Arial"/>
      <family val="2"/>
    </font>
    <font>
      <sz val="10"/>
      <name val="Times New Roman"/>
      <family val="1"/>
    </font>
    <font>
      <sz val="10"/>
      <color rgb="FFFF0000"/>
      <name val="Arial"/>
      <family val="2"/>
    </font>
    <font>
      <b/>
      <sz val="10"/>
      <color rgb="FF333333"/>
      <name val="Arial"/>
      <family val="2"/>
    </font>
    <font>
      <b/>
      <sz val="10"/>
      <color rgb="FF000000"/>
      <name val="Arial"/>
      <family val="2"/>
    </font>
    <font>
      <b/>
      <i/>
      <sz val="11"/>
      <color theme="1"/>
      <name val="Aptos Narrow"/>
      <family val="2"/>
      <scheme val="minor"/>
    </font>
    <font>
      <i/>
      <sz val="11"/>
      <color theme="1"/>
      <name val="Aptos Narrow"/>
      <family val="2"/>
      <scheme val="minor"/>
    </font>
    <font>
      <sz val="11"/>
      <color rgb="FFFF0000"/>
      <name val="Aptos Narrow"/>
      <family val="2"/>
      <scheme val="minor"/>
    </font>
    <font>
      <u/>
      <sz val="11"/>
      <color theme="10"/>
      <name val="Aptos Narrow"/>
      <family val="2"/>
      <scheme val="minor"/>
    </font>
    <font>
      <sz val="11"/>
      <color theme="1"/>
      <name val="Times New Roman"/>
      <family val="2"/>
    </font>
    <font>
      <b/>
      <sz val="11"/>
      <color theme="1"/>
      <name val="Calibri"/>
      <family val="2"/>
    </font>
    <font>
      <sz val="11"/>
      <color theme="1"/>
      <name val="Calibri"/>
      <family val="2"/>
    </font>
    <font>
      <i/>
      <sz val="11"/>
      <color theme="1"/>
      <name val="Calibri"/>
      <family val="2"/>
    </font>
    <font>
      <sz val="11"/>
      <color rgb="FF0000FF"/>
      <name val="Calibri"/>
      <family val="2"/>
    </font>
    <font>
      <sz val="11"/>
      <name val="Calibri"/>
      <family val="2"/>
    </font>
    <font>
      <u/>
      <sz val="11"/>
      <color theme="10"/>
      <name val="Calibri"/>
      <family val="2"/>
    </font>
    <font>
      <sz val="10"/>
      <color theme="1"/>
      <name val="Times New Roman"/>
      <family val="1"/>
    </font>
    <font>
      <b/>
      <sz val="10"/>
      <color theme="1"/>
      <name val="Times New Roman"/>
      <family val="1"/>
    </font>
    <font>
      <b/>
      <i/>
      <sz val="10"/>
      <color theme="1"/>
      <name val="Times New Roman"/>
      <family val="1"/>
    </font>
    <font>
      <vertAlign val="superscript"/>
      <sz val="10"/>
      <color rgb="FF000000"/>
      <name val="Times New Roman"/>
      <family val="1"/>
    </font>
    <font>
      <u/>
      <sz val="11"/>
      <color rgb="FFFF0000"/>
      <name val="Aptos Narrow"/>
      <family val="2"/>
      <scheme val="minor"/>
    </font>
    <font>
      <sz val="10"/>
      <color rgb="FFFF0000"/>
      <name val="Times New Roman"/>
      <family val="1"/>
    </font>
    <font>
      <sz val="8"/>
      <color theme="1"/>
      <name val="Times New Roman"/>
      <family val="1"/>
    </font>
    <font>
      <sz val="10"/>
      <color theme="1"/>
      <name val="Aptos"/>
      <family val="2"/>
    </font>
    <font>
      <b/>
      <sz val="12"/>
      <color theme="1"/>
      <name val="Aptos Narrow"/>
      <family val="2"/>
      <scheme val="minor"/>
    </font>
    <font>
      <sz val="12"/>
      <color theme="1"/>
      <name val="Aptos Narrow"/>
      <family val="2"/>
      <scheme val="minor"/>
    </font>
    <font>
      <b/>
      <i/>
      <sz val="11"/>
      <color rgb="FF0070C0"/>
      <name val="Aptos Narrow"/>
      <family val="2"/>
      <scheme val="minor"/>
    </font>
    <font>
      <b/>
      <i/>
      <sz val="16"/>
      <color theme="1"/>
      <name val="Aptos Narrow"/>
      <family val="2"/>
      <scheme val="minor"/>
    </font>
    <font>
      <b/>
      <sz val="16"/>
      <color theme="1"/>
      <name val="Aptos Narrow"/>
      <family val="2"/>
      <scheme val="minor"/>
    </font>
    <font>
      <sz val="10"/>
      <color theme="1"/>
      <name val="Aptos Narrow"/>
      <family val="2"/>
      <scheme val="minor"/>
    </font>
    <font>
      <u/>
      <sz val="11"/>
      <color theme="1"/>
      <name val="Aptos Narrow"/>
      <family val="2"/>
      <scheme val="minor"/>
    </font>
    <font>
      <sz val="11"/>
      <name val="Aptos Narrow"/>
      <family val="2"/>
      <scheme val="minor"/>
    </font>
    <font>
      <b/>
      <sz val="12"/>
      <color rgb="FF000000"/>
      <name val="Aptos"/>
      <family val="2"/>
    </font>
    <font>
      <sz val="12"/>
      <color rgb="FF000000"/>
      <name val="Aptos"/>
      <family val="2"/>
    </font>
    <font>
      <sz val="10"/>
      <color rgb="FF000000"/>
      <name val="Aptos"/>
      <family val="2"/>
    </font>
    <font>
      <b/>
      <sz val="10"/>
      <color rgb="FF000000"/>
      <name val="Aptos"/>
      <family val="2"/>
    </font>
    <font>
      <b/>
      <sz val="11"/>
      <color rgb="FF000000"/>
      <name val="Calibri"/>
      <family val="2"/>
    </font>
    <font>
      <sz val="10"/>
      <color theme="1"/>
      <name val="Calibri"/>
      <family val="2"/>
    </font>
    <font>
      <sz val="10"/>
      <name val="Arial"/>
      <family val="2"/>
    </font>
    <font>
      <b/>
      <i/>
      <sz val="10"/>
      <color theme="0"/>
      <name val="Calibri"/>
      <family val="2"/>
    </font>
    <font>
      <b/>
      <i/>
      <sz val="10"/>
      <color rgb="FF0000FF"/>
      <name val="Calibri"/>
      <family val="2"/>
    </font>
    <font>
      <b/>
      <sz val="10"/>
      <name val="Calibri"/>
      <family val="2"/>
    </font>
    <font>
      <sz val="8"/>
      <name val="Calibri"/>
      <family val="2"/>
    </font>
    <font>
      <b/>
      <i/>
      <sz val="10"/>
      <name val="Calibri"/>
      <family val="2"/>
    </font>
    <font>
      <i/>
      <sz val="8"/>
      <name val="Calibri"/>
      <family val="2"/>
    </font>
    <font>
      <b/>
      <sz val="10"/>
      <color theme="0"/>
      <name val="Calibri"/>
      <family val="2"/>
    </font>
    <font>
      <b/>
      <sz val="8"/>
      <name val="Calibri"/>
      <family val="2"/>
    </font>
    <font>
      <b/>
      <sz val="8"/>
      <color theme="0"/>
      <name val="Calibri"/>
      <family val="2"/>
    </font>
    <font>
      <sz val="8"/>
      <color theme="0"/>
      <name val="Calibri"/>
      <family val="2"/>
    </font>
    <font>
      <vertAlign val="superscript"/>
      <sz val="14"/>
      <color theme="1"/>
      <name val="Aptos Narrow"/>
      <family val="2"/>
      <scheme val="minor"/>
    </font>
    <font>
      <sz val="9"/>
      <color theme="1"/>
      <name val="Aptos Narrow"/>
      <family val="2"/>
      <scheme val="minor"/>
    </font>
    <font>
      <b/>
      <vertAlign val="superscript"/>
      <sz val="11"/>
      <color theme="1"/>
      <name val="Aptos Narrow"/>
      <family val="2"/>
      <scheme val="minor"/>
    </font>
    <font>
      <b/>
      <sz val="11"/>
      <name val="Aptos Narrow"/>
      <family val="2"/>
      <scheme val="minor"/>
    </font>
    <font>
      <sz val="8"/>
      <name val="Aptos Narrow"/>
      <family val="2"/>
      <scheme val="minor"/>
    </font>
    <font>
      <sz val="10"/>
      <color rgb="FFFF0000"/>
      <name val="Aptos Narrow"/>
      <family val="2"/>
      <scheme val="minor"/>
    </font>
    <font>
      <sz val="9"/>
      <color rgb="FFFF0000"/>
      <name val="Aptos Narrow"/>
      <family val="2"/>
      <scheme val="minor"/>
    </font>
    <font>
      <i/>
      <sz val="11"/>
      <color rgb="FFFF0000"/>
      <name val="Aptos Narrow"/>
      <family val="2"/>
      <scheme val="minor"/>
    </font>
    <font>
      <sz val="10"/>
      <color rgb="FFC00000"/>
      <name val="Aptos Narrow"/>
      <family val="2"/>
      <scheme val="minor"/>
    </font>
    <font>
      <sz val="11"/>
      <color rgb="FFC00000"/>
      <name val="Aptos Narrow"/>
      <family val="2"/>
      <scheme val="minor"/>
    </font>
    <font>
      <sz val="9"/>
      <color rgb="FFC00000"/>
      <name val="Aptos Narrow"/>
      <family val="2"/>
      <scheme val="minor"/>
    </font>
    <font>
      <b/>
      <sz val="11"/>
      <color rgb="FFFF0000"/>
      <name val="Aptos Narrow"/>
      <family val="2"/>
      <scheme val="minor"/>
    </font>
    <font>
      <sz val="11"/>
      <color rgb="FFFF0000"/>
      <name val="Calibri"/>
      <family val="2"/>
    </font>
  </fonts>
  <fills count="25">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rgb="FFFAE2D5"/>
        <bgColor indexed="64"/>
      </patternFill>
    </fill>
    <fill>
      <patternFill patternType="solid">
        <fgColor rgb="FFA6A6A6"/>
        <bgColor indexed="64"/>
      </patternFill>
    </fill>
    <fill>
      <patternFill patternType="solid">
        <fgColor rgb="FFD9F2D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rgb="FFB5E6A2"/>
        <bgColor indexed="64"/>
      </patternFill>
    </fill>
    <fill>
      <patternFill patternType="solid">
        <fgColor rgb="FFFFFF00"/>
        <bgColor rgb="FF000000"/>
      </patternFill>
    </fill>
    <fill>
      <patternFill patternType="solid">
        <fgColor rgb="FFFFFFFF"/>
        <bgColor rgb="FF000000"/>
      </patternFill>
    </fill>
    <fill>
      <patternFill patternType="solid">
        <fgColor theme="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99"/>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rgb="FFFFC000"/>
        <bgColor indexed="64"/>
      </patternFill>
    </fill>
  </fills>
  <borders count="71">
    <border>
      <left/>
      <right/>
      <top/>
      <bottom/>
      <diagonal/>
    </border>
    <border>
      <left/>
      <right/>
      <top/>
      <bottom style="thin">
        <color indexed="64"/>
      </bottom>
      <diagonal/>
    </border>
    <border>
      <left style="thin">
        <color rgb="FFDDDDDD"/>
      </left>
      <right style="thin">
        <color rgb="FFDDDDDD"/>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indexed="64"/>
      </top>
      <bottom/>
      <diagonal/>
    </border>
    <border>
      <left style="thin">
        <color rgb="FFDDDDDD"/>
      </left>
      <right style="thin">
        <color rgb="FFDDDDDD"/>
      </right>
      <top style="thin">
        <color indexed="64"/>
      </top>
      <bottom style="thin">
        <color rgb="FFDDDDDD"/>
      </bottom>
      <diagonal/>
    </border>
    <border>
      <left style="thin">
        <color rgb="FFDDDDDD"/>
      </left>
      <right style="thin">
        <color rgb="FFDDDDDD"/>
      </right>
      <top/>
      <bottom style="thin">
        <color rgb="FFDDDDDD"/>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style="medium">
        <color indexed="64"/>
      </bottom>
      <diagonal/>
    </border>
    <border>
      <left style="medium">
        <color indexed="64"/>
      </left>
      <right/>
      <top/>
      <bottom/>
      <diagonal/>
    </border>
    <border>
      <left/>
      <right/>
      <top/>
      <bottom style="hair">
        <color indexed="64"/>
      </bottom>
      <diagonal/>
    </border>
    <border>
      <left style="thin">
        <color indexed="64"/>
      </left>
      <right/>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theme="1" tint="0.499984740745262"/>
      </left>
      <right style="hair">
        <color theme="1" tint="0.499984740745262"/>
      </right>
      <top style="hair">
        <color theme="1" tint="0.499984740745262"/>
      </top>
      <bottom style="hair">
        <color theme="1" tint="0.499984740745262"/>
      </bottom>
      <diagonal/>
    </border>
    <border>
      <left/>
      <right style="thin">
        <color indexed="64"/>
      </right>
      <top style="thin">
        <color indexed="64"/>
      </top>
      <bottom/>
      <diagonal/>
    </border>
    <border>
      <left style="hair">
        <color theme="1" tint="0.499984740745262"/>
      </left>
      <right style="hair">
        <color theme="1" tint="0.499984740745262"/>
      </right>
      <top style="hair">
        <color theme="1" tint="0.499984740745262"/>
      </top>
      <bottom/>
      <diagonal/>
    </border>
    <border>
      <left style="medium">
        <color indexed="64"/>
      </left>
      <right style="hair">
        <color theme="1" tint="0.499984740745262"/>
      </right>
      <top style="medium">
        <color indexed="64"/>
      </top>
      <bottom style="medium">
        <color indexed="64"/>
      </bottom>
      <diagonal/>
    </border>
    <border>
      <left style="hair">
        <color theme="1" tint="0.499984740745262"/>
      </left>
      <right style="hair">
        <color theme="1" tint="0.499984740745262"/>
      </right>
      <top style="medium">
        <color indexed="64"/>
      </top>
      <bottom style="medium">
        <color indexed="64"/>
      </bottom>
      <diagonal/>
    </border>
    <border>
      <left style="hair">
        <color theme="1" tint="0.499984740745262"/>
      </left>
      <right style="medium">
        <color indexed="64"/>
      </right>
      <top style="medium">
        <color indexed="64"/>
      </top>
      <bottom style="medium">
        <color indexed="64"/>
      </bottom>
      <diagonal/>
    </border>
  </borders>
  <cellStyleXfs count="14">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4" fontId="1" fillId="0" borderId="0" applyFont="0" applyFill="0" applyBorder="0" applyAlignment="0" applyProtection="0"/>
    <xf numFmtId="0" fontId="14" fillId="0" borderId="0" applyNumberFormat="0" applyFill="0" applyBorder="0" applyAlignment="0" applyProtection="0"/>
    <xf numFmtId="0" fontId="15" fillId="0" borderId="0"/>
    <xf numFmtId="9" fontId="15" fillId="0" borderId="0" applyFont="0" applyFill="0" applyBorder="0" applyAlignment="0" applyProtection="0"/>
    <xf numFmtId="0" fontId="43" fillId="0" borderId="0"/>
    <xf numFmtId="0" fontId="44" fillId="0" borderId="0"/>
    <xf numFmtId="9" fontId="43" fillId="0" borderId="0" applyFont="0" applyFill="0" applyBorder="0" applyAlignment="0" applyProtection="0"/>
    <xf numFmtId="44" fontId="44" fillId="0" borderId="0" applyFont="0" applyFill="0" applyBorder="0" applyAlignment="0" applyProtection="0"/>
  </cellStyleXfs>
  <cellXfs count="436">
    <xf numFmtId="0" fontId="0" fillId="0" borderId="0" xfId="0"/>
    <xf numFmtId="0" fontId="4" fillId="0" borderId="1" xfId="3" applyFont="1" applyBorder="1" applyAlignment="1">
      <alignment horizontal="center"/>
    </xf>
    <xf numFmtId="165" fontId="4" fillId="0" borderId="1" xfId="4" applyNumberFormat="1" applyFont="1" applyBorder="1" applyAlignment="1">
      <alignment horizontal="center"/>
    </xf>
    <xf numFmtId="0" fontId="3" fillId="0" borderId="0" xfId="3"/>
    <xf numFmtId="0" fontId="5" fillId="0" borderId="0" xfId="3" applyFont="1" applyAlignment="1">
      <alignment vertical="center" wrapText="1"/>
    </xf>
    <xf numFmtId="49" fontId="6" fillId="2" borderId="2" xfId="3" applyNumberFormat="1" applyFont="1" applyFill="1" applyBorder="1" applyAlignment="1">
      <alignment horizontal="left"/>
    </xf>
    <xf numFmtId="165" fontId="5" fillId="0" borderId="0" xfId="4" applyNumberFormat="1" applyFont="1" applyBorder="1" applyAlignment="1">
      <alignment vertical="center" wrapText="1"/>
    </xf>
    <xf numFmtId="0" fontId="7" fillId="0" borderId="0" xfId="3" applyFont="1" applyAlignment="1">
      <alignment vertical="center" wrapText="1"/>
    </xf>
    <xf numFmtId="0" fontId="8" fillId="0" borderId="0" xfId="3" applyFont="1"/>
    <xf numFmtId="0" fontId="5" fillId="0" borderId="0" xfId="3" applyFont="1"/>
    <xf numFmtId="49" fontId="6" fillId="2" borderId="3" xfId="3" applyNumberFormat="1" applyFont="1" applyFill="1" applyBorder="1" applyAlignment="1">
      <alignment horizontal="left"/>
    </xf>
    <xf numFmtId="0" fontId="4" fillId="0" borderId="4" xfId="3" applyFont="1" applyBorder="1"/>
    <xf numFmtId="49" fontId="9" fillId="2" borderId="5" xfId="3" applyNumberFormat="1" applyFont="1" applyFill="1" applyBorder="1" applyAlignment="1">
      <alignment horizontal="left"/>
    </xf>
    <xf numFmtId="165" fontId="4" fillId="0" borderId="4" xfId="4" applyNumberFormat="1" applyFont="1" applyBorder="1" applyAlignment="1">
      <alignment vertical="center" wrapText="1"/>
    </xf>
    <xf numFmtId="0" fontId="4" fillId="0" borderId="4" xfId="3" applyFont="1" applyBorder="1" applyAlignment="1">
      <alignment vertical="center" wrapText="1"/>
    </xf>
    <xf numFmtId="0" fontId="4" fillId="0" borderId="0" xfId="3" applyFont="1" applyAlignment="1">
      <alignment vertical="center" wrapText="1"/>
    </xf>
    <xf numFmtId="49" fontId="9" fillId="2" borderId="6" xfId="3" applyNumberFormat="1" applyFont="1" applyFill="1" applyBorder="1" applyAlignment="1">
      <alignment horizontal="left"/>
    </xf>
    <xf numFmtId="165" fontId="4" fillId="0" borderId="0" xfId="4" applyNumberFormat="1" applyFont="1" applyBorder="1" applyAlignment="1">
      <alignment vertical="center" wrapText="1"/>
    </xf>
    <xf numFmtId="0" fontId="4" fillId="0" borderId="7" xfId="3" applyFont="1" applyBorder="1"/>
    <xf numFmtId="0" fontId="4" fillId="0" borderId="7" xfId="3" applyFont="1" applyBorder="1" applyAlignment="1">
      <alignment vertical="center"/>
    </xf>
    <xf numFmtId="165" fontId="4" fillId="0" borderId="7" xfId="4" applyNumberFormat="1" applyFont="1" applyBorder="1" applyAlignment="1">
      <alignment vertical="center" wrapText="1"/>
    </xf>
    <xf numFmtId="165" fontId="3" fillId="0" borderId="0" xfId="3" applyNumberFormat="1"/>
    <xf numFmtId="0" fontId="3" fillId="0" borderId="0" xfId="5"/>
    <xf numFmtId="41" fontId="5" fillId="0" borderId="0" xfId="5" applyNumberFormat="1" applyFont="1" applyAlignment="1">
      <alignment vertical="center" wrapText="1"/>
    </xf>
    <xf numFmtId="41" fontId="7" fillId="0" borderId="0" xfId="5" applyNumberFormat="1" applyFont="1" applyAlignment="1">
      <alignment vertical="center" wrapText="1"/>
    </xf>
    <xf numFmtId="41" fontId="4" fillId="0" borderId="0" xfId="5" applyNumberFormat="1" applyFont="1" applyAlignment="1">
      <alignment vertical="center" wrapText="1"/>
    </xf>
    <xf numFmtId="41" fontId="4" fillId="0" borderId="0" xfId="5" applyNumberFormat="1" applyFont="1" applyAlignment="1">
      <alignment horizontal="center" vertical="center" wrapText="1"/>
    </xf>
    <xf numFmtId="0" fontId="5" fillId="0" borderId="0" xfId="5" applyFont="1" applyAlignment="1">
      <alignment vertical="center" wrapText="1"/>
    </xf>
    <xf numFmtId="0" fontId="4" fillId="0" borderId="0" xfId="5" applyFont="1" applyAlignment="1">
      <alignment horizontal="center" vertical="center" wrapText="1"/>
    </xf>
    <xf numFmtId="0" fontId="3" fillId="0" borderId="0" xfId="5" applyAlignment="1">
      <alignment horizontal="center"/>
    </xf>
    <xf numFmtId="0" fontId="3" fillId="0" borderId="0" xfId="5" applyAlignment="1">
      <alignment horizontal="center" wrapText="1"/>
    </xf>
    <xf numFmtId="41" fontId="6" fillId="0" borderId="2" xfId="5" applyNumberFormat="1" applyFont="1" applyBorder="1" applyAlignment="1">
      <alignment horizontal="left"/>
    </xf>
    <xf numFmtId="49" fontId="6" fillId="0" borderId="2" xfId="5" applyNumberFormat="1" applyFont="1" applyBorder="1" applyAlignment="1">
      <alignment horizontal="left"/>
    </xf>
    <xf numFmtId="41" fontId="6" fillId="0" borderId="3" xfId="5" applyNumberFormat="1" applyFont="1" applyBorder="1" applyAlignment="1">
      <alignment horizontal="left"/>
    </xf>
    <xf numFmtId="41" fontId="9" fillId="0" borderId="0" xfId="5" applyNumberFormat="1" applyFont="1" applyAlignment="1">
      <alignment horizontal="center"/>
    </xf>
    <xf numFmtId="41" fontId="3" fillId="0" borderId="0" xfId="5" applyNumberFormat="1"/>
    <xf numFmtId="49" fontId="6" fillId="0" borderId="3" xfId="5" applyNumberFormat="1" applyFont="1" applyBorder="1" applyAlignment="1">
      <alignment horizontal="left"/>
    </xf>
    <xf numFmtId="41" fontId="10" fillId="0" borderId="0" xfId="5" applyNumberFormat="1" applyFont="1" applyAlignment="1">
      <alignment horizontal="center"/>
    </xf>
    <xf numFmtId="0" fontId="10" fillId="0" borderId="0" xfId="5" applyFont="1" applyAlignment="1">
      <alignment horizontal="center"/>
    </xf>
    <xf numFmtId="49" fontId="9" fillId="0" borderId="0" xfId="5" applyNumberFormat="1" applyFont="1" applyAlignment="1">
      <alignment horizontal="center"/>
    </xf>
    <xf numFmtId="41" fontId="10" fillId="0" borderId="0" xfId="5" applyNumberFormat="1" applyFont="1"/>
    <xf numFmtId="0" fontId="10" fillId="0" borderId="0" xfId="5" applyFont="1"/>
    <xf numFmtId="0" fontId="11" fillId="0" borderId="0" xfId="0" applyFont="1"/>
    <xf numFmtId="0" fontId="12" fillId="0" borderId="0" xfId="0" applyFont="1" applyAlignment="1">
      <alignment horizontal="center"/>
    </xf>
    <xf numFmtId="0" fontId="2" fillId="0" borderId="8" xfId="0" applyFont="1" applyBorder="1" applyAlignment="1">
      <alignment horizontal="center" vertical="center" wrapText="1"/>
    </xf>
    <xf numFmtId="0" fontId="0" fillId="0" borderId="8" xfId="0" applyBorder="1" applyAlignment="1">
      <alignment horizontal="center"/>
    </xf>
    <xf numFmtId="0" fontId="2" fillId="0" borderId="9" xfId="0" applyFont="1" applyBorder="1" applyAlignment="1">
      <alignment horizontal="centerContinuous" vertical="center" wrapText="1"/>
    </xf>
    <xf numFmtId="0" fontId="2" fillId="0" borderId="10" xfId="0" applyFont="1" applyBorder="1" applyAlignment="1">
      <alignment horizontal="centerContinuous" vertical="center" wrapText="1"/>
    </xf>
    <xf numFmtId="165" fontId="0" fillId="0" borderId="8" xfId="1" applyNumberFormat="1" applyFont="1" applyBorder="1"/>
    <xf numFmtId="165" fontId="0" fillId="0" borderId="9" xfId="1" applyNumberFormat="1" applyFont="1" applyBorder="1"/>
    <xf numFmtId="43" fontId="0" fillId="0" borderId="8" xfId="1" applyFont="1" applyBorder="1"/>
    <xf numFmtId="9" fontId="0" fillId="0" borderId="8" xfId="2" applyFont="1" applyBorder="1"/>
    <xf numFmtId="165" fontId="0" fillId="0" borderId="8" xfId="0" applyNumberFormat="1" applyBorder="1"/>
    <xf numFmtId="165" fontId="0" fillId="0" borderId="10" xfId="0" applyNumberFormat="1" applyBorder="1"/>
    <xf numFmtId="2" fontId="0" fillId="0" borderId="8" xfId="0" applyNumberFormat="1" applyBorder="1"/>
    <xf numFmtId="165" fontId="0" fillId="0" borderId="0" xfId="0" applyNumberFormat="1"/>
    <xf numFmtId="43" fontId="0" fillId="0" borderId="0" xfId="0" applyNumberFormat="1"/>
    <xf numFmtId="165" fontId="0" fillId="0" borderId="4" xfId="0" applyNumberFormat="1" applyBorder="1"/>
    <xf numFmtId="0" fontId="2" fillId="0" borderId="8" xfId="0" applyFont="1" applyBorder="1" applyAlignment="1">
      <alignment horizontal="right"/>
    </xf>
    <xf numFmtId="0" fontId="2" fillId="0" borderId="8" xfId="0" applyFont="1" applyBorder="1"/>
    <xf numFmtId="165" fontId="0" fillId="0" borderId="0" xfId="1" applyNumberFormat="1" applyFont="1"/>
    <xf numFmtId="0" fontId="12" fillId="0" borderId="0" xfId="0" applyFont="1"/>
    <xf numFmtId="0" fontId="0" fillId="0" borderId="0" xfId="0" applyAlignment="1">
      <alignment wrapText="1"/>
    </xf>
    <xf numFmtId="0" fontId="16" fillId="3" borderId="0" xfId="8" applyFont="1" applyFill="1"/>
    <xf numFmtId="0" fontId="17" fillId="3" borderId="0" xfId="8" applyFont="1" applyFill="1"/>
    <xf numFmtId="0" fontId="17" fillId="0" borderId="0" xfId="8" applyFont="1"/>
    <xf numFmtId="0" fontId="18" fillId="0" borderId="0" xfId="8" applyFont="1" applyAlignment="1">
      <alignment horizontal="center"/>
    </xf>
    <xf numFmtId="0" fontId="18" fillId="3" borderId="0" xfId="8" applyFont="1" applyFill="1" applyAlignment="1">
      <alignment horizontal="center"/>
    </xf>
    <xf numFmtId="0" fontId="16" fillId="3" borderId="0" xfId="8" applyFont="1" applyFill="1" applyAlignment="1">
      <alignment horizontal="right"/>
    </xf>
    <xf numFmtId="0" fontId="16" fillId="0" borderId="8" xfId="8" applyFont="1" applyBorder="1" applyAlignment="1">
      <alignment horizontal="center" vertical="center" wrapText="1"/>
    </xf>
    <xf numFmtId="0" fontId="17" fillId="0" borderId="8" xfId="8" applyFont="1" applyBorder="1" applyAlignment="1">
      <alignment vertical="center"/>
    </xf>
    <xf numFmtId="0" fontId="16" fillId="3" borderId="8" xfId="8" applyFont="1" applyFill="1" applyBorder="1" applyAlignment="1">
      <alignment horizontal="center" vertical="center" wrapText="1"/>
    </xf>
    <xf numFmtId="166" fontId="17" fillId="3" borderId="8" xfId="8" applyNumberFormat="1" applyFont="1" applyFill="1" applyBorder="1"/>
    <xf numFmtId="0" fontId="17" fillId="3" borderId="8" xfId="8" applyFont="1" applyFill="1" applyBorder="1"/>
    <xf numFmtId="0" fontId="16" fillId="3" borderId="8" xfId="8" applyFont="1" applyFill="1" applyBorder="1" applyAlignment="1">
      <alignment horizontal="center" vertical="center"/>
    </xf>
    <xf numFmtId="0" fontId="19" fillId="3" borderId="8" xfId="8" applyFont="1" applyFill="1" applyBorder="1" applyAlignment="1">
      <alignment horizontal="center"/>
    </xf>
    <xf numFmtId="0" fontId="16" fillId="3" borderId="8" xfId="8" quotePrefix="1" applyFont="1" applyFill="1" applyBorder="1" applyAlignment="1">
      <alignment horizontal="center" vertical="center" wrapText="1"/>
    </xf>
    <xf numFmtId="0" fontId="16" fillId="3" borderId="8" xfId="8" quotePrefix="1" applyFont="1" applyFill="1" applyBorder="1" applyAlignment="1">
      <alignment horizontal="center" vertical="center"/>
    </xf>
    <xf numFmtId="0" fontId="17" fillId="3" borderId="8" xfId="8" applyFont="1" applyFill="1" applyBorder="1" applyAlignment="1">
      <alignment horizontal="center"/>
    </xf>
    <xf numFmtId="42" fontId="20" fillId="3" borderId="8" xfId="8" applyNumberFormat="1" applyFont="1" applyFill="1" applyBorder="1"/>
    <xf numFmtId="3" fontId="17" fillId="3" borderId="8" xfId="8" applyNumberFormat="1" applyFont="1" applyFill="1" applyBorder="1" applyAlignment="1">
      <alignment horizontal="center"/>
    </xf>
    <xf numFmtId="44" fontId="17" fillId="3" borderId="8" xfId="8" applyNumberFormat="1" applyFont="1" applyFill="1" applyBorder="1"/>
    <xf numFmtId="0" fontId="18" fillId="0" borderId="0" xfId="0" applyFont="1"/>
    <xf numFmtId="0" fontId="21" fillId="0" borderId="0" xfId="7" applyFont="1"/>
    <xf numFmtId="0" fontId="16" fillId="3" borderId="8" xfId="8" applyFont="1" applyFill="1" applyBorder="1" applyAlignment="1">
      <alignment horizontal="right" wrapText="1"/>
    </xf>
    <xf numFmtId="0" fontId="16" fillId="3" borderId="8" xfId="8" applyFont="1" applyFill="1" applyBorder="1" applyAlignment="1">
      <alignment horizontal="right"/>
    </xf>
    <xf numFmtId="42" fontId="16" fillId="3" borderId="8" xfId="8" applyNumberFormat="1" applyFont="1" applyFill="1" applyBorder="1"/>
    <xf numFmtId="3" fontId="16" fillId="3" borderId="8" xfId="8" applyNumberFormat="1" applyFont="1" applyFill="1" applyBorder="1" applyAlignment="1">
      <alignment horizontal="center"/>
    </xf>
    <xf numFmtId="0" fontId="16" fillId="3" borderId="8" xfId="8" applyFont="1" applyFill="1" applyBorder="1"/>
    <xf numFmtId="42" fontId="17" fillId="0" borderId="0" xfId="8" applyNumberFormat="1" applyFont="1"/>
    <xf numFmtId="167" fontId="17" fillId="0" borderId="0" xfId="9" applyNumberFormat="1" applyFont="1"/>
    <xf numFmtId="167" fontId="17" fillId="0" borderId="0" xfId="8" applyNumberFormat="1" applyFont="1"/>
    <xf numFmtId="2" fontId="17" fillId="0" borderId="0" xfId="8" applyNumberFormat="1" applyFont="1"/>
    <xf numFmtId="166" fontId="17" fillId="0" borderId="0" xfId="8" applyNumberFormat="1" applyFont="1"/>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6" xfId="0" applyFont="1" applyBorder="1" applyAlignment="1">
      <alignment horizontal="center" vertical="center" wrapText="1"/>
    </xf>
    <xf numFmtId="0" fontId="5" fillId="4" borderId="16" xfId="0" applyFont="1" applyFill="1" applyBorder="1" applyAlignment="1">
      <alignment vertical="center" wrapText="1"/>
    </xf>
    <xf numFmtId="0" fontId="14" fillId="4" borderId="16" xfId="7" applyFill="1" applyBorder="1" applyAlignment="1">
      <alignment vertical="center" wrapText="1"/>
    </xf>
    <xf numFmtId="0" fontId="5" fillId="4" borderId="16" xfId="0" applyFont="1" applyFill="1" applyBorder="1" applyAlignment="1">
      <alignment horizontal="right" vertical="center" wrapText="1"/>
    </xf>
    <xf numFmtId="0" fontId="22" fillId="5" borderId="16" xfId="0" applyFont="1" applyFill="1" applyBorder="1" applyAlignment="1">
      <alignment vertical="center" wrapText="1"/>
    </xf>
    <xf numFmtId="0" fontId="22" fillId="4" borderId="16" xfId="0" applyFont="1" applyFill="1" applyBorder="1" applyAlignment="1">
      <alignment vertical="center" wrapText="1"/>
    </xf>
    <xf numFmtId="0" fontId="26" fillId="4" borderId="16" xfId="7" applyFont="1" applyFill="1" applyBorder="1" applyAlignment="1">
      <alignment vertical="center" wrapText="1"/>
    </xf>
    <xf numFmtId="6" fontId="27" fillId="4" borderId="16" xfId="0" applyNumberFormat="1" applyFont="1" applyFill="1" applyBorder="1" applyAlignment="1">
      <alignment vertical="center" wrapText="1"/>
    </xf>
    <xf numFmtId="0" fontId="27" fillId="4" borderId="16" xfId="0" applyFont="1" applyFill="1" applyBorder="1" applyAlignment="1">
      <alignment vertical="center" wrapText="1"/>
    </xf>
    <xf numFmtId="0" fontId="5" fillId="6" borderId="16" xfId="0" applyFont="1" applyFill="1" applyBorder="1" applyAlignment="1">
      <alignment vertical="center" wrapText="1"/>
    </xf>
    <xf numFmtId="0" fontId="22" fillId="6" borderId="16" xfId="0" applyFont="1" applyFill="1" applyBorder="1" applyAlignment="1">
      <alignment vertical="center" wrapText="1"/>
    </xf>
    <xf numFmtId="168" fontId="0" fillId="0" borderId="0" xfId="0" applyNumberFormat="1"/>
    <xf numFmtId="0" fontId="5" fillId="6" borderId="11" xfId="0" applyFont="1" applyFill="1" applyBorder="1" applyAlignment="1">
      <alignment vertical="center" wrapText="1"/>
    </xf>
    <xf numFmtId="0" fontId="5" fillId="6" borderId="12" xfId="0" applyFont="1" applyFill="1" applyBorder="1" applyAlignment="1">
      <alignment vertical="center" wrapText="1"/>
    </xf>
    <xf numFmtId="0" fontId="22" fillId="6" borderId="12" xfId="0" applyFont="1" applyFill="1" applyBorder="1" applyAlignment="1">
      <alignment vertical="center" wrapText="1"/>
    </xf>
    <xf numFmtId="0" fontId="5" fillId="4" borderId="15" xfId="0" applyFont="1" applyFill="1" applyBorder="1" applyAlignment="1">
      <alignment vertical="center" wrapText="1"/>
    </xf>
    <xf numFmtId="0" fontId="28" fillId="0" borderId="0" xfId="0" applyFont="1" applyAlignment="1">
      <alignment vertical="center"/>
    </xf>
    <xf numFmtId="0" fontId="14" fillId="0" borderId="0" xfId="7" applyAlignment="1">
      <alignment vertical="center"/>
    </xf>
    <xf numFmtId="0" fontId="29" fillId="0" borderId="0" xfId="0" applyFont="1" applyAlignment="1">
      <alignment vertical="center"/>
    </xf>
    <xf numFmtId="0" fontId="26" fillId="0" borderId="0" xfId="7" applyFont="1" applyAlignment="1">
      <alignment vertical="center"/>
    </xf>
    <xf numFmtId="0" fontId="13" fillId="0" borderId="0" xfId="0" applyFont="1"/>
    <xf numFmtId="0" fontId="30" fillId="0" borderId="0" xfId="0" applyFont="1"/>
    <xf numFmtId="14" fontId="31" fillId="0" borderId="0" xfId="0" applyNumberFormat="1" applyFont="1"/>
    <xf numFmtId="3" fontId="0" fillId="0" borderId="0" xfId="0" applyNumberFormat="1"/>
    <xf numFmtId="0" fontId="2" fillId="7" borderId="8" xfId="0" applyFont="1" applyFill="1" applyBorder="1"/>
    <xf numFmtId="0" fontId="2" fillId="7" borderId="8" xfId="0" applyFont="1" applyFill="1" applyBorder="1" applyAlignment="1">
      <alignment wrapText="1"/>
    </xf>
    <xf numFmtId="0" fontId="2" fillId="8" borderId="8" xfId="0" applyFont="1" applyFill="1" applyBorder="1" applyAlignment="1">
      <alignment wrapText="1"/>
    </xf>
    <xf numFmtId="0" fontId="32" fillId="0" borderId="8" xfId="0" applyFont="1" applyBorder="1" applyAlignment="1">
      <alignment horizontal="right"/>
    </xf>
    <xf numFmtId="0" fontId="32" fillId="0" borderId="8" xfId="0" applyFont="1" applyBorder="1"/>
    <xf numFmtId="8" fontId="32" fillId="0" borderId="8" xfId="0" applyNumberFormat="1" applyFont="1" applyBorder="1" applyAlignment="1">
      <alignment wrapText="1"/>
    </xf>
    <xf numFmtId="0" fontId="2" fillId="0" borderId="8" xfId="0" applyFont="1" applyBorder="1" applyAlignment="1">
      <alignment wrapText="1"/>
    </xf>
    <xf numFmtId="0" fontId="0" fillId="0" borderId="8" xfId="0" applyBorder="1"/>
    <xf numFmtId="3" fontId="0" fillId="3" borderId="8" xfId="0" applyNumberFormat="1" applyFill="1" applyBorder="1"/>
    <xf numFmtId="3" fontId="0" fillId="0" borderId="8" xfId="0" applyNumberFormat="1" applyBorder="1"/>
    <xf numFmtId="169" fontId="0" fillId="0" borderId="8" xfId="0" applyNumberFormat="1" applyBorder="1"/>
    <xf numFmtId="169" fontId="2" fillId="0" borderId="8" xfId="0" applyNumberFormat="1" applyFont="1" applyBorder="1"/>
    <xf numFmtId="0" fontId="0" fillId="7" borderId="8" xfId="0" applyFill="1" applyBorder="1"/>
    <xf numFmtId="3" fontId="0" fillId="7" borderId="8" xfId="0" applyNumberFormat="1" applyFill="1" applyBorder="1"/>
    <xf numFmtId="169" fontId="0" fillId="7" borderId="8" xfId="0" applyNumberFormat="1" applyFill="1" applyBorder="1"/>
    <xf numFmtId="169" fontId="2" fillId="7" borderId="8" xfId="0" applyNumberFormat="1" applyFont="1" applyFill="1" applyBorder="1"/>
    <xf numFmtId="169" fontId="0" fillId="3" borderId="8" xfId="0" applyNumberFormat="1" applyFill="1" applyBorder="1"/>
    <xf numFmtId="169" fontId="2" fillId="3" borderId="8" xfId="0" applyNumberFormat="1" applyFont="1" applyFill="1" applyBorder="1"/>
    <xf numFmtId="3" fontId="2" fillId="0" borderId="8" xfId="0" applyNumberFormat="1" applyFont="1" applyBorder="1"/>
    <xf numFmtId="0" fontId="0" fillId="3" borderId="18" xfId="0" applyFill="1" applyBorder="1"/>
    <xf numFmtId="0" fontId="0" fillId="3" borderId="10" xfId="0" applyFill="1" applyBorder="1"/>
    <xf numFmtId="0" fontId="0" fillId="3" borderId="9" xfId="0" applyFill="1" applyBorder="1"/>
    <xf numFmtId="169" fontId="0" fillId="3" borderId="19" xfId="0" applyNumberFormat="1" applyFill="1" applyBorder="1"/>
    <xf numFmtId="169" fontId="0" fillId="3" borderId="20" xfId="0" applyNumberFormat="1" applyFill="1" applyBorder="1"/>
    <xf numFmtId="0" fontId="2" fillId="0" borderId="18" xfId="0" applyFont="1" applyBorder="1"/>
    <xf numFmtId="0" fontId="0" fillId="0" borderId="10" xfId="0" applyBorder="1"/>
    <xf numFmtId="169" fontId="2" fillId="0" borderId="21" xfId="0" applyNumberFormat="1" applyFont="1" applyBorder="1"/>
    <xf numFmtId="169" fontId="2" fillId="0" borderId="22" xfId="0" applyNumberFormat="1" applyFont="1" applyBorder="1"/>
    <xf numFmtId="169" fontId="2" fillId="0" borderId="12" xfId="0" applyNumberFormat="1" applyFont="1" applyBorder="1"/>
    <xf numFmtId="0" fontId="2" fillId="0" borderId="0" xfId="0" applyFont="1"/>
    <xf numFmtId="169" fontId="2" fillId="0" borderId="0" xfId="0" applyNumberFormat="1" applyFont="1"/>
    <xf numFmtId="0" fontId="33" fillId="0" borderId="0" xfId="0" applyFont="1"/>
    <xf numFmtId="0" fontId="34" fillId="0" borderId="0" xfId="0" applyFont="1"/>
    <xf numFmtId="0" fontId="2" fillId="0" borderId="8" xfId="0" quotePrefix="1" applyFont="1" applyBorder="1"/>
    <xf numFmtId="0" fontId="35" fillId="0" borderId="0" xfId="0" applyFont="1"/>
    <xf numFmtId="0" fontId="0" fillId="0" borderId="0" xfId="0" quotePrefix="1"/>
    <xf numFmtId="0" fontId="36" fillId="0" borderId="0" xfId="0" applyFont="1"/>
    <xf numFmtId="0" fontId="37" fillId="0" borderId="0" xfId="0" applyFont="1"/>
    <xf numFmtId="0" fontId="38" fillId="10" borderId="11" xfId="0" applyFont="1" applyFill="1" applyBorder="1" applyAlignment="1">
      <alignment horizontal="center" vertical="center"/>
    </xf>
    <xf numFmtId="0" fontId="38" fillId="10" borderId="12" xfId="0" applyFont="1" applyFill="1" applyBorder="1" applyAlignment="1">
      <alignment horizontal="center" vertical="center"/>
    </xf>
    <xf numFmtId="0" fontId="39" fillId="0" borderId="15" xfId="0" applyFont="1" applyBorder="1" applyAlignment="1">
      <alignment vertical="center"/>
    </xf>
    <xf numFmtId="169" fontId="40" fillId="0" borderId="16" xfId="0" applyNumberFormat="1" applyFont="1" applyBorder="1" applyAlignment="1">
      <alignment horizontal="right"/>
    </xf>
    <xf numFmtId="0" fontId="38" fillId="0" borderId="15" xfId="0" applyFont="1" applyBorder="1" applyAlignment="1">
      <alignment horizontal="center" vertical="center"/>
    </xf>
    <xf numFmtId="169" fontId="41" fillId="0" borderId="16" xfId="0" applyNumberFormat="1" applyFont="1" applyBorder="1" applyAlignment="1">
      <alignment horizontal="right"/>
    </xf>
    <xf numFmtId="0" fontId="39" fillId="7" borderId="0" xfId="0" applyFont="1" applyFill="1" applyAlignment="1">
      <alignment vertical="center"/>
    </xf>
    <xf numFmtId="0" fontId="42" fillId="11" borderId="8" xfId="0" applyFont="1" applyFill="1" applyBorder="1" applyAlignment="1">
      <alignment wrapText="1"/>
    </xf>
    <xf numFmtId="0" fontId="17" fillId="12" borderId="18" xfId="0" applyFont="1" applyFill="1" applyBorder="1"/>
    <xf numFmtId="0" fontId="42" fillId="0" borderId="18" xfId="0" applyFont="1" applyBorder="1"/>
    <xf numFmtId="169" fontId="0" fillId="0" borderId="0" xfId="0" applyNumberFormat="1"/>
    <xf numFmtId="0" fontId="43" fillId="0" borderId="0" xfId="10"/>
    <xf numFmtId="0" fontId="43" fillId="0" borderId="0" xfId="10" applyAlignment="1">
      <alignment horizontal="center"/>
    </xf>
    <xf numFmtId="0" fontId="45" fillId="13" borderId="23" xfId="11" applyFont="1" applyFill="1" applyBorder="1" applyAlignment="1">
      <alignment vertical="center"/>
    </xf>
    <xf numFmtId="0" fontId="46" fillId="0" borderId="25" xfId="11" applyFont="1" applyBorder="1" applyAlignment="1">
      <alignment horizontal="center" vertical="center"/>
    </xf>
    <xf numFmtId="0" fontId="47" fillId="14" borderId="22" xfId="11" applyFont="1" applyFill="1" applyBorder="1" applyAlignment="1">
      <alignment horizontal="left" vertical="center"/>
    </xf>
    <xf numFmtId="0" fontId="47" fillId="14" borderId="22" xfId="11" applyFont="1" applyFill="1" applyBorder="1" applyAlignment="1">
      <alignment horizontal="center" vertical="center"/>
    </xf>
    <xf numFmtId="166" fontId="47" fillId="14" borderId="26" xfId="11" applyNumberFormat="1" applyFont="1" applyFill="1" applyBorder="1" applyAlignment="1">
      <alignment horizontal="left" vertical="center"/>
    </xf>
    <xf numFmtId="0" fontId="48" fillId="0" borderId="0" xfId="11" applyFont="1" applyAlignment="1">
      <alignment vertical="center"/>
    </xf>
    <xf numFmtId="0" fontId="45" fillId="13" borderId="27" xfId="11" applyFont="1" applyFill="1" applyBorder="1" applyAlignment="1">
      <alignment vertical="center"/>
    </xf>
    <xf numFmtId="0" fontId="46" fillId="0" borderId="0" xfId="11" applyFont="1" applyAlignment="1">
      <alignment horizontal="center" vertical="center"/>
    </xf>
    <xf numFmtId="166" fontId="47" fillId="15" borderId="28" xfId="11" applyNumberFormat="1" applyFont="1" applyFill="1" applyBorder="1" applyAlignment="1">
      <alignment horizontal="left" vertical="center"/>
    </xf>
    <xf numFmtId="166" fontId="47" fillId="15" borderId="28" xfId="11" applyNumberFormat="1" applyFont="1" applyFill="1" applyBorder="1" applyAlignment="1">
      <alignment horizontal="center" vertical="center"/>
    </xf>
    <xf numFmtId="166" fontId="49" fillId="15" borderId="29" xfId="6" applyNumberFormat="1" applyFont="1" applyFill="1" applyBorder="1" applyAlignment="1">
      <alignment vertical="center"/>
    </xf>
    <xf numFmtId="17" fontId="46" fillId="0" borderId="0" xfId="11" applyNumberFormat="1" applyFont="1" applyAlignment="1">
      <alignment horizontal="center" vertical="center"/>
    </xf>
    <xf numFmtId="166" fontId="47" fillId="16" borderId="30" xfId="11" applyNumberFormat="1" applyFont="1" applyFill="1" applyBorder="1" applyAlignment="1">
      <alignment horizontal="left" vertical="center"/>
    </xf>
    <xf numFmtId="166" fontId="47" fillId="16" borderId="30" xfId="11" applyNumberFormat="1" applyFont="1" applyFill="1" applyBorder="1" applyAlignment="1">
      <alignment horizontal="center" vertical="center"/>
    </xf>
    <xf numFmtId="166" fontId="49" fillId="16" borderId="31" xfId="6" applyNumberFormat="1" applyFont="1" applyFill="1" applyBorder="1" applyAlignment="1">
      <alignment vertical="center"/>
    </xf>
    <xf numFmtId="166" fontId="47" fillId="15" borderId="32" xfId="11" applyNumberFormat="1" applyFont="1" applyFill="1" applyBorder="1" applyAlignment="1">
      <alignment horizontal="left" vertical="center"/>
    </xf>
    <xf numFmtId="166" fontId="47" fillId="15" borderId="33" xfId="11" applyNumberFormat="1" applyFont="1" applyFill="1" applyBorder="1" applyAlignment="1">
      <alignment horizontal="center" vertical="center"/>
    </xf>
    <xf numFmtId="166" fontId="49" fillId="15" borderId="34" xfId="6" applyNumberFormat="1" applyFont="1" applyFill="1" applyBorder="1" applyAlignment="1">
      <alignment vertical="center"/>
    </xf>
    <xf numFmtId="10" fontId="46" fillId="0" borderId="0" xfId="12" applyNumberFormat="1" applyFont="1" applyFill="1" applyBorder="1" applyAlignment="1">
      <alignment horizontal="center" vertical="center"/>
    </xf>
    <xf numFmtId="166" fontId="47" fillId="15" borderId="35" xfId="11" applyNumberFormat="1" applyFont="1" applyFill="1" applyBorder="1" applyAlignment="1">
      <alignment horizontal="left" vertical="center"/>
    </xf>
    <xf numFmtId="166" fontId="47" fillId="15" borderId="36" xfId="11" applyNumberFormat="1" applyFont="1" applyFill="1" applyBorder="1" applyAlignment="1">
      <alignment horizontal="center" vertical="center"/>
    </xf>
    <xf numFmtId="166" fontId="49" fillId="15" borderId="37" xfId="6" applyNumberFormat="1" applyFont="1" applyFill="1" applyBorder="1" applyAlignment="1">
      <alignment vertical="center"/>
    </xf>
    <xf numFmtId="0" fontId="45" fillId="13" borderId="38" xfId="11" applyFont="1" applyFill="1" applyBorder="1" applyAlignment="1">
      <alignment vertical="center"/>
    </xf>
    <xf numFmtId="10" fontId="46" fillId="0" borderId="39" xfId="12" applyNumberFormat="1" applyFont="1" applyFill="1" applyBorder="1" applyAlignment="1">
      <alignment horizontal="center" vertical="center"/>
    </xf>
    <xf numFmtId="166" fontId="49" fillId="7" borderId="22" xfId="11" applyNumberFormat="1" applyFont="1" applyFill="1" applyBorder="1" applyAlignment="1">
      <alignment vertical="center"/>
    </xf>
    <xf numFmtId="166" fontId="49" fillId="7" borderId="40" xfId="11" applyNumberFormat="1" applyFont="1" applyFill="1" applyBorder="1" applyAlignment="1">
      <alignment horizontal="center" vertical="center"/>
    </xf>
    <xf numFmtId="166" fontId="49" fillId="7" borderId="41" xfId="6" applyNumberFormat="1" applyFont="1" applyFill="1" applyBorder="1" applyAlignment="1">
      <alignment vertical="center"/>
    </xf>
    <xf numFmtId="0" fontId="50" fillId="0" borderId="0" xfId="11" applyFont="1" applyAlignment="1">
      <alignment vertical="center"/>
    </xf>
    <xf numFmtId="0" fontId="45" fillId="13" borderId="39" xfId="11" applyFont="1" applyFill="1" applyBorder="1" applyAlignment="1">
      <alignment vertical="center"/>
    </xf>
    <xf numFmtId="0" fontId="45" fillId="13" borderId="39" xfId="11" applyFont="1" applyFill="1" applyBorder="1" applyAlignment="1">
      <alignment horizontal="center" vertical="center"/>
    </xf>
    <xf numFmtId="166" fontId="51" fillId="13" borderId="39" xfId="11" applyNumberFormat="1" applyFont="1" applyFill="1" applyBorder="1" applyAlignment="1">
      <alignment vertical="center"/>
    </xf>
    <xf numFmtId="0" fontId="47" fillId="3" borderId="42" xfId="11" applyFont="1" applyFill="1" applyBorder="1" applyAlignment="1">
      <alignment horizontal="left" vertical="center" indent="2"/>
    </xf>
    <xf numFmtId="0" fontId="48" fillId="3" borderId="43" xfId="11" applyFont="1" applyFill="1" applyBorder="1" applyAlignment="1">
      <alignment vertical="center"/>
    </xf>
    <xf numFmtId="0" fontId="47" fillId="3" borderId="43" xfId="11" applyFont="1" applyFill="1" applyBorder="1" applyAlignment="1">
      <alignment horizontal="left" vertical="center"/>
    </xf>
    <xf numFmtId="0" fontId="47" fillId="3" borderId="43" xfId="11" applyFont="1" applyFill="1" applyBorder="1" applyAlignment="1">
      <alignment horizontal="center" vertical="center"/>
    </xf>
    <xf numFmtId="0" fontId="52" fillId="0" borderId="44" xfId="11" applyFont="1" applyBorder="1" applyAlignment="1">
      <alignment horizontal="center" vertical="center"/>
    </xf>
    <xf numFmtId="0" fontId="47" fillId="3" borderId="45" xfId="11" applyFont="1" applyFill="1" applyBorder="1" applyAlignment="1">
      <alignment horizontal="left" vertical="center" indent="2"/>
    </xf>
    <xf numFmtId="0" fontId="48" fillId="3" borderId="46" xfId="11" applyFont="1" applyFill="1" applyBorder="1" applyAlignment="1">
      <alignment vertical="center"/>
    </xf>
    <xf numFmtId="0" fontId="47" fillId="3" borderId="46" xfId="11" applyFont="1" applyFill="1" applyBorder="1" applyAlignment="1">
      <alignment horizontal="left" vertical="center"/>
    </xf>
    <xf numFmtId="0" fontId="48" fillId="3" borderId="46" xfId="11" applyFont="1" applyFill="1" applyBorder="1" applyAlignment="1">
      <alignment horizontal="center" vertical="center"/>
    </xf>
    <xf numFmtId="0" fontId="52" fillId="0" borderId="47" xfId="11" applyFont="1" applyBorder="1" applyAlignment="1">
      <alignment horizontal="center" vertical="center"/>
    </xf>
    <xf numFmtId="0" fontId="47" fillId="3" borderId="48" xfId="11" applyFont="1" applyFill="1" applyBorder="1" applyAlignment="1">
      <alignment horizontal="left" vertical="center" indent="2"/>
    </xf>
    <xf numFmtId="0" fontId="48" fillId="3" borderId="49" xfId="11" applyFont="1" applyFill="1" applyBorder="1" applyAlignment="1">
      <alignment vertical="center"/>
    </xf>
    <xf numFmtId="0" fontId="47" fillId="3" borderId="49" xfId="11" applyFont="1" applyFill="1" applyBorder="1" applyAlignment="1">
      <alignment horizontal="left" vertical="center"/>
    </xf>
    <xf numFmtId="0" fontId="48" fillId="3" borderId="49" xfId="11" applyFont="1" applyFill="1" applyBorder="1" applyAlignment="1">
      <alignment horizontal="center" vertical="center"/>
    </xf>
    <xf numFmtId="0" fontId="52" fillId="0" borderId="37" xfId="11" applyFont="1" applyBorder="1" applyAlignment="1">
      <alignment horizontal="center" vertical="center"/>
    </xf>
    <xf numFmtId="0" fontId="45" fillId="13" borderId="50" xfId="11" applyFont="1" applyFill="1" applyBorder="1" applyAlignment="1">
      <alignment vertical="center"/>
    </xf>
    <xf numFmtId="0" fontId="45" fillId="13" borderId="51" xfId="11" applyFont="1" applyFill="1" applyBorder="1" applyAlignment="1">
      <alignment vertical="center"/>
    </xf>
    <xf numFmtId="166" fontId="53" fillId="13" borderId="51" xfId="11" applyNumberFormat="1" applyFont="1" applyFill="1" applyBorder="1" applyAlignment="1">
      <alignment vertical="center"/>
    </xf>
    <xf numFmtId="166" fontId="53" fillId="13" borderId="25" xfId="11" applyNumberFormat="1" applyFont="1" applyFill="1" applyBorder="1" applyAlignment="1">
      <alignment vertical="center"/>
    </xf>
    <xf numFmtId="0" fontId="53" fillId="13" borderId="52" xfId="11" applyFont="1" applyFill="1" applyBorder="1" applyAlignment="1">
      <alignment horizontal="center" vertical="center"/>
    </xf>
    <xf numFmtId="166" fontId="51" fillId="13" borderId="25" xfId="11" applyNumberFormat="1" applyFont="1" applyFill="1" applyBorder="1" applyAlignment="1">
      <alignment vertical="center"/>
    </xf>
    <xf numFmtId="0" fontId="47" fillId="15" borderId="8" xfId="11" applyFont="1" applyFill="1" applyBorder="1" applyAlignment="1">
      <alignment horizontal="left" vertical="center"/>
    </xf>
    <xf numFmtId="0" fontId="47" fillId="15" borderId="10" xfId="11" applyFont="1" applyFill="1" applyBorder="1" applyAlignment="1">
      <alignment horizontal="left" vertical="center"/>
    </xf>
    <xf numFmtId="0" fontId="47" fillId="15" borderId="54" xfId="11" applyFont="1" applyFill="1" applyBorder="1" applyAlignment="1">
      <alignment horizontal="center" vertical="center"/>
    </xf>
    <xf numFmtId="166" fontId="47" fillId="15" borderId="11" xfId="11" applyNumberFormat="1" applyFont="1" applyFill="1" applyBorder="1" applyAlignment="1">
      <alignment vertical="center"/>
    </xf>
    <xf numFmtId="44" fontId="48" fillId="0" borderId="8" xfId="6" applyFont="1" applyFill="1" applyBorder="1" applyAlignment="1">
      <alignment horizontal="left" vertical="center"/>
    </xf>
    <xf numFmtId="9" fontId="48" fillId="3" borderId="8" xfId="12" applyFont="1" applyFill="1" applyBorder="1" applyAlignment="1">
      <alignment horizontal="left" vertical="center"/>
    </xf>
    <xf numFmtId="44" fontId="54" fillId="3" borderId="8" xfId="6" applyFont="1" applyFill="1" applyBorder="1" applyAlignment="1">
      <alignment horizontal="left" vertical="center"/>
    </xf>
    <xf numFmtId="44" fontId="54" fillId="3" borderId="10" xfId="6" applyFont="1" applyFill="1" applyBorder="1" applyAlignment="1">
      <alignment horizontal="left" vertical="center"/>
    </xf>
    <xf numFmtId="1" fontId="48" fillId="0" borderId="54" xfId="11" applyNumberFormat="1" applyFont="1" applyBorder="1" applyAlignment="1">
      <alignment horizontal="center" vertical="center"/>
    </xf>
    <xf numFmtId="166" fontId="54" fillId="0" borderId="1" xfId="13" applyNumberFormat="1" applyFont="1" applyFill="1" applyBorder="1" applyAlignment="1">
      <alignment vertical="center"/>
    </xf>
    <xf numFmtId="166" fontId="48" fillId="0" borderId="0" xfId="11" applyNumberFormat="1" applyFont="1" applyAlignment="1">
      <alignment vertical="center"/>
    </xf>
    <xf numFmtId="44" fontId="48" fillId="0" borderId="10" xfId="6" applyFont="1" applyFill="1" applyBorder="1" applyAlignment="1">
      <alignment horizontal="left" vertical="center"/>
    </xf>
    <xf numFmtId="44" fontId="48" fillId="3" borderId="20" xfId="6" applyFont="1" applyFill="1" applyBorder="1" applyAlignment="1">
      <alignment horizontal="left" vertical="center"/>
    </xf>
    <xf numFmtId="44" fontId="48" fillId="0" borderId="20" xfId="6" applyFont="1" applyFill="1" applyBorder="1" applyAlignment="1">
      <alignment horizontal="left" vertical="center"/>
    </xf>
    <xf numFmtId="44" fontId="48" fillId="0" borderId="56" xfId="6" applyFont="1" applyFill="1" applyBorder="1" applyAlignment="1">
      <alignment horizontal="left" vertical="center"/>
    </xf>
    <xf numFmtId="1" fontId="48" fillId="0" borderId="57" xfId="11" applyNumberFormat="1" applyFont="1" applyBorder="1" applyAlignment="1">
      <alignment horizontal="center" vertical="center"/>
    </xf>
    <xf numFmtId="166" fontId="54" fillId="0" borderId="39" xfId="13" applyNumberFormat="1" applyFont="1" applyBorder="1" applyAlignment="1">
      <alignment vertical="center"/>
    </xf>
    <xf numFmtId="0" fontId="48" fillId="3" borderId="58" xfId="11" applyFont="1" applyFill="1" applyBorder="1" applyAlignment="1">
      <alignment horizontal="left" vertical="center" indent="4"/>
    </xf>
    <xf numFmtId="0" fontId="48" fillId="3" borderId="0" xfId="11" applyFont="1" applyFill="1" applyAlignment="1">
      <alignment horizontal="left" vertical="center" indent="2"/>
    </xf>
    <xf numFmtId="0" fontId="48" fillId="3" borderId="0" xfId="11" applyFont="1" applyFill="1" applyAlignment="1">
      <alignment horizontal="center" vertical="center"/>
    </xf>
    <xf numFmtId="166" fontId="48" fillId="0" borderId="59" xfId="13" applyNumberFormat="1" applyFont="1" applyBorder="1" applyAlignment="1">
      <alignment vertical="center"/>
    </xf>
    <xf numFmtId="0" fontId="47" fillId="14" borderId="11" xfId="11" applyFont="1" applyFill="1" applyBorder="1" applyAlignment="1">
      <alignment horizontal="left" vertical="center"/>
    </xf>
    <xf numFmtId="166" fontId="47" fillId="14" borderId="12" xfId="11" applyNumberFormat="1" applyFont="1" applyFill="1" applyBorder="1" applyAlignment="1">
      <alignment horizontal="center" vertical="center"/>
    </xf>
    <xf numFmtId="166" fontId="49" fillId="7" borderId="15" xfId="11" applyNumberFormat="1" applyFont="1" applyFill="1" applyBorder="1" applyAlignment="1">
      <alignment vertical="center"/>
    </xf>
    <xf numFmtId="44" fontId="49" fillId="7" borderId="16" xfId="6" applyFont="1" applyFill="1" applyBorder="1" applyAlignment="1">
      <alignment vertical="center"/>
    </xf>
    <xf numFmtId="166" fontId="51" fillId="13" borderId="24" xfId="11" applyNumberFormat="1" applyFont="1" applyFill="1" applyBorder="1" applyAlignment="1">
      <alignment horizontal="center" vertical="center"/>
    </xf>
    <xf numFmtId="0" fontId="47" fillId="15" borderId="61" xfId="11" applyFont="1" applyFill="1" applyBorder="1" applyAlignment="1">
      <alignment horizontal="center" vertical="center"/>
    </xf>
    <xf numFmtId="44" fontId="47" fillId="15" borderId="13" xfId="6" applyFont="1" applyFill="1" applyBorder="1" applyAlignment="1">
      <alignment horizontal="center" vertical="center"/>
    </xf>
    <xf numFmtId="0" fontId="43" fillId="0" borderId="18" xfId="10" applyBorder="1" applyAlignment="1">
      <alignment horizontal="center"/>
    </xf>
    <xf numFmtId="44" fontId="0" fillId="0" borderId="62" xfId="6" applyFont="1" applyBorder="1"/>
    <xf numFmtId="0" fontId="43" fillId="0" borderId="57" xfId="10" applyBorder="1" applyAlignment="1">
      <alignment horizontal="center"/>
    </xf>
    <xf numFmtId="166" fontId="48" fillId="0" borderId="15" xfId="13" applyNumberFormat="1" applyFont="1" applyBorder="1" applyAlignment="1">
      <alignment vertical="center"/>
    </xf>
    <xf numFmtId="0" fontId="2" fillId="7" borderId="0" xfId="0" applyFont="1" applyFill="1" applyAlignment="1">
      <alignment horizontal="center" vertical="center" wrapText="1"/>
    </xf>
    <xf numFmtId="0" fontId="35" fillId="17" borderId="0" xfId="0" applyFont="1" applyFill="1" applyAlignment="1">
      <alignment horizontal="center" vertical="center" wrapText="1"/>
    </xf>
    <xf numFmtId="0" fontId="35" fillId="18" borderId="0" xfId="0" applyFont="1" applyFill="1" applyAlignment="1">
      <alignment horizontal="center" vertical="center" wrapText="1"/>
    </xf>
    <xf numFmtId="0" fontId="2" fillId="19" borderId="0" xfId="0" applyFont="1" applyFill="1" applyAlignment="1">
      <alignment horizontal="center" vertical="center" wrapText="1"/>
    </xf>
    <xf numFmtId="0" fontId="35" fillId="16" borderId="0" xfId="0" applyFont="1" applyFill="1" applyAlignment="1">
      <alignment horizontal="center" vertical="center" wrapText="1"/>
    </xf>
    <xf numFmtId="0" fontId="2" fillId="20" borderId="0" xfId="0" applyFont="1" applyFill="1" applyAlignment="1">
      <alignment horizontal="center" vertical="center" wrapText="1"/>
    </xf>
    <xf numFmtId="0" fontId="35" fillId="17" borderId="65" xfId="0" quotePrefix="1" applyFont="1" applyFill="1" applyBorder="1" applyAlignment="1">
      <alignment horizontal="center" vertical="center"/>
    </xf>
    <xf numFmtId="0" fontId="0" fillId="17" borderId="65" xfId="0" applyFill="1" applyBorder="1" applyAlignment="1">
      <alignment vertical="center" wrapText="1"/>
    </xf>
    <xf numFmtId="165" fontId="0" fillId="17" borderId="65" xfId="0" applyNumberFormat="1" applyFill="1" applyBorder="1" applyAlignment="1">
      <alignment vertical="center" wrapText="1"/>
    </xf>
    <xf numFmtId="0" fontId="35" fillId="18" borderId="65" xfId="0" quotePrefix="1" applyFont="1" applyFill="1" applyBorder="1" applyAlignment="1">
      <alignment horizontal="center" vertical="center"/>
    </xf>
    <xf numFmtId="0" fontId="0" fillId="18" borderId="65" xfId="0" applyFill="1" applyBorder="1" applyAlignment="1">
      <alignment vertical="center" wrapText="1"/>
    </xf>
    <xf numFmtId="164" fontId="0" fillId="18" borderId="65" xfId="2" applyNumberFormat="1" applyFont="1" applyFill="1" applyBorder="1" applyAlignment="1">
      <alignment vertical="center" wrapText="1"/>
    </xf>
    <xf numFmtId="43" fontId="0" fillId="18" borderId="65" xfId="1" applyFont="1" applyFill="1" applyBorder="1" applyAlignment="1">
      <alignment vertical="center" wrapText="1"/>
    </xf>
    <xf numFmtId="0" fontId="35" fillId="16" borderId="65" xfId="0" quotePrefix="1" applyFont="1" applyFill="1" applyBorder="1" applyAlignment="1">
      <alignment horizontal="center" vertical="center"/>
    </xf>
    <xf numFmtId="0" fontId="0" fillId="16" borderId="65" xfId="0" applyFill="1" applyBorder="1" applyAlignment="1">
      <alignment vertical="center" wrapText="1"/>
    </xf>
    <xf numFmtId="165" fontId="0" fillId="16" borderId="65" xfId="1" applyNumberFormat="1" applyFont="1" applyFill="1" applyBorder="1" applyAlignment="1">
      <alignment vertical="center" wrapText="1"/>
    </xf>
    <xf numFmtId="10" fontId="0" fillId="16" borderId="65" xfId="2" applyNumberFormat="1" applyFont="1" applyFill="1" applyBorder="1" applyAlignment="1">
      <alignment vertical="center" wrapText="1"/>
    </xf>
    <xf numFmtId="0" fontId="12" fillId="16" borderId="65" xfId="0" applyFont="1" applyFill="1" applyBorder="1" applyAlignment="1">
      <alignment horizontal="right" vertical="center" wrapText="1"/>
    </xf>
    <xf numFmtId="165" fontId="12" fillId="16" borderId="65" xfId="1" applyNumberFormat="1" applyFont="1" applyFill="1" applyBorder="1" applyAlignment="1">
      <alignment vertical="center" wrapText="1"/>
    </xf>
    <xf numFmtId="9" fontId="0" fillId="16" borderId="65" xfId="2" applyFont="1" applyFill="1" applyBorder="1" applyAlignment="1">
      <alignment vertical="center" wrapText="1"/>
    </xf>
    <xf numFmtId="9" fontId="0" fillId="16" borderId="65" xfId="0" applyNumberFormat="1" applyFill="1" applyBorder="1" applyAlignment="1">
      <alignment vertical="center" wrapText="1"/>
    </xf>
    <xf numFmtId="165" fontId="0" fillId="16" borderId="65" xfId="0" applyNumberFormat="1" applyFill="1" applyBorder="1" applyAlignment="1">
      <alignment vertical="center" wrapText="1"/>
    </xf>
    <xf numFmtId="0" fontId="0" fillId="16" borderId="65" xfId="0" applyFill="1" applyBorder="1" applyAlignment="1">
      <alignment horizontal="left" vertical="center" wrapText="1"/>
    </xf>
    <xf numFmtId="165" fontId="0" fillId="16" borderId="65" xfId="1" applyNumberFormat="1" applyFont="1" applyFill="1" applyBorder="1" applyAlignment="1">
      <alignment vertical="center"/>
    </xf>
    <xf numFmtId="43" fontId="0" fillId="18" borderId="65" xfId="1" applyFont="1" applyFill="1" applyBorder="1" applyAlignment="1">
      <alignment vertical="center"/>
    </xf>
    <xf numFmtId="0" fontId="0" fillId="16" borderId="65" xfId="0" applyFill="1" applyBorder="1" applyAlignment="1">
      <alignment horizontal="left" vertical="center"/>
    </xf>
    <xf numFmtId="0" fontId="0" fillId="16" borderId="65" xfId="0" applyFill="1" applyBorder="1" applyAlignment="1">
      <alignment vertical="center"/>
    </xf>
    <xf numFmtId="0" fontId="0" fillId="18" borderId="0" xfId="0" applyFill="1" applyAlignment="1">
      <alignment vertical="center"/>
    </xf>
    <xf numFmtId="0" fontId="0" fillId="19" borderId="0" xfId="0" applyFill="1" applyAlignment="1">
      <alignment vertical="center"/>
    </xf>
    <xf numFmtId="0" fontId="0" fillId="17" borderId="0" xfId="0" applyFill="1" applyAlignment="1">
      <alignment vertical="center"/>
    </xf>
    <xf numFmtId="0" fontId="0" fillId="7" borderId="0" xfId="0" applyFill="1" applyAlignment="1">
      <alignment vertical="center"/>
    </xf>
    <xf numFmtId="0" fontId="0" fillId="16" borderId="0" xfId="0" applyFill="1" applyAlignment="1">
      <alignment vertical="center"/>
    </xf>
    <xf numFmtId="0" fontId="0" fillId="20" borderId="0" xfId="0" applyFill="1" applyAlignment="1">
      <alignment vertical="center"/>
    </xf>
    <xf numFmtId="0" fontId="2" fillId="0" borderId="0" xfId="0" applyFont="1" applyAlignment="1">
      <alignment horizontal="center"/>
    </xf>
    <xf numFmtId="0" fontId="0" fillId="0" borderId="0" xfId="0" applyAlignment="1">
      <alignment horizontal="right"/>
    </xf>
    <xf numFmtId="2" fontId="0" fillId="0" borderId="0" xfId="0" applyNumberFormat="1"/>
    <xf numFmtId="0" fontId="2" fillId="0" borderId="0" xfId="0" applyFont="1" applyAlignment="1">
      <alignment horizontal="right"/>
    </xf>
    <xf numFmtId="0" fontId="0" fillId="21" borderId="0" xfId="0" applyFill="1"/>
    <xf numFmtId="0" fontId="2" fillId="21" borderId="0" xfId="0" applyFont="1" applyFill="1" applyAlignment="1">
      <alignment horizontal="center" vertical="center"/>
    </xf>
    <xf numFmtId="0" fontId="11" fillId="22" borderId="0" xfId="0" applyFont="1" applyFill="1"/>
    <xf numFmtId="0" fontId="35" fillId="22" borderId="0" xfId="0" applyFont="1" applyFill="1" applyAlignment="1">
      <alignment horizontal="center" vertical="center" wrapText="1"/>
    </xf>
    <xf numFmtId="0" fontId="0" fillId="22" borderId="65" xfId="0" applyFill="1" applyBorder="1" applyAlignment="1">
      <alignment vertical="center" wrapText="1"/>
    </xf>
    <xf numFmtId="43" fontId="0" fillId="22" borderId="65" xfId="0" applyNumberFormat="1" applyFill="1" applyBorder="1" applyAlignment="1">
      <alignment vertical="center" wrapText="1"/>
    </xf>
    <xf numFmtId="165" fontId="0" fillId="22" borderId="65" xfId="0" applyNumberFormat="1" applyFill="1" applyBorder="1" applyAlignment="1">
      <alignment vertical="center" wrapText="1"/>
    </xf>
    <xf numFmtId="0" fontId="35" fillId="22" borderId="65" xfId="0" applyFont="1" applyFill="1" applyBorder="1" applyAlignment="1">
      <alignment horizontal="center" vertical="center" wrapText="1"/>
    </xf>
    <xf numFmtId="0" fontId="12" fillId="0" borderId="0" xfId="0" applyFont="1" applyAlignment="1">
      <alignment horizontal="center" vertical="center"/>
    </xf>
    <xf numFmtId="0" fontId="14" fillId="0" borderId="0" xfId="7"/>
    <xf numFmtId="0" fontId="56" fillId="22" borderId="65" xfId="0" applyFont="1" applyFill="1" applyBorder="1" applyAlignment="1">
      <alignment horizontal="center" vertical="center" wrapText="1"/>
    </xf>
    <xf numFmtId="0" fontId="0" fillId="9" borderId="65" xfId="0" applyFill="1" applyBorder="1" applyAlignment="1">
      <alignment vertical="center" wrapText="1"/>
    </xf>
    <xf numFmtId="0" fontId="56" fillId="17" borderId="65" xfId="0" applyFont="1" applyFill="1" applyBorder="1" applyAlignment="1">
      <alignment vertical="center" wrapText="1"/>
    </xf>
    <xf numFmtId="0" fontId="56" fillId="18" borderId="65" xfId="0" applyFont="1" applyFill="1" applyBorder="1" applyAlignment="1">
      <alignment vertical="center" wrapText="1"/>
    </xf>
    <xf numFmtId="0" fontId="56" fillId="18" borderId="65" xfId="0" applyFont="1" applyFill="1" applyBorder="1" applyAlignment="1">
      <alignment horizontal="center" vertical="center" wrapText="1"/>
    </xf>
    <xf numFmtId="0" fontId="56" fillId="16" borderId="65" xfId="0" applyFont="1" applyFill="1" applyBorder="1" applyAlignment="1">
      <alignment vertical="center" wrapText="1"/>
    </xf>
    <xf numFmtId="0" fontId="56" fillId="16" borderId="65" xfId="0" applyFont="1" applyFill="1" applyBorder="1" applyAlignment="1">
      <alignment horizontal="center" vertical="center" wrapText="1"/>
    </xf>
    <xf numFmtId="44" fontId="17" fillId="0" borderId="0" xfId="8" applyNumberFormat="1" applyFont="1"/>
    <xf numFmtId="0" fontId="2" fillId="0" borderId="0" xfId="0" applyFont="1" applyAlignment="1">
      <alignment horizontal="center" vertical="center" wrapText="1"/>
    </xf>
    <xf numFmtId="0" fontId="2" fillId="0" borderId="0" xfId="0" applyFont="1" applyAlignment="1">
      <alignment horizontal="center" wrapText="1"/>
    </xf>
    <xf numFmtId="14" fontId="0" fillId="0" borderId="0" xfId="0" applyNumberFormat="1"/>
    <xf numFmtId="0" fontId="2" fillId="0" borderId="8" xfId="0" applyFont="1" applyBorder="1" applyAlignment="1">
      <alignment horizontal="right" vertical="center"/>
    </xf>
    <xf numFmtId="1" fontId="0" fillId="0" borderId="8" xfId="0" applyNumberFormat="1" applyBorder="1" applyAlignment="1">
      <alignment horizontal="center" vertical="center"/>
    </xf>
    <xf numFmtId="165" fontId="0" fillId="0" borderId="8" xfId="0" applyNumberFormat="1" applyBorder="1" applyAlignment="1">
      <alignment horizontal="center" vertical="center"/>
    </xf>
    <xf numFmtId="0" fontId="0" fillId="0" borderId="8" xfId="0" applyBorder="1" applyAlignment="1">
      <alignment vertical="center" wrapText="1"/>
    </xf>
    <xf numFmtId="0" fontId="0" fillId="0" borderId="8" xfId="0" applyBorder="1" applyAlignment="1">
      <alignment horizontal="center" vertical="center"/>
    </xf>
    <xf numFmtId="165" fontId="3" fillId="0" borderId="8" xfId="1" applyNumberFormat="1" applyFont="1" applyBorder="1"/>
    <xf numFmtId="165" fontId="2" fillId="0" borderId="8" xfId="0" applyNumberFormat="1" applyFont="1" applyBorder="1"/>
    <xf numFmtId="165" fontId="2" fillId="0" borderId="8" xfId="1" applyNumberFormat="1" applyFont="1" applyBorder="1"/>
    <xf numFmtId="0" fontId="12" fillId="0" borderId="8" xfId="0" applyFont="1" applyBorder="1" applyAlignment="1">
      <alignment horizontal="center"/>
    </xf>
    <xf numFmtId="10" fontId="3" fillId="0" borderId="0" xfId="2" applyNumberFormat="1" applyFont="1"/>
    <xf numFmtId="0" fontId="35" fillId="9" borderId="65" xfId="0" quotePrefix="1" applyFont="1" applyFill="1" applyBorder="1" applyAlignment="1">
      <alignment horizontal="center" vertical="center"/>
    </xf>
    <xf numFmtId="0" fontId="2" fillId="9" borderId="65" xfId="0" applyFont="1" applyFill="1" applyBorder="1" applyAlignment="1">
      <alignment horizontal="right" vertical="center"/>
    </xf>
    <xf numFmtId="0" fontId="35" fillId="22" borderId="65" xfId="0" quotePrefix="1" applyFont="1" applyFill="1" applyBorder="1" applyAlignment="1">
      <alignment horizontal="center" vertical="center"/>
    </xf>
    <xf numFmtId="0" fontId="12" fillId="0" borderId="0" xfId="0" applyFont="1" applyAlignment="1">
      <alignment vertical="center"/>
    </xf>
    <xf numFmtId="0" fontId="0" fillId="9" borderId="65" xfId="0" applyFill="1" applyBorder="1" applyAlignment="1">
      <alignment vertical="center"/>
    </xf>
    <xf numFmtId="0" fontId="17" fillId="0" borderId="0" xfId="8" applyFont="1" applyAlignment="1">
      <alignment horizontal="center" vertical="center" wrapText="1"/>
    </xf>
    <xf numFmtId="170" fontId="0" fillId="0" borderId="0" xfId="0" applyNumberFormat="1"/>
    <xf numFmtId="0" fontId="58" fillId="0" borderId="8" xfId="0" applyFont="1" applyBorder="1" applyAlignment="1">
      <alignment horizontal="right"/>
    </xf>
    <xf numFmtId="0" fontId="58" fillId="0" borderId="8" xfId="0" applyFont="1" applyBorder="1"/>
    <xf numFmtId="2" fontId="58" fillId="0" borderId="8" xfId="0" applyNumberFormat="1" applyFont="1" applyBorder="1"/>
    <xf numFmtId="43" fontId="58" fillId="0" borderId="8" xfId="1" applyFont="1" applyBorder="1"/>
    <xf numFmtId="0" fontId="0" fillId="0" borderId="19" xfId="0" applyBorder="1" applyAlignment="1">
      <alignment horizontal="center"/>
    </xf>
    <xf numFmtId="165" fontId="0" fillId="0" borderId="19" xfId="1" applyNumberFormat="1" applyFont="1" applyBorder="1"/>
    <xf numFmtId="165" fontId="0" fillId="0" borderId="66" xfId="1" applyNumberFormat="1" applyFont="1" applyBorder="1"/>
    <xf numFmtId="43" fontId="0" fillId="0" borderId="19" xfId="1" applyFont="1" applyBorder="1"/>
    <xf numFmtId="9" fontId="0" fillId="0" borderId="19" xfId="2" applyFont="1" applyBorder="1"/>
    <xf numFmtId="165" fontId="0" fillId="0" borderId="19" xfId="0" applyNumberFormat="1" applyBorder="1"/>
    <xf numFmtId="2" fontId="0" fillId="0" borderId="19" xfId="0" applyNumberFormat="1" applyBorder="1"/>
    <xf numFmtId="165" fontId="58" fillId="0" borderId="8" xfId="0" applyNumberFormat="1" applyFont="1" applyBorder="1"/>
    <xf numFmtId="2" fontId="16" fillId="0" borderId="0" xfId="8" applyNumberFormat="1" applyFont="1" applyAlignment="1">
      <alignment horizontal="center" wrapText="1"/>
    </xf>
    <xf numFmtId="0" fontId="16" fillId="0" borderId="0" xfId="8" applyFont="1" applyAlignment="1">
      <alignment horizontal="center" wrapText="1"/>
    </xf>
    <xf numFmtId="166" fontId="16" fillId="0" borderId="0" xfId="8" applyNumberFormat="1" applyFont="1" applyAlignment="1">
      <alignment horizontal="center" vertical="center" wrapText="1"/>
    </xf>
    <xf numFmtId="0" fontId="18" fillId="3" borderId="0" xfId="8" applyFont="1" applyFill="1"/>
    <xf numFmtId="44" fontId="18" fillId="3" borderId="0" xfId="8" applyNumberFormat="1" applyFont="1" applyFill="1"/>
    <xf numFmtId="0" fontId="18" fillId="3" borderId="0" xfId="8" applyFont="1" applyFill="1" applyAlignment="1">
      <alignment horizontal="right"/>
    </xf>
    <xf numFmtId="169" fontId="2" fillId="0" borderId="8" xfId="6" quotePrefix="1" applyNumberFormat="1" applyFont="1" applyFill="1" applyBorder="1"/>
    <xf numFmtId="0" fontId="0" fillId="0" borderId="0" xfId="0" applyAlignment="1">
      <alignment horizontal="center"/>
    </xf>
    <xf numFmtId="0" fontId="13" fillId="22" borderId="65" xfId="0" applyFont="1" applyFill="1" applyBorder="1" applyAlignment="1">
      <alignment vertical="center" wrapText="1"/>
    </xf>
    <xf numFmtId="165" fontId="13" fillId="22" borderId="65" xfId="0" applyNumberFormat="1" applyFont="1" applyFill="1" applyBorder="1" applyAlignment="1">
      <alignment vertical="center" wrapText="1"/>
    </xf>
    <xf numFmtId="0" fontId="61" fillId="22" borderId="65" xfId="0" applyFont="1" applyFill="1" applyBorder="1" applyAlignment="1">
      <alignment horizontal="center" vertical="center" wrapText="1"/>
    </xf>
    <xf numFmtId="0" fontId="60" fillId="22" borderId="65" xfId="0" quotePrefix="1" applyFont="1" applyFill="1" applyBorder="1" applyAlignment="1">
      <alignment horizontal="center" vertical="center"/>
    </xf>
    <xf numFmtId="165" fontId="13" fillId="17" borderId="65" xfId="1" applyNumberFormat="1" applyFont="1" applyFill="1" applyBorder="1" applyAlignment="1">
      <alignment vertical="center" wrapText="1"/>
    </xf>
    <xf numFmtId="0" fontId="63" fillId="16" borderId="65" xfId="0" quotePrefix="1" applyFont="1" applyFill="1" applyBorder="1" applyAlignment="1">
      <alignment horizontal="center" vertical="center"/>
    </xf>
    <xf numFmtId="0" fontId="64" fillId="16" borderId="65" xfId="0" applyFont="1" applyFill="1" applyBorder="1" applyAlignment="1">
      <alignment horizontal="left" vertical="center" wrapText="1"/>
    </xf>
    <xf numFmtId="165" fontId="64" fillId="16" borderId="65" xfId="1" applyNumberFormat="1" applyFont="1" applyFill="1" applyBorder="1" applyAlignment="1">
      <alignment vertical="center" wrapText="1"/>
    </xf>
    <xf numFmtId="0" fontId="64" fillId="16" borderId="65" xfId="0" applyFont="1" applyFill="1" applyBorder="1" applyAlignment="1">
      <alignment vertical="center" wrapText="1"/>
    </xf>
    <xf numFmtId="0" fontId="64" fillId="0" borderId="0" xfId="0" applyFont="1"/>
    <xf numFmtId="43" fontId="13" fillId="22" borderId="65" xfId="0" applyNumberFormat="1" applyFont="1" applyFill="1" applyBorder="1" applyAlignment="1">
      <alignment vertical="center" wrapText="1"/>
    </xf>
    <xf numFmtId="0" fontId="12" fillId="0" borderId="0" xfId="0" applyFont="1" applyAlignment="1">
      <alignment horizontal="left" vertical="center"/>
    </xf>
    <xf numFmtId="0" fontId="13" fillId="0" borderId="0" xfId="0" applyFont="1" applyAlignment="1">
      <alignment horizontal="right"/>
    </xf>
    <xf numFmtId="0" fontId="60" fillId="22" borderId="65" xfId="0" quotePrefix="1" applyFont="1" applyFill="1" applyBorder="1" applyAlignment="1">
      <alignment horizontal="center" vertical="center" wrapText="1"/>
    </xf>
    <xf numFmtId="0" fontId="2" fillId="21" borderId="0" xfId="0" applyFont="1" applyFill="1" applyAlignment="1">
      <alignment horizontal="center" vertical="center" wrapText="1"/>
    </xf>
    <xf numFmtId="0" fontId="60" fillId="18" borderId="65" xfId="0" quotePrefix="1" applyFont="1" applyFill="1" applyBorder="1" applyAlignment="1">
      <alignment horizontal="center" vertical="center"/>
    </xf>
    <xf numFmtId="0" fontId="13" fillId="18" borderId="65" xfId="0" applyFont="1" applyFill="1" applyBorder="1" applyAlignment="1">
      <alignment vertical="center" wrapText="1"/>
    </xf>
    <xf numFmtId="43" fontId="13" fillId="18" borderId="65" xfId="1" applyFont="1" applyFill="1" applyBorder="1" applyAlignment="1">
      <alignment vertical="center" wrapText="1"/>
    </xf>
    <xf numFmtId="164" fontId="13" fillId="18" borderId="65" xfId="2" applyNumberFormat="1" applyFont="1" applyFill="1" applyBorder="1" applyAlignment="1">
      <alignment vertical="center" wrapText="1"/>
    </xf>
    <xf numFmtId="0" fontId="61" fillId="18" borderId="65" xfId="0" applyFont="1" applyFill="1" applyBorder="1" applyAlignment="1">
      <alignment vertical="center" wrapText="1"/>
    </xf>
    <xf numFmtId="0" fontId="60" fillId="16" borderId="65" xfId="0" quotePrefix="1" applyFont="1" applyFill="1" applyBorder="1" applyAlignment="1">
      <alignment horizontal="center" vertical="center"/>
    </xf>
    <xf numFmtId="0" fontId="13" fillId="16" borderId="65" xfId="0" applyFont="1" applyFill="1" applyBorder="1" applyAlignment="1">
      <alignment horizontal="left" vertical="center"/>
    </xf>
    <xf numFmtId="165" fontId="13" fillId="16" borderId="65" xfId="1" applyNumberFormat="1" applyFont="1" applyFill="1" applyBorder="1" applyAlignment="1">
      <alignment vertical="center"/>
    </xf>
    <xf numFmtId="0" fontId="13" fillId="16" borderId="65" xfId="0" applyFont="1" applyFill="1" applyBorder="1" applyAlignment="1">
      <alignment vertical="center" wrapText="1"/>
    </xf>
    <xf numFmtId="0" fontId="13" fillId="16" borderId="65" xfId="0" applyFont="1" applyFill="1" applyBorder="1" applyAlignment="1">
      <alignment vertical="center"/>
    </xf>
    <xf numFmtId="10" fontId="13" fillId="16" borderId="65" xfId="2" applyNumberFormat="1" applyFont="1" applyFill="1" applyBorder="1" applyAlignment="1">
      <alignment vertical="center" wrapText="1"/>
    </xf>
    <xf numFmtId="0" fontId="61" fillId="16" borderId="65" xfId="0" applyFont="1" applyFill="1" applyBorder="1" applyAlignment="1">
      <alignment horizontal="center" vertical="center" wrapText="1"/>
    </xf>
    <xf numFmtId="0" fontId="65" fillId="16" borderId="65" xfId="0" applyFont="1" applyFill="1" applyBorder="1" applyAlignment="1">
      <alignment horizontal="center" vertical="center" wrapText="1"/>
    </xf>
    <xf numFmtId="0" fontId="13" fillId="22" borderId="65" xfId="0" applyFont="1" applyFill="1" applyBorder="1" applyAlignment="1">
      <alignment horizontal="right" vertical="center" wrapText="1"/>
    </xf>
    <xf numFmtId="165" fontId="13" fillId="22" borderId="0" xfId="1" applyNumberFormat="1" applyFont="1" applyFill="1" applyBorder="1" applyAlignment="1">
      <alignment vertical="center" wrapText="1"/>
    </xf>
    <xf numFmtId="165" fontId="58" fillId="9" borderId="67" xfId="0" applyNumberFormat="1" applyFont="1" applyFill="1" applyBorder="1" applyAlignment="1">
      <alignment vertical="center"/>
    </xf>
    <xf numFmtId="0" fontId="61" fillId="17" borderId="65" xfId="0" applyFont="1" applyFill="1" applyBorder="1" applyAlignment="1">
      <alignment vertical="center" wrapText="1"/>
    </xf>
    <xf numFmtId="0" fontId="35" fillId="23" borderId="65" xfId="0" applyFont="1" applyFill="1" applyBorder="1" applyAlignment="1">
      <alignment horizontal="center" vertical="center"/>
    </xf>
    <xf numFmtId="0" fontId="0" fillId="23" borderId="65" xfId="0" applyFill="1" applyBorder="1" applyAlignment="1">
      <alignment vertical="center" wrapText="1"/>
    </xf>
    <xf numFmtId="165" fontId="0" fillId="23" borderId="65" xfId="0" applyNumberFormat="1" applyFill="1" applyBorder="1" applyAlignment="1">
      <alignment vertical="center" wrapText="1"/>
    </xf>
    <xf numFmtId="0" fontId="56" fillId="23" borderId="65" xfId="0" applyFont="1" applyFill="1" applyBorder="1" applyAlignment="1">
      <alignment horizontal="center" vertical="center" wrapText="1"/>
    </xf>
    <xf numFmtId="165" fontId="13" fillId="23" borderId="65" xfId="0" applyNumberFormat="1" applyFont="1" applyFill="1" applyBorder="1" applyAlignment="1">
      <alignment vertical="center" wrapText="1"/>
    </xf>
    <xf numFmtId="0" fontId="61" fillId="9" borderId="65" xfId="0" applyFont="1" applyFill="1" applyBorder="1" applyAlignment="1">
      <alignment horizontal="center" vertical="center" wrapText="1"/>
    </xf>
    <xf numFmtId="165" fontId="66" fillId="9" borderId="68" xfId="0" applyNumberFormat="1" applyFont="1" applyFill="1" applyBorder="1" applyAlignment="1">
      <alignment vertical="center"/>
    </xf>
    <xf numFmtId="165" fontId="66" fillId="9" borderId="69" xfId="0" applyNumberFormat="1" applyFont="1" applyFill="1" applyBorder="1" applyAlignment="1">
      <alignment vertical="center"/>
    </xf>
    <xf numFmtId="165" fontId="66" fillId="9" borderId="70" xfId="0" applyNumberFormat="1" applyFont="1" applyFill="1" applyBorder="1" applyAlignment="1">
      <alignment vertical="center"/>
    </xf>
    <xf numFmtId="165" fontId="66" fillId="9" borderId="65" xfId="0" applyNumberFormat="1" applyFont="1" applyFill="1" applyBorder="1" applyAlignment="1">
      <alignment vertical="center"/>
    </xf>
    <xf numFmtId="165" fontId="0" fillId="24" borderId="8" xfId="1" applyNumberFormat="1" applyFont="1" applyFill="1" applyBorder="1" applyAlignment="1">
      <alignment horizontal="center" vertical="center"/>
    </xf>
    <xf numFmtId="0" fontId="67" fillId="0" borderId="0" xfId="8" applyFont="1"/>
    <xf numFmtId="43" fontId="13" fillId="0" borderId="8" xfId="0" applyNumberFormat="1" applyFont="1" applyBorder="1"/>
    <xf numFmtId="172" fontId="13" fillId="0" borderId="0" xfId="0" applyNumberFormat="1" applyFont="1"/>
    <xf numFmtId="171" fontId="66" fillId="0" borderId="8" xfId="0" applyNumberFormat="1" applyFont="1" applyBorder="1"/>
    <xf numFmtId="43" fontId="66" fillId="0" borderId="8" xfId="0" applyNumberFormat="1" applyFont="1" applyBorder="1"/>
    <xf numFmtId="0" fontId="2" fillId="0" borderId="0" xfId="0" applyFont="1" applyAlignment="1">
      <alignment horizontal="center"/>
    </xf>
    <xf numFmtId="0" fontId="11" fillId="17" borderId="0" xfId="0" applyFont="1" applyFill="1" applyAlignment="1">
      <alignment wrapText="1"/>
    </xf>
    <xf numFmtId="0" fontId="11" fillId="18" borderId="0" xfId="0" applyFont="1" applyFill="1" applyAlignment="1">
      <alignment wrapText="1"/>
    </xf>
    <xf numFmtId="0" fontId="11" fillId="16" borderId="0" xfId="0" applyFont="1" applyFill="1" applyAlignment="1">
      <alignment wrapText="1"/>
    </xf>
    <xf numFmtId="0" fontId="23" fillId="0" borderId="13" xfId="0" applyFont="1" applyBorder="1" applyAlignment="1">
      <alignment horizontal="center" vertical="center" wrapText="1"/>
    </xf>
    <xf numFmtId="0" fontId="23" fillId="0" borderId="15"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5" xfId="0" applyFont="1" applyBorder="1" applyAlignment="1">
      <alignment horizontal="center" vertical="center" wrapText="1"/>
    </xf>
    <xf numFmtId="0" fontId="46" fillId="0" borderId="13" xfId="11" applyFont="1" applyBorder="1" applyAlignment="1">
      <alignment horizontal="center" vertical="center" wrapText="1"/>
    </xf>
    <xf numFmtId="0" fontId="46" fillId="0" borderId="15" xfId="11" applyFont="1" applyBorder="1" applyAlignment="1">
      <alignment horizontal="center" vertical="center" wrapText="1"/>
    </xf>
    <xf numFmtId="0" fontId="47" fillId="15" borderId="60" xfId="11" applyFont="1" applyFill="1" applyBorder="1" applyAlignment="1">
      <alignment horizontal="center" vertical="center"/>
    </xf>
    <xf numFmtId="0" fontId="47" fillId="15" borderId="9" xfId="11" applyFont="1" applyFill="1" applyBorder="1" applyAlignment="1">
      <alignment horizontal="center" vertical="center"/>
    </xf>
    <xf numFmtId="0" fontId="20" fillId="0" borderId="60" xfId="11" applyFont="1" applyBorder="1" applyAlignment="1">
      <alignment horizontal="center" vertical="center"/>
    </xf>
    <xf numFmtId="0" fontId="20" fillId="0" borderId="9" xfId="11" applyFont="1" applyBorder="1" applyAlignment="1">
      <alignment horizontal="center" vertical="center"/>
    </xf>
    <xf numFmtId="0" fontId="48" fillId="0" borderId="63" xfId="11" applyFont="1" applyBorder="1" applyAlignment="1">
      <alignment horizontal="center" vertical="center"/>
    </xf>
    <xf numFmtId="0" fontId="48" fillId="0" borderId="64" xfId="11" applyFont="1" applyBorder="1" applyAlignment="1">
      <alignment horizontal="center" vertical="center"/>
    </xf>
    <xf numFmtId="0" fontId="48" fillId="0" borderId="53" xfId="11" applyFont="1" applyBorder="1" applyAlignment="1">
      <alignment horizontal="left" vertical="center" indent="3"/>
    </xf>
    <xf numFmtId="0" fontId="48" fillId="0" borderId="8" xfId="11" applyFont="1" applyBorder="1" applyAlignment="1">
      <alignment horizontal="left" vertical="center" indent="3"/>
    </xf>
    <xf numFmtId="0" fontId="46" fillId="0" borderId="23" xfId="11" applyFont="1" applyBorder="1" applyAlignment="1">
      <alignment horizontal="center" vertical="center"/>
    </xf>
    <xf numFmtId="0" fontId="46" fillId="0" borderId="24" xfId="11" applyFont="1" applyBorder="1" applyAlignment="1">
      <alignment horizontal="center" vertical="center"/>
    </xf>
    <xf numFmtId="0" fontId="46" fillId="0" borderId="27" xfId="11" applyFont="1" applyBorder="1" applyAlignment="1">
      <alignment horizontal="center" vertical="center"/>
    </xf>
    <xf numFmtId="0" fontId="46" fillId="0" borderId="14" xfId="11" applyFont="1" applyBorder="1" applyAlignment="1">
      <alignment horizontal="center" vertical="center"/>
    </xf>
    <xf numFmtId="14" fontId="46" fillId="0" borderId="27" xfId="11" applyNumberFormat="1" applyFont="1" applyBorder="1" applyAlignment="1">
      <alignment horizontal="center" vertical="center"/>
    </xf>
    <xf numFmtId="14" fontId="46" fillId="0" borderId="14" xfId="11" applyNumberFormat="1" applyFont="1" applyBorder="1" applyAlignment="1">
      <alignment horizontal="center" vertical="center"/>
    </xf>
    <xf numFmtId="10" fontId="46" fillId="0" borderId="27" xfId="12" applyNumberFormat="1" applyFont="1" applyFill="1" applyBorder="1" applyAlignment="1">
      <alignment horizontal="center" vertical="center"/>
    </xf>
    <xf numFmtId="10" fontId="46" fillId="0" borderId="14" xfId="12" applyNumberFormat="1" applyFont="1" applyFill="1" applyBorder="1" applyAlignment="1">
      <alignment horizontal="center" vertical="center"/>
    </xf>
    <xf numFmtId="10" fontId="46" fillId="0" borderId="38" xfId="12" applyNumberFormat="1" applyFont="1" applyFill="1" applyBorder="1" applyAlignment="1">
      <alignment horizontal="center" vertical="center"/>
    </xf>
    <xf numFmtId="10" fontId="46" fillId="0" borderId="16" xfId="12" applyNumberFormat="1" applyFont="1" applyFill="1" applyBorder="1" applyAlignment="1">
      <alignment horizontal="center" vertical="center"/>
    </xf>
    <xf numFmtId="0" fontId="47" fillId="15" borderId="53" xfId="11" applyFont="1" applyFill="1" applyBorder="1" applyAlignment="1">
      <alignment horizontal="left" vertical="center" indent="1"/>
    </xf>
    <xf numFmtId="0" fontId="47" fillId="15" borderId="8" xfId="11" applyFont="1" applyFill="1" applyBorder="1" applyAlignment="1">
      <alignment horizontal="left" vertical="center" indent="1"/>
    </xf>
    <xf numFmtId="0" fontId="48" fillId="0" borderId="53" xfId="11" applyFont="1" applyBorder="1" applyAlignment="1">
      <alignment horizontal="right" vertical="center"/>
    </xf>
    <xf numFmtId="0" fontId="48" fillId="0" borderId="8" xfId="11" applyFont="1" applyBorder="1" applyAlignment="1">
      <alignment horizontal="right" vertical="center"/>
    </xf>
    <xf numFmtId="0" fontId="48" fillId="0" borderId="53" xfId="11" applyFont="1" applyBorder="1" applyAlignment="1">
      <alignment horizontal="center" vertical="center"/>
    </xf>
    <xf numFmtId="0" fontId="48" fillId="0" borderId="8" xfId="11" applyFont="1" applyBorder="1" applyAlignment="1">
      <alignment horizontal="center" vertical="center"/>
    </xf>
    <xf numFmtId="0" fontId="48" fillId="0" borderId="55" xfId="11" applyFont="1" applyBorder="1" applyAlignment="1">
      <alignment horizontal="center" vertical="center"/>
    </xf>
    <xf numFmtId="0" fontId="48" fillId="0" borderId="20" xfId="11" applyFont="1" applyBorder="1" applyAlignment="1">
      <alignment horizontal="center" vertical="center"/>
    </xf>
  </cellXfs>
  <cellStyles count="14">
    <cellStyle name="Comma" xfId="1" builtinId="3"/>
    <cellStyle name="Comma 2" xfId="4" xr:uid="{FBC2A7A3-2299-4C3D-8859-F0818CE170A0}"/>
    <cellStyle name="Currency" xfId="6" builtinId="4"/>
    <cellStyle name="Currency 2 2" xfId="13" xr:uid="{AE1048F3-FC9E-4733-B327-A0DDD3C7543A}"/>
    <cellStyle name="Hyperlink" xfId="7" builtinId="8"/>
    <cellStyle name="Normal" xfId="0" builtinId="0"/>
    <cellStyle name="Normal 2" xfId="3" xr:uid="{299DDAC6-B34A-407E-A77B-D67A722D367E}"/>
    <cellStyle name="Normal 2 2" xfId="11" xr:uid="{180DB168-ADB9-47F4-ADD8-02AD3B87D63D}"/>
    <cellStyle name="Normal 2 3" xfId="8" xr:uid="{5F407A75-3C56-4144-9103-53C2A39479E1}"/>
    <cellStyle name="Normal 3" xfId="5" xr:uid="{41717CBE-DBF9-4447-9513-6465F68C1CF6}"/>
    <cellStyle name="Normal 4" xfId="10" xr:uid="{EAF96779-5C0D-49B4-997E-F5332CA636E9}"/>
    <cellStyle name="Percent" xfId="2" builtinId="5"/>
    <cellStyle name="Percent 2" xfId="12" xr:uid="{540F53DC-5EB0-4F48-8C29-F9F9D7C57296}"/>
    <cellStyle name="Percent 2 2" xfId="9" xr:uid="{BE80C3BD-617A-4C7A-85DA-20A4E526925B}"/>
  </cellStyles>
  <dxfs count="0"/>
  <tableStyles count="0" defaultTableStyle="TableStyleMedium2" defaultPivotStyle="PivotStyleLight16"/>
  <colors>
    <mruColors>
      <color rgb="FFFFFF99"/>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https://slcut-my.sharepoint.com/personal/christopher_thomas_slcgov_com/Documents/Desktop/AVERT%20files%20Jan%202024/avert-main-module-v4.2.xlsb" TargetMode="External"/><Relationship Id="rId2" Type="http://schemas.microsoft.com/office/2019/04/relationships/externalLinkLongPath" Target="https://slcut.sharepoint.com/sites/Sustainability/Shared%20Documents/General/Climate%20Accounting%20and%20Carbon%20Energy/Climate%20Pollution%20Reduction%20IMPLEMENTATION%20Grant/URC%20files/Technical/AVERT%20files%20Jan%202024/avert-main-module-v4.2.xlsb?A473873E" TargetMode="External"/><Relationship Id="rId1" Type="http://schemas.openxmlformats.org/officeDocument/2006/relationships/externalLinkPath" Target="file:///\\A473873E\avert-main-module-v4.2.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brkenergy.sharepoint.com/sites/URCApplication/Shared%20Documents/PHASE%202%202025%20PSC%20(FOR%20REVIEW)/CREA%20Model%20-%203-26-2025.xlsx" TargetMode="External"/><Relationship Id="rId1" Type="http://schemas.openxmlformats.org/officeDocument/2006/relationships/externalLinkPath" Target="https://brkenergy.sharepoint.com/sites/URCApplication/Shared%20Documents/PHASE%202%202025%20PSC%20(FOR%20REVIEW)/RMP%20Testimony/Meredith/CREA%20Model%20-%203-26-2025.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slcut-my.sharepoint.com/personal/christopher_thomas_slc_gov/Documents/Desktop/URC%20Rate%20Builder_v4.xlsx" TargetMode="External"/><Relationship Id="rId1" Type="http://schemas.openxmlformats.org/officeDocument/2006/relationships/externalLinkPath" Target="https://slcut-my.sharepoint.com/personal/christopher_thomas_slc_gov/Documents/Desktop/URC%20Rate%20Builder_v4.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tc2096\Downloads\2024%20Sep%204%20Utah%20CREP%20Estimates%20-%20v4.xlsx" TargetMode="External"/><Relationship Id="rId1" Type="http://schemas.openxmlformats.org/officeDocument/2006/relationships/externalLinkPath" Target="file:///C:\Users\tc2096\Downloads\2024%20Sep%204%20Utah%20CREP%20Estimates%20-%20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Splash"/>
      <sheetName val="EnterRegionalData"/>
      <sheetName val="EnterEEREData"/>
      <sheetName val="ManualEEREEntry"/>
      <sheetName val="ManualRECFEntry"/>
      <sheetName val="EV_Detail"/>
      <sheetName val="RunDisplacement"/>
      <sheetName val="DisplayOutput"/>
      <sheetName val="1_Annual"/>
      <sheetName val="2_TopTen"/>
      <sheetName val="3_CtySummary"/>
      <sheetName val="4_CtyMonthly"/>
      <sheetName val="5_Map"/>
      <sheetName val="6_Monthly"/>
      <sheetName val="7_Hourly"/>
      <sheetName val="8_Diagnostic"/>
      <sheetName val="9_OzoneChanges"/>
      <sheetName val="10_Vehicle"/>
      <sheetName val="11_VehicleCty"/>
      <sheetName val="12_VehicleCharts"/>
      <sheetName val="13_VehicleChartsMonth"/>
      <sheetName val="14_LongRange"/>
      <sheetName val="Generation"/>
      <sheetName val="HeatInput"/>
      <sheetName val="SO2"/>
      <sheetName val="NOx"/>
      <sheetName val="CO2"/>
      <sheetName val="PM25"/>
      <sheetName val="VOCs"/>
      <sheetName val="NH3"/>
      <sheetName val="Summary"/>
      <sheetName val="ChartData"/>
      <sheetName val="EERE_Default"/>
      <sheetName val="Data"/>
      <sheetName val="CalculateEERE"/>
      <sheetName val="Library"/>
      <sheetName val="CountyFIPS"/>
      <sheetName val="NEI_EmissionRates"/>
      <sheetName val="RegionStateAllocate"/>
      <sheetName val="MOVESEmission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ll Impacts"/>
      <sheetName val="Summary"/>
      <sheetName val="Forecast CREA Model"/>
      <sheetName val="Forecast Assumptions"/>
      <sheetName val="REC Premium Reserve Calculation"/>
      <sheetName val="Attach UT CREA 8.2"/>
      <sheetName val="Taxing District"/>
      <sheetName val="III-Customer Load Calcs"/>
      <sheetName val="DR 6.1 Adj for New Est"/>
      <sheetName val="800 Number Service"/>
      <sheetName val="Initial Opt-Out Noticing Cost"/>
      <sheetName val="IT CSS Cost"/>
    </sheetNames>
    <sheetDataSet>
      <sheetData sheetId="0"/>
      <sheetData sheetId="1"/>
      <sheetData sheetId="2"/>
      <sheetData sheetId="3">
        <row r="36">
          <cell r="A36">
            <v>5.0068155918847647E-3</v>
          </cell>
        </row>
      </sheetData>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1 5 100MW solar"/>
      <sheetName val="A Customer Load Calcs"/>
      <sheetName val="Attach UT CREA 8.1"/>
      <sheetName val="Attach UT CREA 8.2"/>
      <sheetName val="G-Small UT Solar Premium"/>
      <sheetName val="UT solar cost &amp; avoided cost"/>
    </sheetNames>
    <sheetDataSet>
      <sheetData sheetId="0">
        <row r="13">
          <cell r="D13">
            <v>2866307.7933833064</v>
          </cell>
        </row>
      </sheetData>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stimates-9042024"/>
      <sheetName val="Postage&amp;print"/>
      <sheetName val="IT Estimates"/>
      <sheetName val="DR 6.1 Adj for New Est"/>
    </sheetNames>
    <sheetDataSet>
      <sheetData sheetId="0" refreshError="1">
        <row r="23">
          <cell r="C23">
            <v>531720</v>
          </cell>
        </row>
        <row r="35">
          <cell r="C35">
            <v>4050</v>
          </cell>
        </row>
        <row r="40">
          <cell r="C40">
            <v>242259.5</v>
          </cell>
          <cell r="D40">
            <v>99271.489999999991</v>
          </cell>
          <cell r="E40">
            <v>10544.54</v>
          </cell>
        </row>
      </sheetData>
      <sheetData sheetId="1" refreshError="1"/>
      <sheetData sheetId="2" refreshError="1"/>
      <sheetData sheetId="3" refreshError="1"/>
    </sheetDataSet>
  </externalBook>
</externalLink>
</file>

<file path=xl/persons/person.xml><?xml version="1.0" encoding="utf-8"?>
<personList xmlns="http://schemas.microsoft.com/office/spreadsheetml/2018/threadedcomments" xmlns:x="http://schemas.openxmlformats.org/spreadsheetml/2006/main">
  <person displayName="Heng, Irene (PacifiCorp)" id="{D46D7068-83F8-4675-9D3F-0844AB4C6731}" userId="S::Irene.Heng@pacificorp.com::0b1f8e4d-1b06-4ab7-ac25-2961c9c2334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E19" dT="2023-08-15T18:35:16.10" personId="{D46D7068-83F8-4675-9D3F-0844AB4C6731}" id="{237E979A-24BA-4138-887A-011DE34DE9F1}">
    <text>Paper confirm to Paper Opt-Out Received - 12,000 qty is estimated.</text>
  </threadedComment>
</ThreadedComments>
</file>

<file path=xl/threadedComments/threadedComment2.xml><?xml version="1.0" encoding="utf-8"?>
<ThreadedComments xmlns="http://schemas.microsoft.com/office/spreadsheetml/2018/threadedcomments" xmlns:x="http://schemas.openxmlformats.org/spreadsheetml/2006/main">
  <threadedComment ref="G6" dT="2023-08-15T18:35:16.10" personId="{D46D7068-83F8-4675-9D3F-0844AB4C6731}" id="{488C2FB7-0ECC-4374-B2F1-BDE2A6C82C8F}">
    <text>Paper confirm to Paper Opt-Out Received - 12,000 qty is estimated.</text>
  </threadedComment>
</ThreadedComments>
</file>

<file path=xl/worksheets/_rels/sheet10.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pacificorp.com/content/dam/pcorp/documents/en/pacificorp/energy/integrated-resource-plan/2023-irp/2023_IRP_Volume_I.pdf" TargetMode="External"/><Relationship Id="rId1" Type="http://schemas.openxmlformats.org/officeDocument/2006/relationships/hyperlink" Target="https://pscdocs.utah.gov/electric/23docs/2303528/330048RMP2023Q2AvdCstInptChngs9-27-2023.pdf" TargetMode="External"/></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E1FD7-6B2D-40A7-A1B8-DCD365398A0C}">
  <sheetPr>
    <tabColor rgb="FFFFC000"/>
  </sheetPr>
  <dimension ref="B4:S33"/>
  <sheetViews>
    <sheetView topLeftCell="A4" workbookViewId="0">
      <selection activeCell="G10" sqref="G10"/>
    </sheetView>
  </sheetViews>
  <sheetFormatPr defaultRowHeight="15" x14ac:dyDescent="0.25"/>
  <cols>
    <col min="1" max="1" width="13.140625" customWidth="1"/>
    <col min="2" max="2" width="6" customWidth="1"/>
    <col min="3" max="3" width="11.7109375" bestFit="1" customWidth="1"/>
    <col min="4" max="4" width="17" customWidth="1"/>
    <col min="5" max="5" width="12.85546875" customWidth="1"/>
    <col min="6" max="6" width="13.7109375" customWidth="1"/>
    <col min="7" max="7" width="12.140625" customWidth="1"/>
    <col min="8" max="8" width="14.42578125" customWidth="1"/>
    <col min="9" max="9" width="12.28515625" customWidth="1"/>
    <col min="10" max="10" width="11.140625" customWidth="1"/>
    <col min="11" max="12" width="12.28515625" customWidth="1"/>
    <col min="13" max="13" width="16.5703125" customWidth="1"/>
    <col min="14" max="14" width="13.28515625" customWidth="1"/>
    <col min="15" max="15" width="13.140625" bestFit="1" customWidth="1"/>
    <col min="16" max="16" width="16.5703125" bestFit="1" customWidth="1"/>
    <col min="17" max="17" width="11" bestFit="1" customWidth="1"/>
    <col min="18" max="18" width="16.140625" bestFit="1" customWidth="1"/>
    <col min="19" max="19" width="15" bestFit="1" customWidth="1"/>
  </cols>
  <sheetData>
    <row r="4" spans="2:19" x14ac:dyDescent="0.25">
      <c r="B4" s="42" t="s">
        <v>0</v>
      </c>
    </row>
    <row r="5" spans="2:19" ht="75" x14ac:dyDescent="0.25">
      <c r="B5" s="311" t="s">
        <v>1</v>
      </c>
      <c r="C5" s="311" t="s">
        <v>2</v>
      </c>
      <c r="D5" s="311" t="s">
        <v>3</v>
      </c>
      <c r="E5" s="311" t="s">
        <v>4</v>
      </c>
      <c r="F5" s="311" t="s">
        <v>5</v>
      </c>
      <c r="G5" s="311" t="s">
        <v>6</v>
      </c>
      <c r="H5" s="311" t="s">
        <v>7</v>
      </c>
      <c r="I5" s="311" t="s">
        <v>8</v>
      </c>
      <c r="J5" s="311" t="s">
        <v>9</v>
      </c>
      <c r="K5" s="311" t="s">
        <v>10</v>
      </c>
      <c r="L5" s="311" t="s">
        <v>11</v>
      </c>
      <c r="M5" s="311" t="s">
        <v>12</v>
      </c>
      <c r="N5" s="311" t="s">
        <v>13</v>
      </c>
      <c r="O5" s="311" t="s">
        <v>14</v>
      </c>
      <c r="P5" s="311" t="s">
        <v>15</v>
      </c>
      <c r="Q5" s="311" t="s">
        <v>16</v>
      </c>
      <c r="R5" s="311" t="s">
        <v>17</v>
      </c>
      <c r="S5" s="312" t="s">
        <v>18</v>
      </c>
    </row>
    <row r="6" spans="2:19" x14ac:dyDescent="0.25">
      <c r="B6">
        <v>2023</v>
      </c>
    </row>
    <row r="7" spans="2:19" x14ac:dyDescent="0.25">
      <c r="B7">
        <v>2024</v>
      </c>
    </row>
    <row r="8" spans="2:19" x14ac:dyDescent="0.25">
      <c r="B8">
        <v>2025</v>
      </c>
    </row>
    <row r="9" spans="2:19" x14ac:dyDescent="0.25">
      <c r="B9">
        <v>2026</v>
      </c>
      <c r="C9" s="60">
        <f>'II-Program Costs'!$D$35*POWER(1+'II-Program Costs'!$G$35,$B9-'II-Program Costs'!$F$35)</f>
        <v>221126.57277928354</v>
      </c>
      <c r="D9" s="60">
        <f>'II-Program Costs'!$D$38*POWER(1+'II-Program Costs'!$G$38,$B9-'II-Program Costs'!$F$38)*1000</f>
        <v>2866307793.3833065</v>
      </c>
      <c r="E9" s="60">
        <f>'II-Program Costs'!$D$36*POWER(1+'II-Program Costs'!$G$36,$B9-'II-Program Costs'!$F$36)</f>
        <v>6192.802186195966</v>
      </c>
      <c r="F9" s="60">
        <f>SUM('II-Program Costs'!H66:H71,'II-Program Costs'!I72:I73,'II-Program Costs'!I75)</f>
        <v>1300545.1733753206</v>
      </c>
      <c r="G9" s="60"/>
      <c r="J9" s="55">
        <f t="shared" ref="J9:J33" si="0">SUM(F9,G9,H9,I9)</f>
        <v>1300545.1733753206</v>
      </c>
      <c r="K9" s="60">
        <f>'II-Program Costs'!G7</f>
        <v>20380010.715784267</v>
      </c>
      <c r="L9" s="55">
        <f>SUM(J9:K9)</f>
        <v>21680555.889159586</v>
      </c>
      <c r="M9" s="55">
        <f>0.015*L9</f>
        <v>325208.33833739377</v>
      </c>
      <c r="N9" s="55">
        <f>SUM(L9:M9)</f>
        <v>22005764.227496982</v>
      </c>
      <c r="O9" s="330">
        <f t="shared" ref="O9:O33" si="1">ROUNDUP(N9/D9,7)</f>
        <v>7.6774E-3</v>
      </c>
      <c r="P9" s="291">
        <f>ROUNDUP(637*O9,2)</f>
        <v>4.8999999999999995</v>
      </c>
      <c r="Q9" s="55">
        <f t="shared" ref="Q9:Q33" si="2">12*E9*P9</f>
        <v>364136.76854832278</v>
      </c>
      <c r="R9" s="291">
        <f t="shared" ref="R9:R33" si="3">(Q9/(C9-E9))/12</f>
        <v>0.14118177254615261</v>
      </c>
      <c r="S9" s="291">
        <f>P9+R9</f>
        <v>5.0411817725461523</v>
      </c>
    </row>
    <row r="10" spans="2:19" x14ac:dyDescent="0.25">
      <c r="B10">
        <v>2027</v>
      </c>
      <c r="C10" s="60">
        <f>'II-Program Costs'!$D$35*POWER(1+'II-Program Costs'!$G$35,$B10-'II-Program Costs'!$F$35)</f>
        <v>226610.51178420975</v>
      </c>
      <c r="D10" s="60">
        <f>'II-Program Costs'!$D$38*POWER(1+'II-Program Costs'!$G$38,$B10-'II-Program Costs'!$F$38)*1000</f>
        <v>2937392226.6592126</v>
      </c>
      <c r="E10" s="60">
        <f>'II-Program Costs'!$D$36*POWER(1+'II-Program Costs'!$G$36,$B10-'II-Program Costs'!$F$36)</f>
        <v>6346.3836804136263</v>
      </c>
      <c r="G10" s="60">
        <f>12*'II-Program Costs'!$D$57*POWER(1+'II-Program Costs'!$G$57,$B10-'II-Program Costs'!$F$57)*'II-Program Costs'!$D$14*POWER(1+'II-Program Costs'!$G$14,$B10-'II-Program Costs'!$F$14)</f>
        <v>345851.03286675952</v>
      </c>
      <c r="H10" s="55">
        <f>12*'II-Program Costs'!$D$55*POWER(1+'II-Program Costs'!$G$55,$B10-'II-Program Costs'!$F$55)*'II-Program Costs'!$D$22*POWER(1+'II-Program Costs'!$G$22,$B10-'II-Program Costs'!$F$22) + 10 * ('II-Program Costs'!$D$22*POWER(1+'II-Program Costs'!$G$22,$B10-'II-Program Costs'!$F$22))</f>
        <v>55049.892208011574</v>
      </c>
      <c r="I10" s="56">
        <f>SUM('II-Program Costs'!$D$24:$D$25)*POWER(1+AVERAGE('II-Program Costs'!$G$24:$G$25),$B10-AVERAGE('II-Program Costs'!$F$24:$F$25))</f>
        <v>153750</v>
      </c>
      <c r="J10" s="55">
        <f t="shared" si="0"/>
        <v>554650.92507477105</v>
      </c>
      <c r="K10" s="60">
        <f>'II-Program Costs'!G8</f>
        <v>0</v>
      </c>
      <c r="L10" s="55">
        <f t="shared" ref="L10:L33" si="4">SUM(J10:K10)</f>
        <v>554650.92507477105</v>
      </c>
      <c r="M10" s="55">
        <f>0.015*SUM(L9:L10)</f>
        <v>333528.10221351538</v>
      </c>
      <c r="N10" s="55">
        <f t="shared" ref="N10:N33" si="5">SUM(L10:M10)</f>
        <v>888179.02728828648</v>
      </c>
      <c r="O10" s="330">
        <f t="shared" si="1"/>
        <v>3.0239999999999998E-4</v>
      </c>
      <c r="P10" s="291">
        <f t="shared" ref="P10:P33" si="6">ROUNDUP(637*O10,2)</f>
        <v>0.2</v>
      </c>
      <c r="Q10" s="55">
        <f t="shared" si="2"/>
        <v>15231.320832992704</v>
      </c>
      <c r="R10" s="291">
        <f t="shared" si="3"/>
        <v>5.7625213284143925E-3</v>
      </c>
      <c r="S10" s="291">
        <f t="shared" ref="S10:S33" si="7">P10+R10</f>
        <v>0.20576252132841441</v>
      </c>
    </row>
    <row r="11" spans="2:19" x14ac:dyDescent="0.25">
      <c r="B11">
        <v>2028</v>
      </c>
      <c r="C11" s="60">
        <f>'II-Program Costs'!$D$35*POWER(1+'II-Program Costs'!$G$35,$B11-'II-Program Costs'!$F$35)</f>
        <v>232230.45247645816</v>
      </c>
      <c r="D11" s="60">
        <f>'II-Program Costs'!$D$38*POWER(1+'II-Program Costs'!$G$38,$B11-'II-Program Costs'!$F$38)*1000</f>
        <v>3010239553.8803611</v>
      </c>
      <c r="E11" s="60">
        <f>'II-Program Costs'!$D$36*POWER(1+'II-Program Costs'!$G$36,$B11-'II-Program Costs'!$F$36)</f>
        <v>6503.7739956878841</v>
      </c>
      <c r="G11" s="60">
        <f>12*'II-Program Costs'!$D$57*POWER(1+'II-Program Costs'!$G$57,$B11-'II-Program Costs'!$F$57)*'II-Program Costs'!$D$14*POWER(1+'II-Program Costs'!$G$14,$B11-'II-Program Costs'!$F$14)</f>
        <v>363288.84194390144</v>
      </c>
      <c r="H11" s="55">
        <f>12*'II-Program Costs'!$D$55*POWER(1+'II-Program Costs'!$G$55,$B11-'II-Program Costs'!$F$55)*'II-Program Costs'!$D$22*POWER(1+'II-Program Costs'!$G$22,$B11-'II-Program Costs'!$F$22) + 10 * ('II-Program Costs'!$D$22*POWER(1+'II-Program Costs'!$G$22,$B11-'II-Program Costs'!$F$22))</f>
        <v>57811.366075604943</v>
      </c>
      <c r="I11" s="56">
        <f>SUM('II-Program Costs'!$D$24:$D$25)*POWER(1+AVERAGE('II-Program Costs'!$G$24:$G$25),$B11-AVERAGE('II-Program Costs'!$F$24:$F$25))</f>
        <v>157593.75</v>
      </c>
      <c r="J11" s="55">
        <f t="shared" si="0"/>
        <v>578693.95801950642</v>
      </c>
      <c r="K11" s="60">
        <f>'II-Program Costs'!G9</f>
        <v>20380010.715784267</v>
      </c>
      <c r="L11" s="55">
        <f t="shared" si="4"/>
        <v>20958704.673803773</v>
      </c>
      <c r="M11" s="55">
        <f>0.015*SUM(L9:L11)</f>
        <v>647908.67232057196</v>
      </c>
      <c r="N11" s="55">
        <f t="shared" si="5"/>
        <v>21606613.346124344</v>
      </c>
      <c r="O11" s="330">
        <f t="shared" si="1"/>
        <v>7.1778000000000007E-3</v>
      </c>
      <c r="P11" s="291">
        <f t="shared" si="6"/>
        <v>4.58</v>
      </c>
      <c r="Q11" s="55">
        <f t="shared" si="2"/>
        <v>357447.41880300612</v>
      </c>
      <c r="R11" s="291">
        <f t="shared" si="3"/>
        <v>0.13196173842068962</v>
      </c>
      <c r="S11" s="291">
        <f t="shared" si="7"/>
        <v>4.7119617384206895</v>
      </c>
    </row>
    <row r="12" spans="2:19" x14ac:dyDescent="0.25">
      <c r="B12">
        <v>2029</v>
      </c>
      <c r="C12" s="60">
        <f>'II-Program Costs'!$D$35*POWER(1+'II-Program Costs'!$G$35,$B12-'II-Program Costs'!$F$35)</f>
        <v>237989.76769787428</v>
      </c>
      <c r="D12" s="60">
        <f>'II-Program Costs'!$D$38*POWER(1+'II-Program Costs'!$G$38,$B12-'II-Program Costs'!$F$38)*1000</f>
        <v>3084893494.8165932</v>
      </c>
      <c r="E12" s="60">
        <f>'II-Program Costs'!$D$36*POWER(1+'II-Program Costs'!$G$36,$B12-'II-Program Costs'!$F$36)</f>
        <v>6665.0675907809427</v>
      </c>
      <c r="G12" s="60">
        <f>12*'II-Program Costs'!$D$57*POWER(1+'II-Program Costs'!$G$57,$B12-'II-Program Costs'!$F$57)*'II-Program Costs'!$D$14*POWER(1+'II-Program Costs'!$G$14,$B12-'II-Program Costs'!$F$14)</f>
        <v>381605.86535471288</v>
      </c>
      <c r="H12" s="55">
        <f>12*'II-Program Costs'!$D$55*POWER(1+'II-Program Costs'!$G$55,$B12-'II-Program Costs'!$F$55)*'II-Program Costs'!$D$22*POWER(1+'II-Program Costs'!$G$22,$B12-'II-Program Costs'!$F$22) + 10 * ('II-Program Costs'!$D$22*POWER(1+'II-Program Costs'!$G$22,$B12-'II-Program Costs'!$F$22))</f>
        <v>60711.719913164015</v>
      </c>
      <c r="I12" s="56">
        <f>SUM('II-Program Costs'!$D$24:$D$25)*POWER(1+AVERAGE('II-Program Costs'!$G$24:$G$25),$B12-AVERAGE('II-Program Costs'!$F$24:$F$25))</f>
        <v>161533.59374999997</v>
      </c>
      <c r="J12" s="55">
        <f t="shared" si="0"/>
        <v>603851.17901787686</v>
      </c>
      <c r="K12">
        <v>0</v>
      </c>
      <c r="L12" s="55">
        <f t="shared" si="4"/>
        <v>603851.17901787686</v>
      </c>
      <c r="M12" s="55">
        <f>0.015*SUM(L9:L12)</f>
        <v>656966.44000584015</v>
      </c>
      <c r="N12" s="55">
        <f t="shared" si="5"/>
        <v>1260817.619023717</v>
      </c>
      <c r="O12" s="330">
        <f t="shared" si="1"/>
        <v>4.0880000000000002E-4</v>
      </c>
      <c r="P12" s="291">
        <f t="shared" si="6"/>
        <v>0.27</v>
      </c>
      <c r="Q12" s="55">
        <f t="shared" si="2"/>
        <v>21594.818994130255</v>
      </c>
      <c r="R12" s="291">
        <f t="shared" si="3"/>
        <v>7.7794037933594301E-3</v>
      </c>
      <c r="S12" s="291">
        <f t="shared" si="7"/>
        <v>0.27777940379335947</v>
      </c>
    </row>
    <row r="13" spans="2:19" x14ac:dyDescent="0.25">
      <c r="B13">
        <v>2030</v>
      </c>
      <c r="C13" s="60">
        <f>'II-Program Costs'!$D$35*POWER(1+'II-Program Costs'!$G$35,$B13-'II-Program Costs'!$F$35)</f>
        <v>243891.91393678152</v>
      </c>
      <c r="D13" s="60">
        <f>'II-Program Costs'!$D$38*POWER(1+'II-Program Costs'!$G$38,$B13-'II-Program Costs'!$F$38)*1000</f>
        <v>3161398853.4880443</v>
      </c>
      <c r="E13" s="60">
        <f>'II-Program Costs'!$D$36*POWER(1+'II-Program Costs'!$G$36,$B13-'II-Program Costs'!$F$36)</f>
        <v>6830.3612670323091</v>
      </c>
      <c r="G13" s="60">
        <f>12*'II-Program Costs'!$D$57*POWER(1+'II-Program Costs'!$G$57,$B13-'II-Program Costs'!$F$57)*'II-Program Costs'!$D$14*POWER(1+'II-Program Costs'!$G$14,$B13-'II-Program Costs'!$F$14)</f>
        <v>400846.43308589741</v>
      </c>
      <c r="H13" s="55">
        <f>12*'II-Program Costs'!$D$55*POWER(1+'II-Program Costs'!$G$55,$B13-'II-Program Costs'!$F$55)*'II-Program Costs'!$D$22*POWER(1+'II-Program Costs'!$G$22,$B13-'II-Program Costs'!$F$22) + 10 * ('II-Program Costs'!$D$22*POWER(1+'II-Program Costs'!$G$22,$B13-'II-Program Costs'!$F$22))</f>
        <v>63757.947210213475</v>
      </c>
      <c r="I13" s="56">
        <f>SUM('II-Program Costs'!$D$24:$D$25)*POWER(1+AVERAGE('II-Program Costs'!$G$24:$G$25),$B13-AVERAGE('II-Program Costs'!$F$24:$F$25))</f>
        <v>165571.93359374997</v>
      </c>
      <c r="J13" s="55">
        <f t="shared" si="0"/>
        <v>630176.31388986087</v>
      </c>
      <c r="K13">
        <v>0</v>
      </c>
      <c r="L13" s="55">
        <f t="shared" si="4"/>
        <v>630176.31388986087</v>
      </c>
      <c r="M13" s="55">
        <f>0.015*SUM(L9:L13)</f>
        <v>666419.08471418801</v>
      </c>
      <c r="N13" s="55">
        <f t="shared" si="5"/>
        <v>1296595.3986040489</v>
      </c>
      <c r="O13" s="330">
        <f t="shared" si="1"/>
        <v>4.102E-4</v>
      </c>
      <c r="P13" s="291">
        <f t="shared" si="6"/>
        <v>0.27</v>
      </c>
      <c r="Q13" s="55">
        <f t="shared" si="2"/>
        <v>22130.370505184685</v>
      </c>
      <c r="R13" s="291">
        <f t="shared" si="3"/>
        <v>7.7794037933594309E-3</v>
      </c>
      <c r="S13" s="291">
        <f t="shared" si="7"/>
        <v>0.27777940379335947</v>
      </c>
    </row>
    <row r="14" spans="2:19" x14ac:dyDescent="0.25">
      <c r="B14">
        <v>2031</v>
      </c>
      <c r="C14" s="60">
        <f>'II-Program Costs'!$D$35*POWER(1+'II-Program Costs'!$G$35,$B14-'II-Program Costs'!$F$35)</f>
        <v>249940.43340241374</v>
      </c>
      <c r="D14" s="60">
        <f>'II-Program Costs'!$D$38*POWER(1+'II-Program Costs'!$G$38,$B14-'II-Program Costs'!$F$38)*1000</f>
        <v>3239801545.0545478</v>
      </c>
      <c r="E14" s="60">
        <f>'II-Program Costs'!$D$36*POWER(1+'II-Program Costs'!$G$36,$B14-'II-Program Costs'!$F$36)</f>
        <v>6999.754226454711</v>
      </c>
      <c r="G14" s="60">
        <f>12*'II-Program Costs'!$D$57*POWER(1+'II-Program Costs'!$G$57,$B14-'II-Program Costs'!$F$57)*'II-Program Costs'!$D$14*POWER(1+'II-Program Costs'!$G$14,$B14-'II-Program Costs'!$F$14)</f>
        <v>421057.11024208838</v>
      </c>
      <c r="H14" s="55">
        <f>12*'II-Program Costs'!$D$55*POWER(1+'II-Program Costs'!$G$55,$B14-'II-Program Costs'!$F$55)*'II-Program Costs'!$D$22*POWER(1+'II-Program Costs'!$G$22,$B14-'II-Program Costs'!$F$22) + 10 * ('II-Program Costs'!$D$22*POWER(1+'II-Program Costs'!$G$22,$B14-'II-Program Costs'!$F$22))</f>
        <v>66957.393847055879</v>
      </c>
      <c r="I14" s="56">
        <f>SUM('II-Program Costs'!$D$24:$D$25)*POWER(1+AVERAGE('II-Program Costs'!$G$24:$G$25),$B14-AVERAGE('II-Program Costs'!$F$24:$F$25))</f>
        <v>169711.23193359369</v>
      </c>
      <c r="J14" s="55">
        <f t="shared" si="0"/>
        <v>657725.73602273804</v>
      </c>
      <c r="K14">
        <v>0</v>
      </c>
      <c r="L14" s="55">
        <f t="shared" si="4"/>
        <v>657725.73602273804</v>
      </c>
      <c r="M14" s="55">
        <f>0.015*SUM(L9:L14)</f>
        <v>676284.97075452912</v>
      </c>
      <c r="N14" s="55">
        <f t="shared" si="5"/>
        <v>1334010.7067772672</v>
      </c>
      <c r="O14" s="330">
        <f t="shared" si="1"/>
        <v>4.1179999999999998E-4</v>
      </c>
      <c r="P14" s="291">
        <f t="shared" si="6"/>
        <v>0.27</v>
      </c>
      <c r="Q14" s="55">
        <f t="shared" si="2"/>
        <v>22679.203693713265</v>
      </c>
      <c r="R14" s="291">
        <f t="shared" si="3"/>
        <v>7.7794037933594309E-3</v>
      </c>
      <c r="S14" s="291">
        <f t="shared" si="7"/>
        <v>0.27777940379335947</v>
      </c>
    </row>
    <row r="15" spans="2:19" x14ac:dyDescent="0.25">
      <c r="B15">
        <v>2032</v>
      </c>
      <c r="C15" s="60">
        <f>'II-Program Costs'!$D$35*POWER(1+'II-Program Costs'!$G$35,$B15-'II-Program Costs'!$F$35)</f>
        <v>256138.95615079359</v>
      </c>
      <c r="D15" s="60">
        <f>'II-Program Costs'!$D$38*POWER(1+'II-Program Costs'!$G$38,$B15-'II-Program Costs'!$F$38)*1000</f>
        <v>3320148623.371901</v>
      </c>
      <c r="E15" s="60">
        <f>'II-Program Costs'!$D$36*POWER(1+'II-Program Costs'!$G$36,$B15-'II-Program Costs'!$F$36)</f>
        <v>7173.3481312707872</v>
      </c>
      <c r="G15" s="60">
        <f>12*'II-Program Costs'!$D$57*POWER(1+'II-Program Costs'!$G$57,$B15-'II-Program Costs'!$F$57)*'II-Program Costs'!$D$14*POWER(1+'II-Program Costs'!$G$14,$B15-'II-Program Costs'!$F$14)</f>
        <v>442286.80974049447</v>
      </c>
      <c r="H15" s="55">
        <f>12*'II-Program Costs'!$D$55*POWER(1+'II-Program Costs'!$G$55,$B15-'II-Program Costs'!$F$55)*'II-Program Costs'!$D$22*POWER(1+'II-Program Costs'!$G$22,$B15-'II-Program Costs'!$F$22) + 10 * ('II-Program Costs'!$D$22*POWER(1+'II-Program Costs'!$G$22,$B15-'II-Program Costs'!$F$22))</f>
        <v>70317.775856790468</v>
      </c>
      <c r="I15" s="56">
        <f>SUM('II-Program Costs'!$D$24:$D$25)*POWER(1+AVERAGE('II-Program Costs'!$G$24:$G$25),$B15-AVERAGE('II-Program Costs'!$F$24:$F$25))</f>
        <v>173954.01273193353</v>
      </c>
      <c r="J15" s="55">
        <f t="shared" si="0"/>
        <v>686558.59832921845</v>
      </c>
      <c r="K15">
        <v>0</v>
      </c>
      <c r="L15" s="55">
        <f t="shared" si="4"/>
        <v>686558.59832921845</v>
      </c>
      <c r="M15" s="55">
        <f>0.015*SUM(L9:L15)</f>
        <v>686583.34972946742</v>
      </c>
      <c r="N15" s="55">
        <f t="shared" si="5"/>
        <v>1373141.9480586858</v>
      </c>
      <c r="O15" s="330">
        <f t="shared" si="1"/>
        <v>4.1360000000000002E-4</v>
      </c>
      <c r="P15" s="291">
        <f t="shared" si="6"/>
        <v>0.27</v>
      </c>
      <c r="Q15" s="55">
        <f t="shared" si="2"/>
        <v>23241.647945317352</v>
      </c>
      <c r="R15" s="291">
        <f t="shared" si="3"/>
        <v>7.7794037933594309E-3</v>
      </c>
      <c r="S15" s="291">
        <f t="shared" si="7"/>
        <v>0.27777940379335947</v>
      </c>
    </row>
    <row r="16" spans="2:19" x14ac:dyDescent="0.25">
      <c r="B16">
        <v>2033</v>
      </c>
      <c r="C16" s="60">
        <f>'II-Program Costs'!$D$35*POWER(1+'II-Program Costs'!$G$35,$B16-'II-Program Costs'!$F$35)</f>
        <v>262491.20226333325</v>
      </c>
      <c r="D16" s="60">
        <f>'II-Program Costs'!$D$38*POWER(1+'II-Program Costs'!$G$38,$B16-'II-Program Costs'!$F$38)*1000</f>
        <v>3402488309.2315235</v>
      </c>
      <c r="E16" s="60">
        <f>'II-Program Costs'!$D$36*POWER(1+'II-Program Costs'!$G$36,$B16-'II-Program Costs'!$F$36)</f>
        <v>7351.2471649263025</v>
      </c>
      <c r="G16" s="60">
        <f>12*'II-Program Costs'!$D$57*POWER(1+'II-Program Costs'!$G$57,$B16-'II-Program Costs'!$F$57)*'II-Program Costs'!$D$14*POWER(1+'II-Program Costs'!$G$14,$B16-'II-Program Costs'!$F$14)</f>
        <v>464586.91068761004</v>
      </c>
      <c r="H16" s="55">
        <f>12*'II-Program Costs'!$D$55*POWER(1+'II-Program Costs'!$G$55,$B16-'II-Program Costs'!$F$55)*'II-Program Costs'!$D$22*POWER(1+'II-Program Costs'!$G$22,$B16-'II-Program Costs'!$F$22) + 10 * ('II-Program Costs'!$D$22*POWER(1+'II-Program Costs'!$G$22,$B16-'II-Program Costs'!$F$22))</f>
        <v>73847.198082755014</v>
      </c>
      <c r="I16" s="56">
        <f>SUM('II-Program Costs'!$D$24:$D$25)*POWER(1+AVERAGE('II-Program Costs'!$G$24:$G$25),$B16-AVERAGE('II-Program Costs'!$F$24:$F$25))</f>
        <v>178302.86305023188</v>
      </c>
      <c r="J16" s="55">
        <f t="shared" si="0"/>
        <v>716736.97182059684</v>
      </c>
      <c r="K16">
        <v>0</v>
      </c>
      <c r="L16" s="55">
        <f t="shared" si="4"/>
        <v>716736.97182059684</v>
      </c>
      <c r="M16" s="55">
        <f>0.015*SUM(L9:L16)</f>
        <v>697334.40430677636</v>
      </c>
      <c r="N16" s="55">
        <f t="shared" si="5"/>
        <v>1414071.3761273732</v>
      </c>
      <c r="O16" s="330">
        <f t="shared" si="1"/>
        <v>4.1560000000000002E-4</v>
      </c>
      <c r="P16" s="291">
        <f t="shared" si="6"/>
        <v>0.27</v>
      </c>
      <c r="Q16" s="55">
        <f t="shared" si="2"/>
        <v>23818.040814361222</v>
      </c>
      <c r="R16" s="291">
        <f t="shared" si="3"/>
        <v>7.7794037933594309E-3</v>
      </c>
      <c r="S16" s="291">
        <f t="shared" si="7"/>
        <v>0.27777940379335947</v>
      </c>
    </row>
    <row r="17" spans="2:19" x14ac:dyDescent="0.25">
      <c r="B17">
        <v>2034</v>
      </c>
      <c r="C17" s="60">
        <f>'II-Program Costs'!$D$35*POWER(1+'II-Program Costs'!$G$35,$B17-'II-Program Costs'!$F$35)</f>
        <v>269000.98407946387</v>
      </c>
      <c r="D17" s="60">
        <f>'II-Program Costs'!$D$38*POWER(1+'II-Program Costs'!$G$38,$B17-'II-Program Costs'!$F$38)*1000</f>
        <v>3486870019.3004651</v>
      </c>
      <c r="E17" s="60">
        <f>'II-Program Costs'!$D$36*POWER(1+'II-Program Costs'!$G$36,$B17-'II-Program Costs'!$F$36)</f>
        <v>7533.5580946164737</v>
      </c>
      <c r="G17" s="60">
        <f>12*'II-Program Costs'!$D$57*POWER(1+'II-Program Costs'!$G$57,$B17-'II-Program Costs'!$F$57)*'II-Program Costs'!$D$14*POWER(1+'II-Program Costs'!$G$14,$B17-'II-Program Costs'!$F$14)</f>
        <v>488011.38272447931</v>
      </c>
      <c r="H17" s="55">
        <f>12*'II-Program Costs'!$D$55*POWER(1+'II-Program Costs'!$G$55,$B17-'II-Program Costs'!$F$55)*'II-Program Costs'!$D$22*POWER(1+'II-Program Costs'!$G$22,$B17-'II-Program Costs'!$F$22) + 10 * ('II-Program Costs'!$D$22*POWER(1+'II-Program Costs'!$G$22,$B17-'II-Program Costs'!$F$22))</f>
        <v>77554.173776534328</v>
      </c>
      <c r="I17" s="56">
        <f>SUM('II-Program Costs'!$D$24:$D$25)*POWER(1+AVERAGE('II-Program Costs'!$G$24:$G$25),$B17-AVERAGE('II-Program Costs'!$F$24:$F$25))</f>
        <v>182760.43462648767</v>
      </c>
      <c r="J17" s="55">
        <f t="shared" si="0"/>
        <v>748325.99112750136</v>
      </c>
      <c r="K17">
        <v>0</v>
      </c>
      <c r="L17" s="55">
        <f t="shared" si="4"/>
        <v>748325.99112750136</v>
      </c>
      <c r="M17" s="55">
        <f>0.015*SUM(L9:L17)</f>
        <v>708559.29417368886</v>
      </c>
      <c r="N17" s="55">
        <f t="shared" si="5"/>
        <v>1456885.2853011903</v>
      </c>
      <c r="O17" s="330">
        <f t="shared" si="1"/>
        <v>4.1790000000000002E-4</v>
      </c>
      <c r="P17" s="291">
        <f t="shared" si="6"/>
        <v>0.27</v>
      </c>
      <c r="Q17" s="55">
        <f t="shared" si="2"/>
        <v>24408.728226557378</v>
      </c>
      <c r="R17" s="291">
        <f t="shared" si="3"/>
        <v>7.7794037933594309E-3</v>
      </c>
      <c r="S17" s="291">
        <f t="shared" si="7"/>
        <v>0.27777940379335947</v>
      </c>
    </row>
    <row r="18" spans="2:19" x14ac:dyDescent="0.25">
      <c r="B18">
        <v>2035</v>
      </c>
      <c r="C18" s="60">
        <f>'II-Program Costs'!$D$35*POWER(1+'II-Program Costs'!$G$35,$B18-'II-Program Costs'!$F$35)</f>
        <v>275672.20848463458</v>
      </c>
      <c r="D18" s="60">
        <f>'II-Program Costs'!$D$38*POWER(1+'II-Program Costs'!$G$38,$B18-'II-Program Costs'!$F$38)*1000</f>
        <v>3573344395.7791166</v>
      </c>
      <c r="E18" s="60">
        <f>'II-Program Costs'!$D$36*POWER(1+'II-Program Costs'!$G$36,$B18-'II-Program Costs'!$F$36)</f>
        <v>7720.3903353629621</v>
      </c>
      <c r="G18" s="60">
        <f>12*'II-Program Costs'!$D$57*POWER(1+'II-Program Costs'!$G$57,$B18-'II-Program Costs'!$F$57)*'II-Program Costs'!$D$14*POWER(1+'II-Program Costs'!$G$14,$B18-'II-Program Costs'!$F$14)</f>
        <v>512616.91664144752</v>
      </c>
      <c r="H18" s="55">
        <f>12*'II-Program Costs'!$D$55*POWER(1+'II-Program Costs'!$G$55,$B18-'II-Program Costs'!$F$55)*'II-Program Costs'!$D$22*POWER(1+'II-Program Costs'!$G$22,$B18-'II-Program Costs'!$F$22) + 10 * ('II-Program Costs'!$D$22*POWER(1+'II-Program Costs'!$G$22,$B18-'II-Program Costs'!$F$22))</f>
        <v>81447.645183955145</v>
      </c>
      <c r="I18" s="56">
        <f>SUM('II-Program Costs'!$D$24:$D$25)*POWER(1+AVERAGE('II-Program Costs'!$G$24:$G$25),$B18-AVERAGE('II-Program Costs'!$F$24:$F$25))</f>
        <v>187329.44549214983</v>
      </c>
      <c r="J18" s="55">
        <f t="shared" si="0"/>
        <v>781394.00731755246</v>
      </c>
      <c r="K18">
        <v>0</v>
      </c>
      <c r="L18" s="55">
        <f t="shared" si="4"/>
        <v>781394.00731755246</v>
      </c>
      <c r="M18" s="55">
        <f>0.015*SUM(L9:L18)</f>
        <v>720280.20428345213</v>
      </c>
      <c r="N18" s="55">
        <f t="shared" si="5"/>
        <v>1501674.2116010045</v>
      </c>
      <c r="O18" s="330">
        <f t="shared" si="1"/>
        <v>4.2030000000000002E-4</v>
      </c>
      <c r="P18" s="291">
        <f t="shared" si="6"/>
        <v>0.27</v>
      </c>
      <c r="Q18" s="55">
        <f t="shared" si="2"/>
        <v>25014.064686575999</v>
      </c>
      <c r="R18" s="291">
        <f t="shared" si="3"/>
        <v>7.7794037933594309E-3</v>
      </c>
      <c r="S18" s="291">
        <f t="shared" si="7"/>
        <v>0.27777940379335947</v>
      </c>
    </row>
    <row r="19" spans="2:19" x14ac:dyDescent="0.25">
      <c r="B19">
        <v>2036</v>
      </c>
      <c r="C19" s="60">
        <f>'II-Program Costs'!$D$35*POWER(1+'II-Program Costs'!$G$35,$B19-'II-Program Costs'!$F$35)</f>
        <v>282508.87925505353</v>
      </c>
      <c r="D19" s="60">
        <f>'II-Program Costs'!$D$38*POWER(1+'II-Program Costs'!$G$38,$B19-'II-Program Costs'!$F$38)*1000</f>
        <v>3661963336.7944388</v>
      </c>
      <c r="E19" s="60">
        <f>'II-Program Costs'!$D$36*POWER(1+'II-Program Costs'!$G$36,$B19-'II-Program Costs'!$F$36)</f>
        <v>7911.8560156799631</v>
      </c>
      <c r="G19" s="60">
        <f>12*'II-Program Costs'!$D$57*POWER(1+'II-Program Costs'!$G$57,$B19-'II-Program Costs'!$F$57)*'II-Program Costs'!$D$14*POWER(1+'II-Program Costs'!$G$14,$B19-'II-Program Costs'!$F$14)</f>
        <v>538463.06157850916</v>
      </c>
      <c r="H19" s="55">
        <f>12*'II-Program Costs'!$D$55*POWER(1+'II-Program Costs'!$G$55,$B19-'II-Program Costs'!$F$55)*'II-Program Costs'!$D$22*POWER(1+'II-Program Costs'!$G$22,$B19-'II-Program Costs'!$F$22) + 10 * ('II-Program Costs'!$D$22*POWER(1+'II-Program Costs'!$G$22,$B19-'II-Program Costs'!$F$22))</f>
        <v>85537.005168878357</v>
      </c>
      <c r="I19" s="56">
        <f>SUM('II-Program Costs'!$D$24:$D$25)*POWER(1+AVERAGE('II-Program Costs'!$G$24:$G$25),$B19-AVERAGE('II-Program Costs'!$F$24:$F$25))</f>
        <v>192012.68162945355</v>
      </c>
      <c r="J19" s="55">
        <f t="shared" si="0"/>
        <v>816012.74837684107</v>
      </c>
      <c r="K19">
        <v>0</v>
      </c>
      <c r="L19" s="55">
        <f t="shared" si="4"/>
        <v>816012.74837684107</v>
      </c>
      <c r="M19" s="55">
        <f>0.015*SUM(L9:L19)</f>
        <v>732520.39550910471</v>
      </c>
      <c r="N19" s="55">
        <f t="shared" si="5"/>
        <v>1548533.1438859459</v>
      </c>
      <c r="O19" s="330">
        <f t="shared" si="1"/>
        <v>4.2289999999999998E-4</v>
      </c>
      <c r="P19" s="291">
        <f t="shared" si="6"/>
        <v>0.27</v>
      </c>
      <c r="Q19" s="55">
        <f t="shared" si="2"/>
        <v>25634.413490803079</v>
      </c>
      <c r="R19" s="291">
        <f t="shared" si="3"/>
        <v>7.7794037933594283E-3</v>
      </c>
      <c r="S19" s="291">
        <f t="shared" si="7"/>
        <v>0.27777940379335947</v>
      </c>
    </row>
    <row r="20" spans="2:19" x14ac:dyDescent="0.25">
      <c r="B20">
        <v>2037</v>
      </c>
      <c r="C20" s="60">
        <f>'II-Program Costs'!$D$35*POWER(1+'II-Program Costs'!$G$35,$B20-'II-Program Costs'!$F$35)</f>
        <v>289515.09946057881</v>
      </c>
      <c r="D20" s="60">
        <f>'II-Program Costs'!$D$38*POWER(1+'II-Program Costs'!$G$38,$B20-'II-Program Costs'!$F$38)*1000</f>
        <v>3752780027.5469398</v>
      </c>
      <c r="E20" s="60">
        <f>'II-Program Costs'!$D$36*POWER(1+'II-Program Costs'!$G$36,$B20-'II-Program Costs'!$F$36)</f>
        <v>8108.0700448688258</v>
      </c>
      <c r="G20" s="60">
        <f>12*'II-Program Costs'!$D$57*POWER(1+'II-Program Costs'!$G$57,$B20-'II-Program Costs'!$F$57)*'II-Program Costs'!$D$14*POWER(1+'II-Program Costs'!$G$14,$B20-'II-Program Costs'!$F$14)</f>
        <v>565612.36914329755</v>
      </c>
      <c r="H20" s="55">
        <f>12*'II-Program Costs'!$D$55*POWER(1+'II-Program Costs'!$G$55,$B20-'II-Program Costs'!$F$55)*'II-Program Costs'!$D$22*POWER(1+'II-Program Costs'!$G$22,$B20-'II-Program Costs'!$F$22) + 10 * ('II-Program Costs'!$D$22*POWER(1+'II-Program Costs'!$G$22,$B20-'II-Program Costs'!$F$22))</f>
        <v>89832.119927110063</v>
      </c>
      <c r="I20" s="56">
        <f>SUM('II-Program Costs'!$D$24:$D$25)*POWER(1+AVERAGE('II-Program Costs'!$G$24:$G$25),$B20-AVERAGE('II-Program Costs'!$F$24:$F$25))</f>
        <v>196812.9986701899</v>
      </c>
      <c r="J20" s="55">
        <f t="shared" si="0"/>
        <v>852257.48774059745</v>
      </c>
      <c r="K20">
        <v>0</v>
      </c>
      <c r="L20" s="55">
        <f t="shared" si="4"/>
        <v>852257.48774059745</v>
      </c>
      <c r="M20" s="55">
        <f>0.015*SUM(L9:L20)</f>
        <v>745304.25782521372</v>
      </c>
      <c r="N20" s="55">
        <f t="shared" si="5"/>
        <v>1597561.7455658112</v>
      </c>
      <c r="O20" s="330">
        <f t="shared" si="1"/>
        <v>4.258E-4</v>
      </c>
      <c r="P20" s="291">
        <f t="shared" si="6"/>
        <v>0.28000000000000003</v>
      </c>
      <c r="Q20" s="55">
        <f t="shared" si="2"/>
        <v>27243.115350759257</v>
      </c>
      <c r="R20" s="291">
        <f t="shared" si="3"/>
        <v>8.0675298597801485E-3</v>
      </c>
      <c r="S20" s="291">
        <f t="shared" si="7"/>
        <v>0.28806752985978018</v>
      </c>
    </row>
    <row r="21" spans="2:19" x14ac:dyDescent="0.25">
      <c r="B21">
        <v>2038</v>
      </c>
      <c r="C21" s="60">
        <f>'II-Program Costs'!$D$35*POWER(1+'II-Program Costs'!$G$35,$B21-'II-Program Costs'!$F$35)</f>
        <v>296695.0739272011</v>
      </c>
      <c r="D21" s="60">
        <f>'II-Program Costs'!$D$38*POWER(1+'II-Program Costs'!$G$38,$B21-'II-Program Costs'!$F$38)*1000</f>
        <v>3845848972.230104</v>
      </c>
      <c r="E21" s="60">
        <f>'II-Program Costs'!$D$36*POWER(1+'II-Program Costs'!$G$36,$B21-'II-Program Costs'!$F$36)</f>
        <v>8309.1501819815712</v>
      </c>
      <c r="G21" s="60">
        <f>12*'II-Program Costs'!$D$57*POWER(1+'II-Program Costs'!$G$57,$B21-'II-Program Costs'!$F$57)*'II-Program Costs'!$D$14*POWER(1+'II-Program Costs'!$G$14,$B21-'II-Program Costs'!$F$14)</f>
        <v>594130.54479550256</v>
      </c>
      <c r="H21" s="55">
        <f>12*'II-Program Costs'!$D$55*POWER(1+'II-Program Costs'!$G$55,$B21-'II-Program Costs'!$F$55)*'II-Program Costs'!$D$22*POWER(1+'II-Program Costs'!$G$22,$B21-'II-Program Costs'!$F$22) + 10 * ('II-Program Costs'!$D$22*POWER(1+'II-Program Costs'!$G$22,$B21-'II-Program Costs'!$F$22))</f>
        <v>94343.352845392248</v>
      </c>
      <c r="I21" s="56">
        <f>SUM('II-Program Costs'!$D$24:$D$25)*POWER(1+AVERAGE('II-Program Costs'!$G$24:$G$25),$B21-AVERAGE('II-Program Costs'!$F$24:$F$25))</f>
        <v>201733.32363694464</v>
      </c>
      <c r="J21" s="55">
        <f t="shared" si="0"/>
        <v>890207.2212778395</v>
      </c>
      <c r="K21">
        <v>0</v>
      </c>
      <c r="L21" s="55">
        <f t="shared" si="4"/>
        <v>890207.2212778395</v>
      </c>
      <c r="M21" s="55">
        <f>0.015*SUM(L9:L21)</f>
        <v>758657.36614438123</v>
      </c>
      <c r="N21" s="55">
        <f t="shared" si="5"/>
        <v>1648864.5874222207</v>
      </c>
      <c r="O21" s="330">
        <f t="shared" si="1"/>
        <v>4.2880000000000001E-4</v>
      </c>
      <c r="P21" s="291">
        <f t="shared" si="6"/>
        <v>0.28000000000000003</v>
      </c>
      <c r="Q21" s="55">
        <f t="shared" si="2"/>
        <v>27918.744611458082</v>
      </c>
      <c r="R21" s="291">
        <f t="shared" si="3"/>
        <v>8.0675298597801502E-3</v>
      </c>
      <c r="S21" s="291">
        <f t="shared" si="7"/>
        <v>0.28806752985978018</v>
      </c>
    </row>
    <row r="22" spans="2:19" x14ac:dyDescent="0.25">
      <c r="B22">
        <v>2039</v>
      </c>
      <c r="C22" s="60">
        <f>'II-Program Costs'!$D$35*POWER(1+'II-Program Costs'!$G$35,$B22-'II-Program Costs'!$F$35)</f>
        <v>304053.1117605957</v>
      </c>
      <c r="D22" s="60">
        <f>'II-Program Costs'!$D$38*POWER(1+'II-Program Costs'!$G$38,$B22-'II-Program Costs'!$F$38)*1000</f>
        <v>3941226026.7414107</v>
      </c>
      <c r="E22" s="60">
        <f>'II-Program Costs'!$D$36*POWER(1+'II-Program Costs'!$G$36,$B22-'II-Program Costs'!$F$36)</f>
        <v>8515.2171064947142</v>
      </c>
      <c r="G22" s="60">
        <f>12*'II-Program Costs'!$D$57*POWER(1+'II-Program Costs'!$G$57,$B22-'II-Program Costs'!$F$57)*'II-Program Costs'!$D$14*POWER(1+'II-Program Costs'!$G$14,$B22-'II-Program Costs'!$F$14)</f>
        <v>624086.60686409194</v>
      </c>
      <c r="H22" s="55">
        <f>12*'II-Program Costs'!$D$55*POWER(1+'II-Program Costs'!$G$55,$B22-'II-Program Costs'!$F$55)*'II-Program Costs'!$D$22*POWER(1+'II-Program Costs'!$G$22,$B22-'II-Program Costs'!$F$22) + 10 * ('II-Program Costs'!$D$22*POWER(1+'II-Program Costs'!$G$22,$B22-'II-Program Costs'!$F$22))</f>
        <v>99081.589563203161</v>
      </c>
      <c r="I22" s="56">
        <f>SUM('II-Program Costs'!$D$24:$D$25)*POWER(1+AVERAGE('II-Program Costs'!$G$24:$G$25),$B22-AVERAGE('II-Program Costs'!$F$24:$F$25))</f>
        <v>206776.65672786825</v>
      </c>
      <c r="J22" s="55">
        <f t="shared" si="0"/>
        <v>929944.85315516335</v>
      </c>
      <c r="K22">
        <v>0</v>
      </c>
      <c r="L22" s="55">
        <f t="shared" si="4"/>
        <v>929944.85315516335</v>
      </c>
      <c r="M22" s="55">
        <f>0.015*SUM(L9:L22)</f>
        <v>772606.53894170874</v>
      </c>
      <c r="N22" s="55">
        <f t="shared" si="5"/>
        <v>1702551.392096872</v>
      </c>
      <c r="O22" s="330">
        <f t="shared" si="1"/>
        <v>4.3199999999999998E-4</v>
      </c>
      <c r="P22" s="291">
        <f t="shared" si="6"/>
        <v>0.28000000000000003</v>
      </c>
      <c r="Q22" s="55">
        <f t="shared" si="2"/>
        <v>28611.129477822244</v>
      </c>
      <c r="R22" s="291">
        <f t="shared" si="3"/>
        <v>8.0675298597801502E-3</v>
      </c>
      <c r="S22" s="291">
        <f t="shared" si="7"/>
        <v>0.28806752985978018</v>
      </c>
    </row>
    <row r="23" spans="2:19" x14ac:dyDescent="0.25">
      <c r="B23">
        <v>2040</v>
      </c>
      <c r="C23" s="60">
        <f>'II-Program Costs'!$D$35*POWER(1+'II-Program Costs'!$G$35,$B23-'II-Program Costs'!$F$35)</f>
        <v>311593.62893225846</v>
      </c>
      <c r="D23" s="60">
        <f>'II-Program Costs'!$D$38*POWER(1+'II-Program Costs'!$G$38,$B23-'II-Program Costs'!$F$38)*1000</f>
        <v>4038968432.204597</v>
      </c>
      <c r="E23" s="60">
        <f>'II-Program Costs'!$D$36*POWER(1+'II-Program Costs'!$G$36,$B23-'II-Program Costs'!$F$36)</f>
        <v>8726.3944907357836</v>
      </c>
      <c r="G23" s="60">
        <f>12*'II-Program Costs'!$D$57*POWER(1+'II-Program Costs'!$G$57,$B23-'II-Program Costs'!$F$57)*'II-Program Costs'!$D$14*POWER(1+'II-Program Costs'!$G$14,$B23-'II-Program Costs'!$F$14)</f>
        <v>655553.05358217936</v>
      </c>
      <c r="H23" s="55">
        <f>12*'II-Program Costs'!$D$55*POWER(1+'II-Program Costs'!$G$55,$B23-'II-Program Costs'!$F$55)*'II-Program Costs'!$D$22*POWER(1+'II-Program Costs'!$G$22,$B23-'II-Program Costs'!$F$22) + 10 * ('II-Program Costs'!$D$22*POWER(1+'II-Program Costs'!$G$22,$B23-'II-Program Costs'!$F$22))</f>
        <v>104058.26429800976</v>
      </c>
      <c r="I23" s="56">
        <f>SUM('II-Program Costs'!$D$24:$D$25)*POWER(1+AVERAGE('II-Program Costs'!$G$24:$G$25),$B23-AVERAGE('II-Program Costs'!$F$24:$F$25))</f>
        <v>211946.07314606491</v>
      </c>
      <c r="J23" s="55">
        <f t="shared" si="0"/>
        <v>971557.39102625404</v>
      </c>
      <c r="K23">
        <v>0</v>
      </c>
      <c r="L23" s="55">
        <f t="shared" si="4"/>
        <v>971557.39102625404</v>
      </c>
      <c r="M23" s="55">
        <f>0.015*SUM(L9:L23)</f>
        <v>787179.89980710251</v>
      </c>
      <c r="N23" s="55">
        <f t="shared" si="5"/>
        <v>1758737.2908333566</v>
      </c>
      <c r="O23" s="330">
        <f t="shared" si="1"/>
        <v>4.3550000000000001E-4</v>
      </c>
      <c r="P23" s="291">
        <f t="shared" si="6"/>
        <v>0.28000000000000003</v>
      </c>
      <c r="Q23" s="55">
        <f t="shared" si="2"/>
        <v>29320.685488872237</v>
      </c>
      <c r="R23" s="291">
        <f t="shared" si="3"/>
        <v>8.067529859780152E-3</v>
      </c>
      <c r="S23" s="291">
        <f t="shared" si="7"/>
        <v>0.28806752985978018</v>
      </c>
    </row>
    <row r="24" spans="2:19" x14ac:dyDescent="0.25">
      <c r="B24">
        <v>2041</v>
      </c>
      <c r="C24" s="60">
        <f>'II-Program Costs'!$D$35*POWER(1+'II-Program Costs'!$G$35,$B24-'II-Program Costs'!$F$35)</f>
        <v>319321.15092977847</v>
      </c>
      <c r="D24" s="60">
        <f>'II-Program Costs'!$D$38*POWER(1+'II-Program Costs'!$G$38,$B24-'II-Program Costs'!$F$38)*1000</f>
        <v>4139134849.3232713</v>
      </c>
      <c r="E24" s="60">
        <f>'II-Program Costs'!$D$36*POWER(1+'II-Program Costs'!$G$36,$B24-'II-Program Costs'!$F$36)</f>
        <v>8942.8090741060296</v>
      </c>
      <c r="G24" s="60">
        <f>12*'II-Program Costs'!$D$57*POWER(1+'II-Program Costs'!$G$57,$B24-'II-Program Costs'!$F$57)*'II-Program Costs'!$D$14*POWER(1+'II-Program Costs'!$G$14,$B24-'II-Program Costs'!$F$14)</f>
        <v>688606.03854379267</v>
      </c>
      <c r="H24" s="55">
        <f>12*'II-Program Costs'!$D$55*POWER(1+'II-Program Costs'!$G$55,$B24-'II-Program Costs'!$F$55)*'II-Program Costs'!$D$22*POWER(1+'II-Program Costs'!$G$22,$B24-'II-Program Costs'!$F$22) + 10 * ('II-Program Costs'!$D$22*POWER(1+'II-Program Costs'!$G$22,$B24-'II-Program Costs'!$F$22))</f>
        <v>109285.38749767102</v>
      </c>
      <c r="I24" s="56">
        <f>SUM('II-Program Costs'!$D$24:$D$25)*POWER(1+AVERAGE('II-Program Costs'!$G$24:$G$25),$B24-AVERAGE('II-Program Costs'!$F$24:$F$25))</f>
        <v>217244.72497471658</v>
      </c>
      <c r="J24" s="55">
        <f t="shared" si="0"/>
        <v>1015136.1510161803</v>
      </c>
      <c r="K24">
        <v>0</v>
      </c>
      <c r="L24" s="55">
        <f t="shared" si="4"/>
        <v>1015136.1510161803</v>
      </c>
      <c r="M24" s="55">
        <f>0.015*SUM(L9:L24)</f>
        <v>802406.94207234529</v>
      </c>
      <c r="N24" s="55">
        <f t="shared" si="5"/>
        <v>1817543.0930885256</v>
      </c>
      <c r="O24" s="330">
        <f t="shared" si="1"/>
        <v>4.392E-4</v>
      </c>
      <c r="P24" s="291">
        <f t="shared" si="6"/>
        <v>0.28000000000000003</v>
      </c>
      <c r="Q24" s="55">
        <f t="shared" si="2"/>
        <v>30047.838488996262</v>
      </c>
      <c r="R24" s="291">
        <f t="shared" si="3"/>
        <v>8.0675298597801502E-3</v>
      </c>
      <c r="S24" s="291">
        <f t="shared" si="7"/>
        <v>0.28806752985978018</v>
      </c>
    </row>
    <row r="25" spans="2:19" x14ac:dyDescent="0.25">
      <c r="B25">
        <v>2042</v>
      </c>
      <c r="C25" s="60">
        <f>'II-Program Costs'!$D$35*POWER(1+'II-Program Costs'!$G$35,$B25-'II-Program Costs'!$F$35)</f>
        <v>327240.3154728369</v>
      </c>
      <c r="D25" s="60">
        <f>'II-Program Costs'!$D$38*POWER(1+'II-Program Costs'!$G$38,$B25-'II-Program Costs'!$F$38)*1000</f>
        <v>4241785393.5864873</v>
      </c>
      <c r="E25" s="60">
        <f>'II-Program Costs'!$D$36*POWER(1+'II-Program Costs'!$G$36,$B25-'II-Program Costs'!$F$36)</f>
        <v>9164.5907391438577</v>
      </c>
      <c r="G25" s="60">
        <f>12*'II-Program Costs'!$D$57*POWER(1+'II-Program Costs'!$G$57,$B25-'II-Program Costs'!$F$57)*'II-Program Costs'!$D$14*POWER(1+'II-Program Costs'!$G$14,$B25-'II-Program Costs'!$F$14)</f>
        <v>723325.55500717065</v>
      </c>
      <c r="H25" s="55">
        <f>12*'II-Program Costs'!$D$55*POWER(1+'II-Program Costs'!$G$55,$B25-'II-Program Costs'!$F$55)*'II-Program Costs'!$D$22*POWER(1+'II-Program Costs'!$G$22,$B25-'II-Program Costs'!$F$22) + 10 * ('II-Program Costs'!$D$22*POWER(1+'II-Program Costs'!$G$22,$B25-'II-Program Costs'!$F$22))</f>
        <v>114775.57488690312</v>
      </c>
      <c r="I25" s="56">
        <f>SUM('II-Program Costs'!$D$24:$D$25)*POWER(1+AVERAGE('II-Program Costs'!$G$24:$G$25),$B25-AVERAGE('II-Program Costs'!$F$24:$F$25))</f>
        <v>222675.84309908448</v>
      </c>
      <c r="J25" s="55">
        <f t="shared" si="0"/>
        <v>1060776.9729931583</v>
      </c>
      <c r="K25">
        <v>0</v>
      </c>
      <c r="L25" s="55">
        <f t="shared" si="4"/>
        <v>1060776.9729931583</v>
      </c>
      <c r="M25" s="55">
        <f>0.015*SUM(L9:L25)</f>
        <v>818318.5966672427</v>
      </c>
      <c r="N25" s="55">
        <f t="shared" si="5"/>
        <v>1879095.569660401</v>
      </c>
      <c r="O25" s="330">
        <f t="shared" si="1"/>
        <v>4.4299999999999998E-4</v>
      </c>
      <c r="P25" s="291">
        <f t="shared" si="6"/>
        <v>0.29000000000000004</v>
      </c>
      <c r="Q25" s="55">
        <f t="shared" si="2"/>
        <v>31892.775772220626</v>
      </c>
      <c r="R25" s="291">
        <f t="shared" si="3"/>
        <v>8.3556559262008695E-3</v>
      </c>
      <c r="S25" s="291">
        <f t="shared" si="7"/>
        <v>0.29835565592620089</v>
      </c>
    </row>
    <row r="26" spans="2:19" x14ac:dyDescent="0.25">
      <c r="B26">
        <v>2043</v>
      </c>
      <c r="C26" s="60">
        <f>'II-Program Costs'!$D$35*POWER(1+'II-Program Costs'!$G$35,$B26-'II-Program Costs'!$F$35)</f>
        <v>335355.87529656332</v>
      </c>
      <c r="D26" s="60">
        <f>'II-Program Costs'!$D$38*POWER(1+'II-Program Costs'!$G$38,$B26-'II-Program Costs'!$F$38)*1000</f>
        <v>4346981671.3474331</v>
      </c>
      <c r="E26" s="60">
        <f>'II-Program Costs'!$D$36*POWER(1+'II-Program Costs'!$G$36,$B26-'II-Program Costs'!$F$36)</f>
        <v>9391.8725894746276</v>
      </c>
      <c r="G26" s="60">
        <f>12*'II-Program Costs'!$D$57*POWER(1+'II-Program Costs'!$G$57,$B26-'II-Program Costs'!$F$57)*'II-Program Costs'!$D$14*POWER(1+'II-Program Costs'!$G$14,$B26-'II-Program Costs'!$F$14)</f>
        <v>759795.62949063221</v>
      </c>
      <c r="H26" s="55">
        <f>12*'II-Program Costs'!$D$55*POWER(1+'II-Program Costs'!$G$55,$B26-'II-Program Costs'!$F$55)*'II-Program Costs'!$D$22*POWER(1+'II-Program Costs'!$G$22,$B26-'II-Program Costs'!$F$22) + 10 * ('II-Program Costs'!$D$22*POWER(1+'II-Program Costs'!$G$22,$B26-'II-Program Costs'!$F$22))</f>
        <v>120542.0779780903</v>
      </c>
      <c r="I26" s="56">
        <f>SUM('II-Program Costs'!$D$24:$D$25)*POWER(1+AVERAGE('II-Program Costs'!$G$24:$G$25),$B26-AVERAGE('II-Program Costs'!$F$24:$F$25))</f>
        <v>228242.73917656156</v>
      </c>
      <c r="J26" s="55">
        <f t="shared" si="0"/>
        <v>1108580.4466452841</v>
      </c>
      <c r="K26">
        <v>0</v>
      </c>
      <c r="L26" s="55">
        <f t="shared" si="4"/>
        <v>1108580.4466452841</v>
      </c>
      <c r="M26" s="55">
        <f>0.015*SUM(L9:L26)</f>
        <v>834947.30336692184</v>
      </c>
      <c r="N26" s="55">
        <f t="shared" si="5"/>
        <v>1943527.7500122059</v>
      </c>
      <c r="O26" s="330">
        <f t="shared" si="1"/>
        <v>4.4710000000000003E-4</v>
      </c>
      <c r="P26" s="291">
        <f t="shared" si="6"/>
        <v>0.29000000000000004</v>
      </c>
      <c r="Q26" s="55">
        <f t="shared" si="2"/>
        <v>32683.716611371707</v>
      </c>
      <c r="R26" s="291">
        <f t="shared" si="3"/>
        <v>8.3556559262008695E-3</v>
      </c>
      <c r="S26" s="291">
        <f t="shared" si="7"/>
        <v>0.29835565592620089</v>
      </c>
    </row>
    <row r="27" spans="2:19" x14ac:dyDescent="0.25">
      <c r="B27">
        <v>2044</v>
      </c>
      <c r="C27" s="60">
        <f>'II-Program Costs'!$D$35*POWER(1+'II-Program Costs'!$G$35,$B27-'II-Program Costs'!$F$35)</f>
        <v>343672.70100391802</v>
      </c>
      <c r="D27" s="60">
        <f>'II-Program Costs'!$D$38*POWER(1+'II-Program Costs'!$G$38,$B27-'II-Program Costs'!$F$38)*1000</f>
        <v>4454786816.7968483</v>
      </c>
      <c r="E27" s="60">
        <f>'II-Program Costs'!$D$36*POWER(1+'II-Program Costs'!$G$36,$B27-'II-Program Costs'!$F$36)</f>
        <v>9624.791029693597</v>
      </c>
      <c r="G27" s="60">
        <f>12*'II-Program Costs'!$D$57*POWER(1+'II-Program Costs'!$G$57,$B27-'II-Program Costs'!$F$57)*'II-Program Costs'!$D$14*POWER(1+'II-Program Costs'!$G$14,$B27-'II-Program Costs'!$F$14)</f>
        <v>798104.52512954967</v>
      </c>
      <c r="H27" s="55">
        <f>12*'II-Program Costs'!$D$55*POWER(1+'II-Program Costs'!$G$55,$B27-'II-Program Costs'!$F$55)*'II-Program Costs'!$D$22*POWER(1+'II-Program Costs'!$G$22,$B27-'II-Program Costs'!$F$22) + 10 * ('II-Program Costs'!$D$22*POWER(1+'II-Program Costs'!$G$22,$B27-'II-Program Costs'!$F$22))</f>
        <v>126598.81612026982</v>
      </c>
      <c r="I27" s="56">
        <f>SUM('II-Program Costs'!$D$24:$D$25)*POWER(1+AVERAGE('II-Program Costs'!$G$24:$G$25),$B27-AVERAGE('II-Program Costs'!$F$24:$F$25))</f>
        <v>233948.8076559756</v>
      </c>
      <c r="J27" s="55">
        <f t="shared" si="0"/>
        <v>1158652.1489057951</v>
      </c>
      <c r="K27">
        <v>0</v>
      </c>
      <c r="L27" s="55">
        <f t="shared" si="4"/>
        <v>1158652.1489057951</v>
      </c>
      <c r="M27" s="55">
        <f>0.015*SUM(L9:L27)</f>
        <v>852327.08560050884</v>
      </c>
      <c r="N27" s="55">
        <f t="shared" si="5"/>
        <v>2010979.2345063039</v>
      </c>
      <c r="O27" s="330">
        <f t="shared" si="1"/>
        <v>4.5150000000000002E-4</v>
      </c>
      <c r="P27" s="291">
        <f t="shared" si="6"/>
        <v>0.29000000000000004</v>
      </c>
      <c r="Q27" s="55">
        <f t="shared" si="2"/>
        <v>33494.272783333727</v>
      </c>
      <c r="R27" s="291">
        <f t="shared" si="3"/>
        <v>8.355655926200873E-3</v>
      </c>
      <c r="S27" s="291">
        <f t="shared" si="7"/>
        <v>0.29835565592620089</v>
      </c>
    </row>
    <row r="28" spans="2:19" x14ac:dyDescent="0.25">
      <c r="B28">
        <v>2045</v>
      </c>
      <c r="C28" s="60">
        <f>'II-Program Costs'!$D$35*POWER(1+'II-Program Costs'!$G$35,$B28-'II-Program Costs'!$F$35)</f>
        <v>352195.78398881515</v>
      </c>
      <c r="D28" s="60">
        <f>'II-Program Costs'!$D$38*POWER(1+'II-Program Costs'!$G$38,$B28-'II-Program Costs'!$F$38)*1000</f>
        <v>4565265529.8534098</v>
      </c>
      <c r="E28" s="60">
        <f>'II-Program Costs'!$D$36*POWER(1+'II-Program Costs'!$G$36,$B28-'II-Program Costs'!$F$36)</f>
        <v>9863.4858472299966</v>
      </c>
      <c r="G28" s="60">
        <f>12*'II-Program Costs'!$D$57*POWER(1+'II-Program Costs'!$G$57,$B28-'II-Program Costs'!$F$57)*'II-Program Costs'!$D$14*POWER(1+'II-Program Costs'!$G$14,$B28-'II-Program Costs'!$F$14)</f>
        <v>838344.95528658142</v>
      </c>
      <c r="H28" s="55">
        <f>12*'II-Program Costs'!$D$55*POWER(1+'II-Program Costs'!$G$55,$B28-'II-Program Costs'!$F$55)*'II-Program Costs'!$D$22*POWER(1+'II-Program Costs'!$G$22,$B28-'II-Program Costs'!$F$22) + 10 * ('II-Program Costs'!$D$22*POWER(1+'II-Program Costs'!$G$22,$B28-'II-Program Costs'!$F$22))</f>
        <v>132960.41016384118</v>
      </c>
      <c r="I28" s="56">
        <f>SUM('II-Program Costs'!$D$24:$D$25)*POWER(1+AVERAGE('II-Program Costs'!$G$24:$G$25),$B28-AVERAGE('II-Program Costs'!$F$24:$F$25))</f>
        <v>239797.52784737499</v>
      </c>
      <c r="J28" s="55">
        <f t="shared" si="0"/>
        <v>1211102.8932977975</v>
      </c>
      <c r="K28">
        <v>0</v>
      </c>
      <c r="L28" s="55">
        <f t="shared" si="4"/>
        <v>1211102.8932977975</v>
      </c>
      <c r="M28" s="55">
        <f>0.015*SUM(L9:L28)</f>
        <v>870493.62899997586</v>
      </c>
      <c r="N28" s="55">
        <f t="shared" si="5"/>
        <v>2081596.5222977735</v>
      </c>
      <c r="O28" s="330">
        <f t="shared" si="1"/>
        <v>4.5600000000000003E-4</v>
      </c>
      <c r="P28" s="291">
        <f t="shared" si="6"/>
        <v>0.3</v>
      </c>
      <c r="Q28" s="55">
        <f t="shared" si="2"/>
        <v>35508.549050027985</v>
      </c>
      <c r="R28" s="291">
        <f t="shared" si="3"/>
        <v>8.6437819926215888E-3</v>
      </c>
      <c r="S28" s="291">
        <f t="shared" si="7"/>
        <v>0.3086437819926216</v>
      </c>
    </row>
    <row r="29" spans="2:19" x14ac:dyDescent="0.25">
      <c r="B29">
        <v>2046</v>
      </c>
      <c r="C29" s="60">
        <f>'II-Program Costs'!$D$35*POWER(1+'II-Program Costs'!$G$35,$B29-'II-Program Costs'!$F$35)</f>
        <v>360930.23943173769</v>
      </c>
      <c r="D29" s="60">
        <f>'II-Program Costs'!$D$38*POWER(1+'II-Program Costs'!$G$38,$B29-'II-Program Costs'!$F$38)*1000</f>
        <v>4678484114.9937735</v>
      </c>
      <c r="E29" s="60">
        <f>'II-Program Costs'!$D$36*POWER(1+'II-Program Costs'!$G$36,$B29-'II-Program Costs'!$F$36)</f>
        <v>10108.100296241299</v>
      </c>
      <c r="G29" s="60">
        <f>12*'II-Program Costs'!$D$57*POWER(1+'II-Program Costs'!$G$57,$B29-'II-Program Costs'!$F$57)*'II-Program Costs'!$D$14*POWER(1+'II-Program Costs'!$G$14,$B29-'II-Program Costs'!$F$14)</f>
        <v>880614.30793213064</v>
      </c>
      <c r="H29" s="55">
        <f>12*'II-Program Costs'!$D$55*POWER(1+'II-Program Costs'!$G$55,$B29-'II-Program Costs'!$F$55)*'II-Program Costs'!$D$22*POWER(1+'II-Program Costs'!$G$22,$B29-'II-Program Costs'!$F$22) + 10 * ('II-Program Costs'!$D$22*POWER(1+'II-Program Costs'!$G$22,$B29-'II-Program Costs'!$F$22))</f>
        <v>139642.21782245912</v>
      </c>
      <c r="I29" s="56">
        <f>SUM('II-Program Costs'!$D$24:$D$25)*POWER(1+AVERAGE('II-Program Costs'!$G$24:$G$25),$B29-AVERAGE('II-Program Costs'!$F$24:$F$25))</f>
        <v>245792.46604355934</v>
      </c>
      <c r="J29" s="55">
        <f t="shared" si="0"/>
        <v>1266048.9917981492</v>
      </c>
      <c r="K29">
        <v>0</v>
      </c>
      <c r="L29" s="55">
        <f t="shared" si="4"/>
        <v>1266048.9917981492</v>
      </c>
      <c r="M29" s="55">
        <f>0.015*SUM(L9:L29)</f>
        <v>889484.36387694802</v>
      </c>
      <c r="N29" s="55">
        <f t="shared" si="5"/>
        <v>2155533.3556750971</v>
      </c>
      <c r="O29" s="330">
        <f t="shared" si="1"/>
        <v>4.6079999999999998E-4</v>
      </c>
      <c r="P29" s="291">
        <f t="shared" si="6"/>
        <v>0.3</v>
      </c>
      <c r="Q29" s="55">
        <f t="shared" si="2"/>
        <v>36389.161066468674</v>
      </c>
      <c r="R29" s="291">
        <f t="shared" si="3"/>
        <v>8.6437819926215888E-3</v>
      </c>
      <c r="S29" s="291">
        <f t="shared" si="7"/>
        <v>0.3086437819926216</v>
      </c>
    </row>
    <row r="30" spans="2:19" x14ac:dyDescent="0.25">
      <c r="B30">
        <v>2047</v>
      </c>
      <c r="C30" s="60">
        <f>'II-Program Costs'!$D$35*POWER(1+'II-Program Costs'!$G$35,$B30-'II-Program Costs'!$F$35)</f>
        <v>369881.30936964485</v>
      </c>
      <c r="D30" s="60">
        <f>'II-Program Costs'!$D$38*POWER(1+'II-Program Costs'!$G$38,$B30-'II-Program Costs'!$F$38)*1000</f>
        <v>4794510521.04562</v>
      </c>
      <c r="E30" s="60">
        <f>'II-Program Costs'!$D$36*POWER(1+'II-Program Costs'!$G$36,$B30-'II-Program Costs'!$F$36)</f>
        <v>10358.781183588084</v>
      </c>
      <c r="G30" s="60">
        <f>12*'II-Program Costs'!$D$57*POWER(1+'II-Program Costs'!$G$57,$B30-'II-Program Costs'!$F$57)*'II-Program Costs'!$D$14*POWER(1+'II-Program Costs'!$G$14,$B30-'II-Program Costs'!$F$14)</f>
        <v>925014.88133806875</v>
      </c>
      <c r="H30" s="55">
        <f>12*'II-Program Costs'!$D$55*POWER(1+'II-Program Costs'!$G$55,$B30-'II-Program Costs'!$F$55)*'II-Program Costs'!$D$22*POWER(1+'II-Program Costs'!$G$22,$B30-'II-Program Costs'!$F$22) + 10 * ('II-Program Costs'!$D$22*POWER(1+'II-Program Costs'!$G$22,$B30-'II-Program Costs'!$F$22))</f>
        <v>146660.37081767846</v>
      </c>
      <c r="I30" s="56">
        <f>SUM('II-Program Costs'!$D$24:$D$25)*POWER(1+AVERAGE('II-Program Costs'!$G$24:$G$25),$B30-AVERAGE('II-Program Costs'!$F$24:$F$25))</f>
        <v>251937.27769464828</v>
      </c>
      <c r="J30" s="55">
        <f t="shared" si="0"/>
        <v>1323612.5298503956</v>
      </c>
      <c r="K30">
        <v>0</v>
      </c>
      <c r="L30" s="55">
        <f t="shared" si="4"/>
        <v>1323612.5298503956</v>
      </c>
      <c r="M30" s="55">
        <f>0.015*SUM(L9:L30)</f>
        <v>909338.55182470393</v>
      </c>
      <c r="N30" s="55">
        <f t="shared" si="5"/>
        <v>2232951.0816750997</v>
      </c>
      <c r="O30" s="330">
        <f t="shared" si="1"/>
        <v>4.6579999999999999E-4</v>
      </c>
      <c r="P30" s="291">
        <f t="shared" si="6"/>
        <v>0.3</v>
      </c>
      <c r="Q30" s="55">
        <f t="shared" si="2"/>
        <v>37291.6122609171</v>
      </c>
      <c r="R30" s="291">
        <f t="shared" si="3"/>
        <v>8.6437819926215888E-3</v>
      </c>
      <c r="S30" s="291">
        <f t="shared" si="7"/>
        <v>0.3086437819926216</v>
      </c>
    </row>
    <row r="31" spans="2:19" x14ac:dyDescent="0.25">
      <c r="B31">
        <v>2048</v>
      </c>
      <c r="C31" s="60">
        <f>'II-Program Costs'!$D$35*POWER(1+'II-Program Costs'!$G$35,$B31-'II-Program Costs'!$F$35)</f>
        <v>379054.36584201199</v>
      </c>
      <c r="D31" s="60">
        <f>'II-Program Costs'!$D$38*POWER(1+'II-Program Costs'!$G$38,$B31-'II-Program Costs'!$F$38)*1000</f>
        <v>4913414381.9675512</v>
      </c>
      <c r="E31" s="60">
        <f>'II-Program Costs'!$D$36*POWER(1+'II-Program Costs'!$G$36,$B31-'II-Program Costs'!$F$36)</f>
        <v>10615.678956941067</v>
      </c>
      <c r="G31" s="60">
        <f>12*'II-Program Costs'!$D$57*POWER(1+'II-Program Costs'!$G$57,$B31-'II-Program Costs'!$F$57)*'II-Program Costs'!$D$14*POWER(1+'II-Program Costs'!$G$14,$B31-'II-Program Costs'!$F$14)</f>
        <v>971654.13165513414</v>
      </c>
      <c r="H31" s="55">
        <f>12*'II-Program Costs'!$D$55*POWER(1+'II-Program Costs'!$G$55,$B31-'II-Program Costs'!$F$55)*'II-Program Costs'!$D$22*POWER(1+'II-Program Costs'!$G$22,$B31-'II-Program Costs'!$F$22) + 10 * ('II-Program Costs'!$D$22*POWER(1+'II-Program Costs'!$G$22,$B31-'II-Program Costs'!$F$22))</f>
        <v>154031.81389623202</v>
      </c>
      <c r="I31" s="56">
        <f>SUM('II-Program Costs'!$D$24:$D$25)*POWER(1+AVERAGE('II-Program Costs'!$G$24:$G$25),$B31-AVERAGE('II-Program Costs'!$F$24:$F$25))</f>
        <v>258235.70963701449</v>
      </c>
      <c r="J31" s="55">
        <f t="shared" si="0"/>
        <v>1383921.6551883805</v>
      </c>
      <c r="K31">
        <v>0</v>
      </c>
      <c r="L31" s="55">
        <f t="shared" si="4"/>
        <v>1383921.6551883805</v>
      </c>
      <c r="M31" s="55">
        <f>0.015*SUM(L9:L31)</f>
        <v>930097.3766525297</v>
      </c>
      <c r="N31" s="55">
        <f t="shared" si="5"/>
        <v>2314019.0318409102</v>
      </c>
      <c r="O31" s="330">
        <f t="shared" si="1"/>
        <v>4.7100000000000001E-4</v>
      </c>
      <c r="P31" s="291">
        <f t="shared" si="6"/>
        <v>0.31</v>
      </c>
      <c r="Q31" s="55">
        <f t="shared" si="2"/>
        <v>39490.325719820765</v>
      </c>
      <c r="R31" s="291">
        <f t="shared" si="3"/>
        <v>8.9319080590423081E-3</v>
      </c>
      <c r="S31" s="291">
        <f t="shared" si="7"/>
        <v>0.31893190805904231</v>
      </c>
    </row>
    <row r="32" spans="2:19" x14ac:dyDescent="0.25">
      <c r="B32">
        <v>2049</v>
      </c>
      <c r="C32" s="60">
        <f>'II-Program Costs'!$D$35*POWER(1+'II-Program Costs'!$G$35,$B32-'II-Program Costs'!$F$35)</f>
        <v>388454.91411489388</v>
      </c>
      <c r="D32" s="60">
        <f>'II-Program Costs'!$D$38*POWER(1+'II-Program Costs'!$G$38,$B32-'II-Program Costs'!$F$38)*1000</f>
        <v>5035267058.6403456</v>
      </c>
      <c r="E32" s="60">
        <f>'II-Program Costs'!$D$36*POWER(1+'II-Program Costs'!$G$36,$B32-'II-Program Costs'!$F$36)</f>
        <v>10878.947795073205</v>
      </c>
      <c r="G32" s="60">
        <f>12*'II-Program Costs'!$D$57*POWER(1+'II-Program Costs'!$G$57,$B32-'II-Program Costs'!$F$57)*'II-Program Costs'!$D$14*POWER(1+'II-Program Costs'!$G$14,$B32-'II-Program Costs'!$F$14)</f>
        <v>1020644.9329731857</v>
      </c>
      <c r="H32" s="55">
        <f>12*'II-Program Costs'!$D$55*POWER(1+'II-Program Costs'!$G$55,$B32-'II-Program Costs'!$F$55)*'II-Program Costs'!$D$22*POWER(1+'II-Program Costs'!$G$22,$B32-'II-Program Costs'!$F$22) + 10 * ('II-Program Costs'!$D$22*POWER(1+'II-Program Costs'!$G$22,$B32-'II-Program Costs'!$F$22))</f>
        <v>161774.34581435448</v>
      </c>
      <c r="I32" s="56">
        <f>SUM('II-Program Costs'!$D$24:$D$25)*POWER(1+AVERAGE('II-Program Costs'!$G$24:$G$25),$B32-AVERAGE('II-Program Costs'!$F$24:$F$25))</f>
        <v>264691.60237793985</v>
      </c>
      <c r="J32" s="55">
        <f t="shared" si="0"/>
        <v>1447110.8811654802</v>
      </c>
      <c r="K32">
        <v>0</v>
      </c>
      <c r="L32" s="55">
        <f t="shared" si="4"/>
        <v>1447110.8811654802</v>
      </c>
      <c r="M32" s="55">
        <f>0.015*SUM(L9:L32)</f>
        <v>951804.03987001197</v>
      </c>
      <c r="N32" s="55">
        <f t="shared" si="5"/>
        <v>2398914.9210354923</v>
      </c>
      <c r="O32" s="330">
        <f t="shared" si="1"/>
        <v>4.7649999999999998E-4</v>
      </c>
      <c r="P32" s="291">
        <f t="shared" si="6"/>
        <v>0.31</v>
      </c>
      <c r="Q32" s="55">
        <f t="shared" si="2"/>
        <v>40469.685797672326</v>
      </c>
      <c r="R32" s="291">
        <f t="shared" si="3"/>
        <v>8.9319080590423098E-3</v>
      </c>
      <c r="S32" s="291">
        <f t="shared" si="7"/>
        <v>0.31893190805904231</v>
      </c>
    </row>
    <row r="33" spans="2:19" x14ac:dyDescent="0.25">
      <c r="B33">
        <v>2050</v>
      </c>
      <c r="C33" s="60">
        <f>'II-Program Costs'!$D$35*POWER(1+'II-Program Costs'!$G$35,$B33-'II-Program Costs'!$F$35)</f>
        <v>398088.59598494321</v>
      </c>
      <c r="D33" s="60">
        <f>'II-Program Costs'!$D$38*POWER(1+'II-Program Costs'!$G$38,$B33-'II-Program Costs'!$F$38)*1000</f>
        <v>5160141681.6946259</v>
      </c>
      <c r="E33" s="60">
        <f>'II-Program Costs'!$D$36*POWER(1+'II-Program Costs'!$G$36,$B33-'II-Program Costs'!$F$36)</f>
        <v>11148.74570039102</v>
      </c>
      <c r="G33" s="60">
        <f>12*'II-Program Costs'!$D$57*POWER(1+'II-Program Costs'!$G$57,$B33-'II-Program Costs'!$F$57)*'II-Program Costs'!$D$14*POWER(1+'II-Program Costs'!$G$14,$B33-'II-Program Costs'!$F$14)</f>
        <v>1072105.8504936935</v>
      </c>
      <c r="H33" s="55">
        <f>12*'II-Program Costs'!$D$55*POWER(1+'II-Program Costs'!$G$55,$B33-'II-Program Costs'!$F$55)*'II-Program Costs'!$D$22*POWER(1+'II-Program Costs'!$G$22,$B33-'II-Program Costs'!$F$22) + 10 * ('II-Program Costs'!$D$22*POWER(1+'II-Program Costs'!$G$22,$B33-'II-Program Costs'!$F$22))</f>
        <v>169906.66238832547</v>
      </c>
      <c r="I33" s="56">
        <f>SUM('II-Program Costs'!$D$24:$D$25)*POWER(1+AVERAGE('II-Program Costs'!$G$24:$G$25),$B33-AVERAGE('II-Program Costs'!$F$24:$F$25))</f>
        <v>271308.89243738836</v>
      </c>
      <c r="J33" s="55">
        <f t="shared" si="0"/>
        <v>1513321.4053194073</v>
      </c>
      <c r="K33">
        <v>0</v>
      </c>
      <c r="L33" s="55">
        <f t="shared" si="4"/>
        <v>1513321.4053194073</v>
      </c>
      <c r="M33" s="55">
        <f>0.015*SUM(L9:L33)</f>
        <v>974503.86094980303</v>
      </c>
      <c r="N33" s="55">
        <f t="shared" si="5"/>
        <v>2487825.2662692103</v>
      </c>
      <c r="O33" s="330">
        <f t="shared" si="1"/>
        <v>4.8220000000000001E-4</v>
      </c>
      <c r="P33" s="291">
        <f t="shared" si="6"/>
        <v>0.31</v>
      </c>
      <c r="Q33" s="55">
        <f t="shared" si="2"/>
        <v>41473.334005454592</v>
      </c>
      <c r="R33" s="291">
        <f t="shared" si="3"/>
        <v>8.9319080590423081E-3</v>
      </c>
      <c r="S33" s="291">
        <f t="shared" si="7"/>
        <v>0.31893190805904231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4A7DD-9367-41E3-98AE-56D7A889D341}">
  <sheetPr>
    <tabColor rgb="FFC00000"/>
  </sheetPr>
  <dimension ref="A1:I48"/>
  <sheetViews>
    <sheetView workbookViewId="0">
      <selection activeCell="C22" sqref="C22:D22"/>
    </sheetView>
  </sheetViews>
  <sheetFormatPr defaultRowHeight="15" x14ac:dyDescent="0.25"/>
  <cols>
    <col min="1" max="1" width="29.85546875" customWidth="1"/>
    <col min="2" max="2" width="34.7109375" customWidth="1"/>
    <col min="3" max="4" width="19.140625" customWidth="1"/>
    <col min="5" max="5" width="19" customWidth="1"/>
    <col min="6" max="6" width="17.85546875" customWidth="1"/>
    <col min="7" max="7" width="24.7109375" customWidth="1"/>
    <col min="8" max="8" width="20.7109375" customWidth="1"/>
  </cols>
  <sheetData>
    <row r="1" spans="1:8" ht="15.75" x14ac:dyDescent="0.25">
      <c r="B1" s="118" t="s">
        <v>386</v>
      </c>
    </row>
    <row r="2" spans="1:8" ht="15.75" x14ac:dyDescent="0.25">
      <c r="B2" s="119">
        <v>45539</v>
      </c>
    </row>
    <row r="4" spans="1:8" x14ac:dyDescent="0.25">
      <c r="B4" t="s">
        <v>387</v>
      </c>
      <c r="C4" s="120"/>
      <c r="D4" s="120"/>
      <c r="E4" s="120"/>
      <c r="F4" s="120"/>
    </row>
    <row r="5" spans="1:8" x14ac:dyDescent="0.25">
      <c r="C5" s="120"/>
      <c r="D5" s="120"/>
    </row>
    <row r="6" spans="1:8" ht="75" x14ac:dyDescent="0.25">
      <c r="A6" t="s">
        <v>307</v>
      </c>
      <c r="B6" s="121" t="s">
        <v>388</v>
      </c>
      <c r="C6" s="122" t="s">
        <v>389</v>
      </c>
      <c r="D6" s="122" t="s">
        <v>390</v>
      </c>
      <c r="E6" s="123" t="s">
        <v>380</v>
      </c>
      <c r="F6" s="123" t="s">
        <v>391</v>
      </c>
      <c r="G6" s="122" t="s">
        <v>382</v>
      </c>
      <c r="H6" s="122" t="s">
        <v>383</v>
      </c>
    </row>
    <row r="7" spans="1:8" x14ac:dyDescent="0.25">
      <c r="B7" s="124" t="s">
        <v>392</v>
      </c>
      <c r="C7" s="125"/>
      <c r="D7" s="125"/>
      <c r="E7" s="126">
        <v>0.56999999999999995</v>
      </c>
      <c r="F7" s="126">
        <v>0.56999999999999995</v>
      </c>
      <c r="G7" s="126">
        <v>0.56999999999999995</v>
      </c>
      <c r="H7" s="127"/>
    </row>
    <row r="8" spans="1:8" x14ac:dyDescent="0.25">
      <c r="B8" s="128" t="s">
        <v>393</v>
      </c>
      <c r="C8" s="129">
        <v>112</v>
      </c>
      <c r="D8" s="130">
        <v>180</v>
      </c>
      <c r="E8" s="131">
        <v>86.43</v>
      </c>
      <c r="F8" s="131">
        <v>33.04</v>
      </c>
      <c r="G8" s="131">
        <v>3.65</v>
      </c>
      <c r="H8" s="132">
        <f t="shared" ref="H8:H37" si="0">SUM(E8:G8)</f>
        <v>123.12</v>
      </c>
    </row>
    <row r="9" spans="1:8" x14ac:dyDescent="0.25">
      <c r="B9" s="128" t="s">
        <v>394</v>
      </c>
      <c r="C9" s="129">
        <v>131</v>
      </c>
      <c r="D9" s="130">
        <v>157</v>
      </c>
      <c r="E9" s="131">
        <v>85.25</v>
      </c>
      <c r="F9" s="131">
        <v>38.65</v>
      </c>
      <c r="G9" s="131">
        <v>4.3099999999999996</v>
      </c>
      <c r="H9" s="132">
        <f t="shared" si="0"/>
        <v>128.21</v>
      </c>
    </row>
    <row r="10" spans="1:8" x14ac:dyDescent="0.25">
      <c r="B10" s="128" t="s">
        <v>395</v>
      </c>
      <c r="C10" s="129">
        <v>592</v>
      </c>
      <c r="D10" s="130">
        <v>538</v>
      </c>
      <c r="E10" s="131">
        <v>334.48</v>
      </c>
      <c r="F10" s="131">
        <v>174.64</v>
      </c>
      <c r="G10" s="131">
        <v>19.239999999999998</v>
      </c>
      <c r="H10" s="132">
        <f t="shared" si="0"/>
        <v>528.36</v>
      </c>
    </row>
    <row r="11" spans="1:8" x14ac:dyDescent="0.25">
      <c r="B11" s="128" t="s">
        <v>396</v>
      </c>
      <c r="C11" s="129">
        <v>5734</v>
      </c>
      <c r="D11" s="130">
        <v>9141</v>
      </c>
      <c r="E11" s="131">
        <v>4403</v>
      </c>
      <c r="F11" s="131">
        <v>1691.53</v>
      </c>
      <c r="G11" s="131">
        <v>186.38</v>
      </c>
      <c r="H11" s="132">
        <f t="shared" si="0"/>
        <v>6280.91</v>
      </c>
    </row>
    <row r="12" spans="1:8" x14ac:dyDescent="0.25">
      <c r="A12" t="s">
        <v>397</v>
      </c>
      <c r="B12" s="128" t="s">
        <v>398</v>
      </c>
      <c r="C12" s="129">
        <v>4</v>
      </c>
      <c r="D12" s="130">
        <v>14</v>
      </c>
      <c r="E12" s="131">
        <v>5.33</v>
      </c>
      <c r="F12" s="131">
        <v>1.18</v>
      </c>
      <c r="G12" s="131">
        <v>0.02</v>
      </c>
      <c r="H12" s="132">
        <f t="shared" si="0"/>
        <v>6.5299999999999994</v>
      </c>
    </row>
    <row r="13" spans="1:8" x14ac:dyDescent="0.25">
      <c r="B13" s="128" t="s">
        <v>399</v>
      </c>
      <c r="C13" s="129">
        <v>178</v>
      </c>
      <c r="D13" s="130">
        <v>312</v>
      </c>
      <c r="E13" s="131">
        <v>145.04</v>
      </c>
      <c r="F13" s="131">
        <v>52.51</v>
      </c>
      <c r="G13" s="131">
        <v>5.97</v>
      </c>
      <c r="H13" s="132">
        <f t="shared" si="0"/>
        <v>203.51999999999998</v>
      </c>
    </row>
    <row r="14" spans="1:8" x14ac:dyDescent="0.25">
      <c r="B14" s="128" t="s">
        <v>400</v>
      </c>
      <c r="C14" s="129">
        <v>292</v>
      </c>
      <c r="D14" s="130">
        <v>458</v>
      </c>
      <c r="E14" s="131">
        <v>222</v>
      </c>
      <c r="F14" s="131">
        <v>86.14</v>
      </c>
      <c r="G14" s="131">
        <v>9.6199999999999992</v>
      </c>
      <c r="H14" s="132">
        <f t="shared" si="0"/>
        <v>317.76</v>
      </c>
    </row>
    <row r="15" spans="1:8" x14ac:dyDescent="0.25">
      <c r="A15" t="s">
        <v>401</v>
      </c>
      <c r="B15" s="128" t="s">
        <v>402</v>
      </c>
      <c r="C15" s="129">
        <v>27</v>
      </c>
      <c r="D15" s="130">
        <v>25</v>
      </c>
      <c r="E15" s="131">
        <v>15.39</v>
      </c>
      <c r="F15" s="131">
        <v>7.97</v>
      </c>
      <c r="G15" s="131">
        <v>0.99</v>
      </c>
      <c r="H15" s="132">
        <f t="shared" si="0"/>
        <v>24.349999999999998</v>
      </c>
    </row>
    <row r="16" spans="1:8" x14ac:dyDescent="0.25">
      <c r="A16" t="s">
        <v>403</v>
      </c>
      <c r="B16" s="128" t="s">
        <v>404</v>
      </c>
      <c r="C16" s="129">
        <v>68</v>
      </c>
      <c r="D16" s="130">
        <v>69</v>
      </c>
      <c r="E16" s="131">
        <v>40.549999999999997</v>
      </c>
      <c r="F16" s="131">
        <v>20.059999999999999</v>
      </c>
      <c r="G16" s="131">
        <v>2.3199999999999998</v>
      </c>
      <c r="H16" s="132">
        <f t="shared" si="0"/>
        <v>62.93</v>
      </c>
    </row>
    <row r="17" spans="1:9" x14ac:dyDescent="0.25">
      <c r="A17" t="s">
        <v>397</v>
      </c>
      <c r="B17" s="128" t="s">
        <v>405</v>
      </c>
      <c r="C17" s="129">
        <v>390</v>
      </c>
      <c r="D17" s="130">
        <v>786</v>
      </c>
      <c r="E17" s="131">
        <v>348.1</v>
      </c>
      <c r="F17" s="131">
        <v>115.05</v>
      </c>
      <c r="G17" s="131">
        <v>12.6</v>
      </c>
      <c r="H17" s="132">
        <f t="shared" si="0"/>
        <v>475.75000000000006</v>
      </c>
    </row>
    <row r="18" spans="1:9" x14ac:dyDescent="0.25">
      <c r="B18" s="128" t="s">
        <v>406</v>
      </c>
      <c r="C18" s="129">
        <v>5674</v>
      </c>
      <c r="D18" s="130">
        <v>7927</v>
      </c>
      <c r="E18" s="131">
        <v>4025.9</v>
      </c>
      <c r="F18" s="131">
        <v>1673.83</v>
      </c>
      <c r="G18" s="131">
        <v>184.39</v>
      </c>
      <c r="H18" s="132">
        <f t="shared" si="0"/>
        <v>5884.12</v>
      </c>
    </row>
    <row r="19" spans="1:9" x14ac:dyDescent="0.25">
      <c r="A19" t="s">
        <v>403</v>
      </c>
      <c r="B19" s="128" t="s">
        <v>407</v>
      </c>
      <c r="C19" s="129">
        <v>508</v>
      </c>
      <c r="D19" s="130">
        <v>707</v>
      </c>
      <c r="E19" s="131">
        <v>359.64</v>
      </c>
      <c r="F19" s="131">
        <v>149.86000000000001</v>
      </c>
      <c r="G19" s="131">
        <v>16.579999999999998</v>
      </c>
      <c r="H19" s="132">
        <f t="shared" si="0"/>
        <v>526.08000000000004</v>
      </c>
    </row>
    <row r="20" spans="1:9" x14ac:dyDescent="0.25">
      <c r="B20" s="128" t="s">
        <v>408</v>
      </c>
      <c r="C20" s="129">
        <v>5054</v>
      </c>
      <c r="D20" s="130">
        <v>5963</v>
      </c>
      <c r="E20" s="131">
        <v>3261.03</v>
      </c>
      <c r="F20" s="131">
        <v>1490.93</v>
      </c>
      <c r="G20" s="131">
        <v>164.16</v>
      </c>
      <c r="H20" s="132">
        <f t="shared" si="0"/>
        <v>4916.12</v>
      </c>
    </row>
    <row r="21" spans="1:9" x14ac:dyDescent="0.25">
      <c r="A21" t="s">
        <v>397</v>
      </c>
      <c r="B21" s="128" t="s">
        <v>409</v>
      </c>
      <c r="C21" s="129">
        <v>588</v>
      </c>
      <c r="D21" s="130">
        <v>786</v>
      </c>
      <c r="E21" s="131">
        <v>406.7</v>
      </c>
      <c r="F21" s="131">
        <v>173.46</v>
      </c>
      <c r="G21" s="131">
        <v>19.239999999999998</v>
      </c>
      <c r="H21" s="132">
        <f t="shared" si="0"/>
        <v>599.4</v>
      </c>
    </row>
    <row r="22" spans="1:9" x14ac:dyDescent="0.25">
      <c r="A22" t="s">
        <v>397</v>
      </c>
      <c r="B22" s="133" t="s">
        <v>410</v>
      </c>
      <c r="C22" s="134">
        <v>13574</v>
      </c>
      <c r="D22" s="134">
        <v>14412</v>
      </c>
      <c r="E22" s="135">
        <v>8283.86</v>
      </c>
      <c r="F22" s="135">
        <v>4004.33</v>
      </c>
      <c r="G22" s="135">
        <v>440.85</v>
      </c>
      <c r="H22" s="136">
        <f t="shared" si="0"/>
        <v>12729.04</v>
      </c>
      <c r="I22" t="s">
        <v>411</v>
      </c>
    </row>
    <row r="23" spans="1:9" x14ac:dyDescent="0.25">
      <c r="A23" t="s">
        <v>397</v>
      </c>
      <c r="B23" s="128" t="s">
        <v>412</v>
      </c>
      <c r="C23" s="129">
        <v>382</v>
      </c>
      <c r="D23" s="129">
        <v>683</v>
      </c>
      <c r="E23" s="137">
        <v>315.24</v>
      </c>
      <c r="F23" s="137">
        <v>112.69</v>
      </c>
      <c r="G23" s="137">
        <v>4.6399999999999997</v>
      </c>
      <c r="H23" s="138">
        <f t="shared" si="0"/>
        <v>432.57</v>
      </c>
    </row>
    <row r="24" spans="1:9" x14ac:dyDescent="0.25">
      <c r="B24" s="128" t="s">
        <v>413</v>
      </c>
      <c r="C24" s="129">
        <v>10579</v>
      </c>
      <c r="D24" s="130">
        <v>10062</v>
      </c>
      <c r="E24" s="131">
        <v>6109.74</v>
      </c>
      <c r="F24" s="131">
        <v>3120.81</v>
      </c>
      <c r="G24" s="131">
        <v>343.58</v>
      </c>
      <c r="H24" s="132">
        <f t="shared" si="0"/>
        <v>9574.1299999999992</v>
      </c>
    </row>
    <row r="25" spans="1:9" x14ac:dyDescent="0.25">
      <c r="B25" s="128" t="s">
        <v>414</v>
      </c>
      <c r="C25" s="129">
        <v>2907</v>
      </c>
      <c r="D25" s="130">
        <v>3993</v>
      </c>
      <c r="E25" s="131">
        <v>2042.4</v>
      </c>
      <c r="F25" s="131">
        <v>857.57</v>
      </c>
      <c r="G25" s="131">
        <v>94.52</v>
      </c>
      <c r="H25" s="132">
        <f t="shared" si="0"/>
        <v>2994.4900000000002</v>
      </c>
    </row>
    <row r="26" spans="1:9" x14ac:dyDescent="0.25">
      <c r="A26" t="s">
        <v>397</v>
      </c>
      <c r="B26" s="128" t="s">
        <v>415</v>
      </c>
      <c r="C26" s="129">
        <v>94</v>
      </c>
      <c r="D26" s="130">
        <v>104</v>
      </c>
      <c r="E26" s="131">
        <v>58.61</v>
      </c>
      <c r="F26" s="131">
        <v>27.73</v>
      </c>
      <c r="G26" s="131">
        <v>2.98</v>
      </c>
      <c r="H26" s="132">
        <f t="shared" si="0"/>
        <v>89.320000000000007</v>
      </c>
    </row>
    <row r="27" spans="1:9" x14ac:dyDescent="0.25">
      <c r="B27" s="128" t="s">
        <v>416</v>
      </c>
      <c r="C27" s="129">
        <v>443</v>
      </c>
      <c r="D27" s="130">
        <v>515</v>
      </c>
      <c r="E27" s="131">
        <v>135.57</v>
      </c>
      <c r="F27" s="131">
        <v>130.69</v>
      </c>
      <c r="G27" s="131">
        <v>14.26</v>
      </c>
      <c r="H27" s="132">
        <f t="shared" si="0"/>
        <v>280.52</v>
      </c>
    </row>
    <row r="28" spans="1:9" x14ac:dyDescent="0.25">
      <c r="B28" s="128" t="s">
        <v>417</v>
      </c>
      <c r="C28" s="129">
        <v>17359</v>
      </c>
      <c r="D28" s="130">
        <v>20446</v>
      </c>
      <c r="E28" s="131">
        <v>11190.28</v>
      </c>
      <c r="F28" s="131">
        <v>5120.91</v>
      </c>
      <c r="G28" s="131">
        <v>563.46</v>
      </c>
      <c r="H28" s="132">
        <f t="shared" si="0"/>
        <v>16874.650000000001</v>
      </c>
    </row>
    <row r="29" spans="1:9" x14ac:dyDescent="0.25">
      <c r="B29" s="128" t="s">
        <v>418</v>
      </c>
      <c r="C29" s="129">
        <v>7136</v>
      </c>
      <c r="D29" s="130">
        <v>15020</v>
      </c>
      <c r="E29" s="131">
        <v>6558.18</v>
      </c>
      <c r="F29" s="131">
        <v>2105.12</v>
      </c>
      <c r="G29" s="131">
        <v>231.82</v>
      </c>
      <c r="H29" s="132">
        <f t="shared" si="0"/>
        <v>8895.119999999999</v>
      </c>
    </row>
    <row r="30" spans="1:9" x14ac:dyDescent="0.25">
      <c r="A30" t="s">
        <v>397</v>
      </c>
      <c r="B30" s="128" t="s">
        <v>419</v>
      </c>
      <c r="C30" s="129">
        <v>233</v>
      </c>
      <c r="D30" s="130">
        <v>568</v>
      </c>
      <c r="E30" s="131">
        <v>237.1</v>
      </c>
      <c r="F30" s="131">
        <v>68.739999999999995</v>
      </c>
      <c r="G30" s="131">
        <v>7.63</v>
      </c>
      <c r="H30" s="132">
        <f t="shared" si="0"/>
        <v>313.46999999999997</v>
      </c>
    </row>
    <row r="31" spans="1:9" x14ac:dyDescent="0.25">
      <c r="B31" s="128" t="s">
        <v>420</v>
      </c>
      <c r="C31" s="129">
        <v>40625</v>
      </c>
      <c r="D31" s="130">
        <v>70327</v>
      </c>
      <c r="E31" s="131">
        <v>32841.79</v>
      </c>
      <c r="F31" s="131">
        <v>11984.38</v>
      </c>
      <c r="G31" s="131">
        <v>1318.93</v>
      </c>
      <c r="H31" s="132">
        <f t="shared" si="0"/>
        <v>46145.1</v>
      </c>
    </row>
    <row r="32" spans="1:9" x14ac:dyDescent="0.25">
      <c r="A32" t="s">
        <v>397</v>
      </c>
      <c r="B32" s="128" t="s">
        <v>421</v>
      </c>
      <c r="C32" s="129">
        <v>948</v>
      </c>
      <c r="D32" s="130">
        <v>1238</v>
      </c>
      <c r="E32" s="131">
        <v>647.35</v>
      </c>
      <c r="F32" s="131">
        <v>279.66000000000003</v>
      </c>
      <c r="G32" s="131">
        <v>30.51</v>
      </c>
      <c r="H32" s="132">
        <f t="shared" si="0"/>
        <v>957.52</v>
      </c>
    </row>
    <row r="33" spans="1:8" x14ac:dyDescent="0.25">
      <c r="A33" t="s">
        <v>397</v>
      </c>
      <c r="B33" s="128" t="s">
        <v>422</v>
      </c>
      <c r="C33" s="129">
        <v>14</v>
      </c>
      <c r="D33" s="130">
        <v>6</v>
      </c>
      <c r="E33" s="131">
        <v>5.92</v>
      </c>
      <c r="F33" s="131">
        <v>4.13</v>
      </c>
      <c r="G33" s="131">
        <v>0.33</v>
      </c>
      <c r="H33" s="132">
        <f t="shared" si="0"/>
        <v>10.38</v>
      </c>
    </row>
    <row r="34" spans="1:8" x14ac:dyDescent="0.25">
      <c r="B34" s="128" t="s">
        <v>423</v>
      </c>
      <c r="C34" s="129">
        <v>318</v>
      </c>
      <c r="D34" s="130">
        <v>355</v>
      </c>
      <c r="E34" s="131">
        <v>199.21</v>
      </c>
      <c r="F34" s="131">
        <v>93.81</v>
      </c>
      <c r="G34" s="131">
        <v>10.28</v>
      </c>
      <c r="H34" s="132">
        <f t="shared" si="0"/>
        <v>303.29999999999995</v>
      </c>
    </row>
    <row r="35" spans="1:8" x14ac:dyDescent="0.25">
      <c r="A35" t="s">
        <v>397</v>
      </c>
      <c r="B35" s="128" t="s">
        <v>424</v>
      </c>
      <c r="C35" s="129">
        <v>296</v>
      </c>
      <c r="D35" s="130">
        <v>607</v>
      </c>
      <c r="E35" s="131">
        <v>267.29000000000002</v>
      </c>
      <c r="F35" s="131">
        <v>87.32</v>
      </c>
      <c r="G35" s="131">
        <v>9.6199999999999992</v>
      </c>
      <c r="H35" s="132">
        <f t="shared" si="0"/>
        <v>364.23</v>
      </c>
    </row>
    <row r="36" spans="1:8" x14ac:dyDescent="0.25">
      <c r="A36" t="s">
        <v>397</v>
      </c>
      <c r="B36" s="128" t="s">
        <v>425</v>
      </c>
      <c r="C36" s="129">
        <v>50</v>
      </c>
      <c r="D36" s="130">
        <v>45</v>
      </c>
      <c r="E36" s="131">
        <v>28.12</v>
      </c>
      <c r="F36" s="131">
        <v>14.75</v>
      </c>
      <c r="G36" s="131">
        <v>1.66</v>
      </c>
      <c r="H36" s="132">
        <f t="shared" si="0"/>
        <v>44.53</v>
      </c>
    </row>
    <row r="37" spans="1:8" x14ac:dyDescent="0.25">
      <c r="B37" s="59" t="s">
        <v>237</v>
      </c>
      <c r="C37" s="139">
        <f>SUM(C8:C36)</f>
        <v>114310</v>
      </c>
      <c r="D37" s="139">
        <f>SUM(D8:D36)</f>
        <v>165444</v>
      </c>
      <c r="E37" s="132">
        <f>SUM(E8:E36)</f>
        <v>82659.500000000015</v>
      </c>
      <c r="F37" s="132">
        <f>SUM(F8:F36)</f>
        <v>33721.49</v>
      </c>
      <c r="G37" s="132">
        <f>SUM(G8:G36)</f>
        <v>3704.5400000000004</v>
      </c>
      <c r="H37" s="132">
        <f t="shared" si="0"/>
        <v>120085.53000000001</v>
      </c>
    </row>
    <row r="39" spans="1:8" x14ac:dyDescent="0.25">
      <c r="B39" s="140" t="s">
        <v>384</v>
      </c>
      <c r="C39" s="141"/>
      <c r="D39" s="142"/>
      <c r="E39" s="137">
        <v>82659.5</v>
      </c>
      <c r="F39" s="137">
        <v>33721.49</v>
      </c>
      <c r="G39" s="137">
        <v>3704.54</v>
      </c>
      <c r="H39" s="137">
        <f>SUM(E39:G39)</f>
        <v>120085.52999999998</v>
      </c>
    </row>
    <row r="40" spans="1:8" ht="15.75" thickBot="1" x14ac:dyDescent="0.3">
      <c r="B40" s="140" t="s">
        <v>385</v>
      </c>
      <c r="C40" s="141"/>
      <c r="D40" s="142"/>
      <c r="E40" s="143">
        <v>159600</v>
      </c>
      <c r="F40" s="143">
        <v>65550</v>
      </c>
      <c r="G40" s="143">
        <v>6840</v>
      </c>
      <c r="H40" s="144">
        <v>231990</v>
      </c>
    </row>
    <row r="41" spans="1:8" ht="15.75" thickBot="1" x14ac:dyDescent="0.3">
      <c r="B41" s="145" t="s">
        <v>274</v>
      </c>
      <c r="C41" s="146"/>
      <c r="D41" s="146"/>
      <c r="E41" s="147">
        <f>SUM(E39:E40)</f>
        <v>242259.5</v>
      </c>
      <c r="F41" s="148">
        <f>SUM(F39:F40)</f>
        <v>99271.489999999991</v>
      </c>
      <c r="G41" s="148">
        <f>SUM(G39:G40)</f>
        <v>10544.54</v>
      </c>
      <c r="H41" s="149">
        <f>SUM(H39:H40)</f>
        <v>352075.52999999997</v>
      </c>
    </row>
    <row r="42" spans="1:8" x14ac:dyDescent="0.25">
      <c r="B42" s="150"/>
      <c r="E42" s="151"/>
      <c r="F42" s="151"/>
      <c r="G42" s="151"/>
      <c r="H42" s="151"/>
    </row>
    <row r="43" spans="1:8" x14ac:dyDescent="0.25">
      <c r="B43" s="150"/>
      <c r="E43" s="151"/>
      <c r="F43" s="151"/>
      <c r="G43" s="151"/>
      <c r="H43" s="151"/>
    </row>
    <row r="44" spans="1:8" x14ac:dyDescent="0.25">
      <c r="B44" s="150"/>
      <c r="E44" s="151"/>
      <c r="F44" s="151"/>
      <c r="G44" s="151"/>
      <c r="H44" s="151"/>
    </row>
    <row r="45" spans="1:8" x14ac:dyDescent="0.25">
      <c r="B45" s="150"/>
      <c r="E45" s="151"/>
      <c r="F45" s="151"/>
      <c r="G45" s="151"/>
      <c r="H45" s="151"/>
    </row>
    <row r="46" spans="1:8" x14ac:dyDescent="0.25">
      <c r="A46" s="61" t="s">
        <v>426</v>
      </c>
    </row>
    <row r="47" spans="1:8" x14ac:dyDescent="0.25">
      <c r="A47" s="61" t="s">
        <v>427</v>
      </c>
    </row>
    <row r="48" spans="1:8" x14ac:dyDescent="0.25">
      <c r="A48" s="61" t="s">
        <v>428</v>
      </c>
    </row>
  </sheetData>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7A65C-60F4-4A94-B50B-D4A00B1EC835}">
  <sheetPr>
    <tabColor rgb="FFC00000"/>
  </sheetPr>
  <dimension ref="B2:N38"/>
  <sheetViews>
    <sheetView topLeftCell="A4" workbookViewId="0">
      <selection activeCell="I14" sqref="I14"/>
    </sheetView>
  </sheetViews>
  <sheetFormatPr defaultRowHeight="15" x14ac:dyDescent="0.25"/>
  <cols>
    <col min="3" max="3" width="22.42578125" customWidth="1"/>
    <col min="4" max="4" width="20.28515625" customWidth="1"/>
    <col min="5" max="5" width="21.42578125" customWidth="1"/>
    <col min="6" max="6" width="15.42578125" customWidth="1"/>
    <col min="7" max="7" width="16.7109375" customWidth="1"/>
    <col min="13" max="13" width="9" bestFit="1" customWidth="1"/>
    <col min="14" max="14" width="10" bestFit="1" customWidth="1"/>
  </cols>
  <sheetData>
    <row r="2" spans="2:10" ht="15.75" thickBot="1" x14ac:dyDescent="0.3"/>
    <row r="3" spans="2:10" ht="15.75" thickBot="1" x14ac:dyDescent="0.3">
      <c r="B3" s="94" t="s">
        <v>429</v>
      </c>
      <c r="C3" s="95" t="s">
        <v>430</v>
      </c>
      <c r="D3" s="95" t="s">
        <v>431</v>
      </c>
      <c r="E3" s="95" t="s">
        <v>432</v>
      </c>
      <c r="F3" s="95" t="s">
        <v>433</v>
      </c>
      <c r="G3" s="95" t="s">
        <v>434</v>
      </c>
      <c r="H3" s="95" t="s">
        <v>435</v>
      </c>
      <c r="I3" s="95" t="s">
        <v>436</v>
      </c>
      <c r="J3" s="95" t="s">
        <v>199</v>
      </c>
    </row>
    <row r="4" spans="2:10" ht="75.95" customHeight="1" x14ac:dyDescent="0.25">
      <c r="B4" s="403" t="s">
        <v>437</v>
      </c>
      <c r="C4" s="403" t="s">
        <v>438</v>
      </c>
      <c r="D4" s="403" t="s">
        <v>439</v>
      </c>
      <c r="E4" s="403" t="s">
        <v>440</v>
      </c>
      <c r="F4" s="403" t="s">
        <v>441</v>
      </c>
      <c r="G4" s="96" t="s">
        <v>442</v>
      </c>
      <c r="H4" s="403" t="s">
        <v>443</v>
      </c>
      <c r="I4" s="96" t="s">
        <v>444</v>
      </c>
      <c r="J4" s="403" t="s">
        <v>445</v>
      </c>
    </row>
    <row r="5" spans="2:10" ht="15.75" thickBot="1" x14ac:dyDescent="0.3">
      <c r="B5" s="404"/>
      <c r="C5" s="404"/>
      <c r="D5" s="404"/>
      <c r="E5" s="404"/>
      <c r="F5" s="404"/>
      <c r="G5" s="97" t="s">
        <v>446</v>
      </c>
      <c r="H5" s="404"/>
      <c r="I5" s="97" t="s">
        <v>447</v>
      </c>
      <c r="J5" s="404"/>
    </row>
    <row r="6" spans="2:10" ht="39" thickBot="1" x14ac:dyDescent="0.3">
      <c r="B6" s="405" t="s">
        <v>448</v>
      </c>
      <c r="C6" s="98" t="s">
        <v>449</v>
      </c>
      <c r="D6" s="98" t="s">
        <v>450</v>
      </c>
      <c r="E6" s="98" t="s">
        <v>451</v>
      </c>
      <c r="F6" s="99" t="s">
        <v>452</v>
      </c>
      <c r="G6" s="100" t="s">
        <v>453</v>
      </c>
      <c r="H6" s="101"/>
      <c r="I6" s="101"/>
      <c r="J6" s="101"/>
    </row>
    <row r="7" spans="2:10" ht="51.75" thickBot="1" x14ac:dyDescent="0.3">
      <c r="B7" s="406"/>
      <c r="C7" s="98" t="s">
        <v>454</v>
      </c>
      <c r="D7" s="98" t="s">
        <v>450</v>
      </c>
      <c r="E7" s="98" t="s">
        <v>455</v>
      </c>
      <c r="F7" s="99" t="s">
        <v>456</v>
      </c>
      <c r="G7" s="100" t="s">
        <v>457</v>
      </c>
      <c r="H7" s="101"/>
      <c r="I7" s="101"/>
      <c r="J7" s="101"/>
    </row>
    <row r="8" spans="2:10" ht="45" thickBot="1" x14ac:dyDescent="0.3">
      <c r="B8" s="406"/>
      <c r="C8" s="98" t="s">
        <v>458</v>
      </c>
      <c r="D8" s="98" t="s">
        <v>450</v>
      </c>
      <c r="E8" s="99" t="s">
        <v>459</v>
      </c>
      <c r="F8" s="98" t="s">
        <v>460</v>
      </c>
      <c r="G8" s="102"/>
      <c r="H8" s="101"/>
      <c r="I8" s="101"/>
      <c r="J8" s="101"/>
    </row>
    <row r="9" spans="2:10" ht="54.75" thickBot="1" x14ac:dyDescent="0.3">
      <c r="B9" s="406"/>
      <c r="C9" s="98" t="s">
        <v>461</v>
      </c>
      <c r="D9" s="98" t="s">
        <v>462</v>
      </c>
      <c r="E9" s="103" t="s">
        <v>463</v>
      </c>
      <c r="F9" s="103" t="s">
        <v>464</v>
      </c>
      <c r="G9" s="104">
        <f>'[4]Estimates-9042024'!C40</f>
        <v>242259.5</v>
      </c>
      <c r="H9" s="101"/>
      <c r="I9" s="101"/>
      <c r="J9" s="101"/>
    </row>
    <row r="10" spans="2:10" ht="54.75" thickBot="1" x14ac:dyDescent="0.3">
      <c r="B10" s="406"/>
      <c r="C10" s="98" t="s">
        <v>465</v>
      </c>
      <c r="D10" s="98" t="s">
        <v>462</v>
      </c>
      <c r="E10" s="103" t="s">
        <v>466</v>
      </c>
      <c r="F10" s="103" t="s">
        <v>467</v>
      </c>
      <c r="G10" s="104">
        <f>'[4]Estimates-9042024'!D40</f>
        <v>99271.489999999991</v>
      </c>
      <c r="H10" s="101"/>
      <c r="I10" s="101"/>
      <c r="J10" s="101"/>
    </row>
    <row r="11" spans="2:10" ht="30.75" thickBot="1" x14ac:dyDescent="0.3">
      <c r="B11" s="406"/>
      <c r="C11" s="105" t="s">
        <v>468</v>
      </c>
      <c r="D11" s="105" t="s">
        <v>462</v>
      </c>
      <c r="E11" s="103" t="s">
        <v>469</v>
      </c>
      <c r="F11" s="103" t="s">
        <v>470</v>
      </c>
      <c r="G11" s="104">
        <f>'[4]Estimates-9042024'!E40</f>
        <v>10544.54</v>
      </c>
      <c r="H11" s="101"/>
      <c r="I11" s="101"/>
      <c r="J11" s="101"/>
    </row>
    <row r="12" spans="2:10" ht="26.25" thickBot="1" x14ac:dyDescent="0.3">
      <c r="B12" s="406"/>
      <c r="C12" s="106" t="s">
        <v>471</v>
      </c>
      <c r="D12" s="106" t="s">
        <v>450</v>
      </c>
      <c r="E12" s="107"/>
      <c r="F12" s="107"/>
      <c r="G12" s="107"/>
      <c r="H12" s="101"/>
      <c r="I12" s="101"/>
      <c r="J12" s="101"/>
    </row>
    <row r="13" spans="2:10" ht="60.75" thickBot="1" x14ac:dyDescent="0.3">
      <c r="B13" s="406"/>
      <c r="C13" s="98" t="s">
        <v>472</v>
      </c>
      <c r="D13" s="98" t="s">
        <v>473</v>
      </c>
      <c r="E13" s="99" t="s">
        <v>474</v>
      </c>
      <c r="F13" s="99" t="s">
        <v>475</v>
      </c>
      <c r="G13" s="104">
        <f>'[4]Estimates-9042024'!C35</f>
        <v>4050</v>
      </c>
      <c r="H13" s="101"/>
      <c r="I13" s="101"/>
      <c r="J13" s="101"/>
    </row>
    <row r="14" spans="2:10" ht="26.25" thickBot="1" x14ac:dyDescent="0.3">
      <c r="B14" s="406"/>
      <c r="C14" s="105" t="s">
        <v>476</v>
      </c>
      <c r="D14" s="98"/>
      <c r="E14" s="99"/>
      <c r="F14" s="99"/>
      <c r="G14" s="104">
        <v>1500</v>
      </c>
      <c r="H14" s="101"/>
      <c r="I14" s="101"/>
      <c r="J14" s="101"/>
    </row>
    <row r="15" spans="2:10" ht="15.75" thickBot="1" x14ac:dyDescent="0.3">
      <c r="B15" s="407"/>
      <c r="C15" s="105" t="s">
        <v>477</v>
      </c>
      <c r="D15" s="102"/>
      <c r="E15" s="102"/>
      <c r="F15" s="102"/>
      <c r="G15" s="104">
        <f>'[4]Estimates-9042024'!C23</f>
        <v>531720</v>
      </c>
      <c r="H15" s="101"/>
      <c r="I15" s="101"/>
      <c r="J15" s="101"/>
    </row>
    <row r="16" spans="2:10" ht="78.599999999999994" customHeight="1" thickBot="1" x14ac:dyDescent="0.3">
      <c r="B16" s="405" t="s">
        <v>478</v>
      </c>
      <c r="C16" s="98" t="s">
        <v>458</v>
      </c>
      <c r="D16" s="98" t="s">
        <v>450</v>
      </c>
      <c r="E16" s="99" t="s">
        <v>479</v>
      </c>
      <c r="F16" s="99" t="s">
        <v>480</v>
      </c>
      <c r="G16" s="102"/>
      <c r="H16" s="102"/>
      <c r="I16" s="102"/>
      <c r="J16" s="102"/>
    </row>
    <row r="17" spans="2:14" ht="117.6" customHeight="1" thickBot="1" x14ac:dyDescent="0.3">
      <c r="B17" s="406"/>
      <c r="C17" s="98" t="s">
        <v>481</v>
      </c>
      <c r="D17" s="98" t="s">
        <v>462</v>
      </c>
      <c r="E17" s="99" t="s">
        <v>482</v>
      </c>
      <c r="F17" s="103" t="s">
        <v>483</v>
      </c>
      <c r="G17" s="104">
        <f>55963*0+0.8653*76484</f>
        <v>66181.605199999991</v>
      </c>
      <c r="H17" s="102"/>
      <c r="I17" s="102"/>
      <c r="J17" s="102"/>
      <c r="N17" s="108"/>
    </row>
    <row r="18" spans="2:14" ht="52.5" customHeight="1" thickBot="1" x14ac:dyDescent="0.3">
      <c r="B18" s="406"/>
      <c r="C18" s="109" t="s">
        <v>471</v>
      </c>
      <c r="D18" s="110" t="s">
        <v>450</v>
      </c>
      <c r="E18" s="111"/>
      <c r="F18" s="111"/>
      <c r="G18" s="111"/>
      <c r="H18" s="111"/>
      <c r="I18" s="111"/>
      <c r="J18" s="111"/>
    </row>
    <row r="19" spans="2:14" ht="104.45" customHeight="1" thickBot="1" x14ac:dyDescent="0.3">
      <c r="B19" s="406"/>
      <c r="C19" s="112" t="s">
        <v>484</v>
      </c>
      <c r="D19" s="98" t="s">
        <v>450</v>
      </c>
      <c r="E19" s="98" t="s">
        <v>485</v>
      </c>
      <c r="F19" s="99" t="s">
        <v>452</v>
      </c>
      <c r="G19" s="100" t="s">
        <v>486</v>
      </c>
      <c r="H19" s="102"/>
      <c r="I19" s="102"/>
      <c r="J19" s="102"/>
    </row>
    <row r="20" spans="2:14" ht="39.6" customHeight="1" thickBot="1" x14ac:dyDescent="0.3">
      <c r="B20" s="406"/>
      <c r="C20" s="112" t="s">
        <v>487</v>
      </c>
      <c r="D20" s="102"/>
      <c r="E20" s="102"/>
      <c r="F20" s="102"/>
      <c r="G20" s="102"/>
      <c r="H20" s="102"/>
      <c r="I20" s="102"/>
      <c r="J20" s="102"/>
    </row>
    <row r="24" spans="2:14" x14ac:dyDescent="0.25">
      <c r="C24" s="113"/>
    </row>
    <row r="25" spans="2:14" x14ac:dyDescent="0.25">
      <c r="B25" s="114" t="s">
        <v>488</v>
      </c>
      <c r="C25" s="115"/>
    </row>
    <row r="26" spans="2:14" x14ac:dyDescent="0.25">
      <c r="B26" s="114" t="s">
        <v>489</v>
      </c>
    </row>
    <row r="27" spans="2:14" x14ac:dyDescent="0.25">
      <c r="B27" s="116" t="s">
        <v>490</v>
      </c>
    </row>
    <row r="28" spans="2:14" x14ac:dyDescent="0.25">
      <c r="B28" s="116" t="s">
        <v>491</v>
      </c>
    </row>
    <row r="29" spans="2:14" x14ac:dyDescent="0.25">
      <c r="B29" s="114" t="s">
        <v>492</v>
      </c>
    </row>
    <row r="30" spans="2:14" x14ac:dyDescent="0.25">
      <c r="B30" s="116" t="s">
        <v>493</v>
      </c>
    </row>
    <row r="31" spans="2:14" x14ac:dyDescent="0.25">
      <c r="B31" s="114" t="s">
        <v>494</v>
      </c>
    </row>
    <row r="32" spans="2:14" x14ac:dyDescent="0.25">
      <c r="B32" s="114" t="s">
        <v>495</v>
      </c>
    </row>
    <row r="33" spans="2:2" x14ac:dyDescent="0.25">
      <c r="B33" s="114" t="s">
        <v>496</v>
      </c>
    </row>
    <row r="34" spans="2:2" x14ac:dyDescent="0.25">
      <c r="B34" s="114" t="s">
        <v>497</v>
      </c>
    </row>
    <row r="35" spans="2:2" x14ac:dyDescent="0.25">
      <c r="B35" s="114" t="s">
        <v>498</v>
      </c>
    </row>
    <row r="36" spans="2:2" x14ac:dyDescent="0.25">
      <c r="B36" s="116" t="s">
        <v>499</v>
      </c>
    </row>
    <row r="37" spans="2:2" x14ac:dyDescent="0.25">
      <c r="B37" s="117" t="s">
        <v>500</v>
      </c>
    </row>
    <row r="38" spans="2:2" x14ac:dyDescent="0.25">
      <c r="B38" s="117" t="s">
        <v>501</v>
      </c>
    </row>
  </sheetData>
  <mergeCells count="9">
    <mergeCell ref="J4:J5"/>
    <mergeCell ref="B6:B15"/>
    <mergeCell ref="B16:B20"/>
    <mergeCell ref="B4:B5"/>
    <mergeCell ref="C4:C5"/>
    <mergeCell ref="D4:D5"/>
    <mergeCell ref="E4:E5"/>
    <mergeCell ref="F4:F5"/>
    <mergeCell ref="H4:H5"/>
  </mergeCells>
  <hyperlinks>
    <hyperlink ref="F6" location="_ftn1" display="_ftn1" xr:uid="{4D023380-F973-43FE-8B9A-94D47A268C18}"/>
    <hyperlink ref="F7" location="_ftn2" display="_ftn2" xr:uid="{E3BD917A-DB2E-4C51-B711-939AA58AF0B4}"/>
    <hyperlink ref="E8" location="_ftn3" display="_ftn3" xr:uid="{9A4B9235-33ED-4761-95DF-1E20E7A11AF5}"/>
    <hyperlink ref="E9" location="_ftn6" display="_ftn6" xr:uid="{2C778C05-3DF7-4663-94DB-FA49A9A77F9A}"/>
    <hyperlink ref="F9" location="_ftn7" display="_ftn7" xr:uid="{15C825B7-A931-4F24-9F62-47BB75A46180}"/>
    <hyperlink ref="E10" location="_ftn8" display="_ftn8" xr:uid="{70F77097-24E4-406C-9D87-3F7B0BA7E756}"/>
    <hyperlink ref="F10" location="_ftn9" display="_ftn9" xr:uid="{1404FFD8-3D70-4CFF-857F-19E2395368A7}"/>
    <hyperlink ref="E13" location="_ftn10" display="_ftn10" xr:uid="{1CD7BEE9-9774-4C65-BA26-EE79FFD8FA32}"/>
    <hyperlink ref="F13" location="_ftn11" display="_ftn11" xr:uid="{8A8404F0-E2AC-4C15-B0A1-5E349F081C4A}"/>
    <hyperlink ref="E16" location="_ftn12" display="_ftn12" xr:uid="{67128A79-29ED-40CE-8FBF-7058C458BF04}"/>
    <hyperlink ref="F16" location="_ftn13" display="_ftn13" xr:uid="{1BAA0B43-0F99-4194-8960-A41917E9A82B}"/>
    <hyperlink ref="E17" location="_ftn14" display="_ftn14" xr:uid="{B64DB057-E383-49D4-997C-FC9E9409BE95}"/>
    <hyperlink ref="F17" location="_ftn15" display="_ftn15" xr:uid="{96933409-4681-48DC-B149-700F7E71F619}"/>
    <hyperlink ref="B26" location="_ftnref5" display="_ftnref5" xr:uid="{B710FEA9-0AF1-4AD0-A867-15B377C3AE43}"/>
    <hyperlink ref="B27" location="_ftnref6" display="_ftnref6" xr:uid="{B2887730-4788-4FD9-BB4D-6B8B311DE45F}"/>
    <hyperlink ref="B28" location="_ftnref7" display="_ftnref7" xr:uid="{515D7277-1AAD-47F4-A7EF-E8DF150D3222}"/>
    <hyperlink ref="B29" location="_ftnref8" display="_ftnref8" xr:uid="{89A9892D-932D-4D07-B8D7-DA47796D785C}"/>
    <hyperlink ref="B30" location="_ftnref9" display="_ftnref9" xr:uid="{DEB5BE4D-E3B5-46F4-8CB5-FB87E033F459}"/>
    <hyperlink ref="B31" location="_ftnref10" display="_ftnref10" xr:uid="{DB4688A5-A253-4083-8791-FCFF8C09A1BC}"/>
    <hyperlink ref="B32" location="_ftnref11" display="_ftnref11" xr:uid="{491D3C80-BFF9-4F94-B827-F03C4502E8CD}"/>
    <hyperlink ref="B33" location="_ftnref12" display="_ftnref12" xr:uid="{07BD46C6-12A4-4466-B8A6-87C2ECE62F73}"/>
    <hyperlink ref="B34" location="_ftnref13" display="_ftnref13" xr:uid="{C061B27D-B0BC-4469-968B-1A218B028CDA}"/>
    <hyperlink ref="B35" location="_ftnref14" display="_ftnref14" xr:uid="{056ECE99-3181-4D09-9959-EA08D22AEC8B}"/>
    <hyperlink ref="B36" location="_ftnref15" display="_ftnref15" xr:uid="{25658ECB-01C3-4655-8C70-BF3FF9688146}"/>
    <hyperlink ref="F19" location="_ftn1" display="_ftn1" xr:uid="{E4AF0186-A68C-49AD-A8D6-1E2066B544A1}"/>
    <hyperlink ref="B25" location="_ftnref1" display="_ftnref1" xr:uid="{C40467CD-7841-460E-A2F7-CAEDC891FB7F}"/>
    <hyperlink ref="E11" location="_ftn8" display="_ftn8" xr:uid="{45D4FB24-8ABB-4D85-84AC-8AC9583CE388}"/>
    <hyperlink ref="F11" location="_ftn9" display="_ftn9" xr:uid="{C9254A05-6EF9-4D49-B7E6-C12452DEE35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DF8F4-0BFD-490D-8CE5-B400E941EF88}">
  <sheetPr>
    <tabColor rgb="FFFF0000"/>
  </sheetPr>
  <dimension ref="A1:D7"/>
  <sheetViews>
    <sheetView workbookViewId="0">
      <selection sqref="A1:XFD1048576"/>
    </sheetView>
  </sheetViews>
  <sheetFormatPr defaultColWidth="8.7109375" defaultRowHeight="12.75" x14ac:dyDescent="0.2"/>
  <cols>
    <col min="1" max="1" width="13.28515625" style="170" bestFit="1" customWidth="1"/>
    <col min="2" max="2" width="17.5703125" style="170" customWidth="1"/>
    <col min="3" max="3" width="15.42578125" style="170" customWidth="1"/>
    <col min="4" max="4" width="16.7109375" style="170" customWidth="1"/>
    <col min="5" max="5" width="11" style="170" bestFit="1" customWidth="1"/>
    <col min="6" max="16384" width="8.7109375" style="170"/>
  </cols>
  <sheetData>
    <row r="1" spans="1:4" ht="13.5" customHeight="1" thickBot="1" x14ac:dyDescent="0.25">
      <c r="A1" s="172" t="s">
        <v>502</v>
      </c>
      <c r="B1" s="408" t="s">
        <v>503</v>
      </c>
      <c r="C1" s="245" t="s">
        <v>504</v>
      </c>
      <c r="D1" s="246" t="s">
        <v>505</v>
      </c>
    </row>
    <row r="2" spans="1:4" ht="13.5" thickBot="1" x14ac:dyDescent="0.25">
      <c r="A2" s="194"/>
      <c r="B2" s="409"/>
      <c r="C2" s="247" t="s">
        <v>506</v>
      </c>
      <c r="D2" s="248">
        <f>SUM(D5:D6)</f>
        <v>585120</v>
      </c>
    </row>
    <row r="3" spans="1:4" ht="13.5" thickBot="1" x14ac:dyDescent="0.25">
      <c r="A3" s="218"/>
      <c r="B3" s="219"/>
      <c r="C3" s="220"/>
      <c r="D3" s="249"/>
    </row>
    <row r="4" spans="1:4" x14ac:dyDescent="0.2">
      <c r="A4" s="410" t="s">
        <v>507</v>
      </c>
      <c r="B4" s="411"/>
      <c r="C4" s="250" t="s">
        <v>508</v>
      </c>
      <c r="D4" s="251" t="s">
        <v>509</v>
      </c>
    </row>
    <row r="5" spans="1:4" ht="15" x14ac:dyDescent="0.25">
      <c r="A5" s="412" t="s">
        <v>510</v>
      </c>
      <c r="B5" s="413"/>
      <c r="C5" s="252">
        <v>4385</v>
      </c>
      <c r="D5" s="253">
        <v>541920</v>
      </c>
    </row>
    <row r="6" spans="1:4" ht="15" x14ac:dyDescent="0.25">
      <c r="A6" s="412" t="s">
        <v>511</v>
      </c>
      <c r="B6" s="413"/>
      <c r="C6" s="252">
        <v>360</v>
      </c>
      <c r="D6" s="253">
        <v>43200</v>
      </c>
    </row>
    <row r="7" spans="1:4" ht="13.5" thickBot="1" x14ac:dyDescent="0.25">
      <c r="A7" s="414"/>
      <c r="B7" s="415"/>
      <c r="C7" s="254"/>
      <c r="D7" s="255"/>
    </row>
  </sheetData>
  <mergeCells count="5">
    <mergeCell ref="B1:B2"/>
    <mergeCell ref="A4:B4"/>
    <mergeCell ref="A5:B5"/>
    <mergeCell ref="A6:B6"/>
    <mergeCell ref="A7:B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B3D7A-F150-4F11-8564-735ACFB1FFE3}">
  <sheetPr>
    <tabColor rgb="FFFF0000"/>
    <outlinePr summaryBelow="0"/>
    <pageSetUpPr fitToPage="1"/>
  </sheetPr>
  <dimension ref="B1:J32"/>
  <sheetViews>
    <sheetView topLeftCell="B1" zoomScale="120" zoomScaleNormal="120" workbookViewId="0">
      <pane ySplit="7" topLeftCell="A8" activePane="bottomLeft" state="frozen"/>
      <selection activeCell="Q25" sqref="Q25"/>
      <selection pane="bottomLeft" activeCell="I32" sqref="I32"/>
    </sheetView>
  </sheetViews>
  <sheetFormatPr defaultColWidth="7.85546875" defaultRowHeight="12.75" outlineLevelRow="1" x14ac:dyDescent="0.2"/>
  <cols>
    <col min="1" max="1" width="1.5703125" style="170" customWidth="1"/>
    <col min="2" max="2" width="12.5703125" style="170" customWidth="1"/>
    <col min="3" max="3" width="10.42578125" style="170" customWidth="1"/>
    <col min="4" max="4" width="5.42578125" style="170" hidden="1" customWidth="1"/>
    <col min="5" max="5" width="4.28515625" style="170" hidden="1" customWidth="1"/>
    <col min="6" max="6" width="9.140625" style="170" customWidth="1"/>
    <col min="7" max="7" width="1.85546875" style="170" hidden="1" customWidth="1"/>
    <col min="8" max="8" width="9.140625" style="171" customWidth="1"/>
    <col min="9" max="9" width="10.5703125" style="170" customWidth="1"/>
    <col min="10" max="16384" width="7.85546875" style="170"/>
  </cols>
  <sheetData>
    <row r="1" spans="2:9" ht="6" customHeight="1" thickBot="1" x14ac:dyDescent="0.25"/>
    <row r="2" spans="2:9" s="177" customFormat="1" ht="16.5" customHeight="1" thickBot="1" x14ac:dyDescent="0.3">
      <c r="B2" s="172" t="s">
        <v>502</v>
      </c>
      <c r="C2" s="418" t="s">
        <v>512</v>
      </c>
      <c r="D2" s="419"/>
      <c r="E2" s="173"/>
      <c r="F2" s="174" t="s">
        <v>504</v>
      </c>
      <c r="G2" s="174"/>
      <c r="H2" s="175"/>
      <c r="I2" s="176" t="s">
        <v>505</v>
      </c>
    </row>
    <row r="3" spans="2:9" s="177" customFormat="1" ht="12.75" customHeight="1" x14ac:dyDescent="0.25">
      <c r="B3" s="178" t="s">
        <v>513</v>
      </c>
      <c r="C3" s="420" t="s">
        <v>514</v>
      </c>
      <c r="D3" s="421"/>
      <c r="E3" s="179"/>
      <c r="F3" s="180" t="s">
        <v>515</v>
      </c>
      <c r="G3" s="180"/>
      <c r="H3" s="181"/>
      <c r="I3" s="182">
        <v>585120</v>
      </c>
    </row>
    <row r="4" spans="2:9" s="177" customFormat="1" ht="12.75" customHeight="1" x14ac:dyDescent="0.25">
      <c r="B4" s="178" t="s">
        <v>516</v>
      </c>
      <c r="C4" s="422">
        <v>45658</v>
      </c>
      <c r="D4" s="423"/>
      <c r="E4" s="183"/>
      <c r="F4" s="184" t="s">
        <v>517</v>
      </c>
      <c r="G4" s="184"/>
      <c r="H4" s="185"/>
      <c r="I4" s="186">
        <v>0</v>
      </c>
    </row>
    <row r="5" spans="2:9" s="177" customFormat="1" ht="12.75" customHeight="1" x14ac:dyDescent="0.25">
      <c r="B5" s="178" t="s">
        <v>518</v>
      </c>
      <c r="C5" s="422">
        <v>46022</v>
      </c>
      <c r="D5" s="423"/>
      <c r="E5" s="183"/>
      <c r="F5" s="187"/>
      <c r="G5" s="187"/>
      <c r="H5" s="188"/>
      <c r="I5" s="189"/>
    </row>
    <row r="6" spans="2:9" s="177" customFormat="1" ht="12.75" customHeight="1" thickBot="1" x14ac:dyDescent="0.3">
      <c r="B6" s="178"/>
      <c r="C6" s="424"/>
      <c r="D6" s="425"/>
      <c r="E6" s="190"/>
      <c r="F6" s="191"/>
      <c r="G6" s="191"/>
      <c r="H6" s="192"/>
      <c r="I6" s="193"/>
    </row>
    <row r="7" spans="2:9" s="199" customFormat="1" ht="13.5" customHeight="1" thickBot="1" x14ac:dyDescent="0.3">
      <c r="B7" s="194"/>
      <c r="C7" s="426"/>
      <c r="D7" s="427"/>
      <c r="E7" s="195"/>
      <c r="F7" s="196" t="s">
        <v>506</v>
      </c>
      <c r="G7" s="196"/>
      <c r="H7" s="197"/>
      <c r="I7" s="198">
        <v>585120</v>
      </c>
    </row>
    <row r="8" spans="2:9" s="177" customFormat="1" ht="15.75" customHeight="1" thickBot="1" x14ac:dyDescent="0.3">
      <c r="B8" s="194" t="s">
        <v>519</v>
      </c>
      <c r="C8" s="200"/>
      <c r="D8" s="200"/>
      <c r="E8" s="200"/>
      <c r="F8" s="200"/>
      <c r="G8" s="200"/>
      <c r="H8" s="201"/>
      <c r="I8" s="202" t="s">
        <v>504</v>
      </c>
    </row>
    <row r="9" spans="2:9" s="177" customFormat="1" ht="13.5" customHeight="1" outlineLevel="1" x14ac:dyDescent="0.25">
      <c r="B9" s="203" t="s">
        <v>520</v>
      </c>
      <c r="C9" s="204"/>
      <c r="D9" s="205"/>
      <c r="E9" s="205"/>
      <c r="F9" s="205"/>
      <c r="G9" s="205"/>
      <c r="H9" s="206"/>
      <c r="I9" s="207" t="s">
        <v>515</v>
      </c>
    </row>
    <row r="10" spans="2:9" s="177" customFormat="1" ht="13.5" customHeight="1" outlineLevel="1" x14ac:dyDescent="0.25">
      <c r="B10" s="208" t="s">
        <v>521</v>
      </c>
      <c r="C10" s="209"/>
      <c r="D10" s="210"/>
      <c r="E10" s="210"/>
      <c r="F10" s="210"/>
      <c r="G10" s="210"/>
      <c r="H10" s="211"/>
      <c r="I10" s="212" t="s">
        <v>515</v>
      </c>
    </row>
    <row r="11" spans="2:9" s="177" customFormat="1" ht="13.5" customHeight="1" outlineLevel="1" x14ac:dyDescent="0.25">
      <c r="B11" s="208" t="s">
        <v>522</v>
      </c>
      <c r="C11" s="209"/>
      <c r="D11" s="210"/>
      <c r="E11" s="210"/>
      <c r="F11" s="210"/>
      <c r="G11" s="210"/>
      <c r="H11" s="211"/>
      <c r="I11" s="212" t="s">
        <v>515</v>
      </c>
    </row>
    <row r="12" spans="2:9" s="177" customFormat="1" ht="13.5" customHeight="1" outlineLevel="1" x14ac:dyDescent="0.25">
      <c r="B12" s="208" t="s">
        <v>523</v>
      </c>
      <c r="C12" s="209"/>
      <c r="D12" s="210"/>
      <c r="E12" s="210"/>
      <c r="F12" s="210"/>
      <c r="G12" s="210"/>
      <c r="H12" s="211"/>
      <c r="I12" s="212" t="s">
        <v>515</v>
      </c>
    </row>
    <row r="13" spans="2:9" s="177" customFormat="1" ht="13.5" customHeight="1" outlineLevel="1" x14ac:dyDescent="0.25">
      <c r="B13" s="208" t="s">
        <v>524</v>
      </c>
      <c r="C13" s="209"/>
      <c r="D13" s="210"/>
      <c r="E13" s="210"/>
      <c r="F13" s="210"/>
      <c r="G13" s="210"/>
      <c r="H13" s="211"/>
      <c r="I13" s="212" t="s">
        <v>515</v>
      </c>
    </row>
    <row r="14" spans="2:9" s="177" customFormat="1" ht="13.5" customHeight="1" outlineLevel="1" x14ac:dyDescent="0.25">
      <c r="B14" s="208" t="s">
        <v>525</v>
      </c>
      <c r="C14" s="209"/>
      <c r="D14" s="210"/>
      <c r="E14" s="210"/>
      <c r="F14" s="210"/>
      <c r="G14" s="210"/>
      <c r="H14" s="211"/>
      <c r="I14" s="212" t="s">
        <v>515</v>
      </c>
    </row>
    <row r="15" spans="2:9" s="177" customFormat="1" ht="13.5" customHeight="1" outlineLevel="1" thickBot="1" x14ac:dyDescent="0.3">
      <c r="B15" s="213" t="s">
        <v>526</v>
      </c>
      <c r="C15" s="214"/>
      <c r="D15" s="215"/>
      <c r="E15" s="215"/>
      <c r="F15" s="215"/>
      <c r="G15" s="215"/>
      <c r="H15" s="216"/>
      <c r="I15" s="217"/>
    </row>
    <row r="16" spans="2:9" s="177" customFormat="1" ht="15.75" customHeight="1" thickBot="1" x14ac:dyDescent="0.3">
      <c r="B16" s="218" t="s">
        <v>527</v>
      </c>
      <c r="C16" s="219"/>
      <c r="D16" s="219"/>
      <c r="E16" s="219"/>
      <c r="F16" s="220"/>
      <c r="G16" s="221"/>
      <c r="H16" s="222"/>
      <c r="I16" s="223" t="s">
        <v>509</v>
      </c>
    </row>
    <row r="17" spans="2:10" s="177" customFormat="1" ht="15" customHeight="1" thickBot="1" x14ac:dyDescent="0.3">
      <c r="B17" s="428" t="s">
        <v>507</v>
      </c>
      <c r="C17" s="429"/>
      <c r="D17" s="224" t="s">
        <v>528</v>
      </c>
      <c r="E17" s="224" t="s">
        <v>529</v>
      </c>
      <c r="F17" s="224"/>
      <c r="G17" s="225" t="s">
        <v>530</v>
      </c>
      <c r="H17" s="226" t="s">
        <v>508</v>
      </c>
      <c r="I17" s="227">
        <v>585120</v>
      </c>
    </row>
    <row r="18" spans="2:10" s="177" customFormat="1" ht="11.25" outlineLevel="1" x14ac:dyDescent="0.25">
      <c r="B18" s="416" t="s">
        <v>531</v>
      </c>
      <c r="C18" s="417"/>
      <c r="D18" s="228"/>
      <c r="E18" s="229">
        <v>0.5</v>
      </c>
      <c r="F18" s="230"/>
      <c r="G18" s="231">
        <v>171</v>
      </c>
      <c r="H18" s="232">
        <v>520</v>
      </c>
      <c r="I18" s="233">
        <v>88920</v>
      </c>
      <c r="J18" s="234"/>
    </row>
    <row r="19" spans="2:10" s="177" customFormat="1" ht="11.25" outlineLevel="1" x14ac:dyDescent="0.25">
      <c r="B19" s="416" t="s">
        <v>532</v>
      </c>
      <c r="C19" s="417"/>
      <c r="D19" s="228"/>
      <c r="E19" s="229">
        <v>0.5</v>
      </c>
      <c r="F19" s="230"/>
      <c r="G19" s="231"/>
      <c r="H19" s="232">
        <v>0</v>
      </c>
      <c r="I19" s="233">
        <v>0</v>
      </c>
    </row>
    <row r="20" spans="2:10" s="177" customFormat="1" ht="11.25" outlineLevel="1" x14ac:dyDescent="0.25">
      <c r="B20" s="416" t="s">
        <v>533</v>
      </c>
      <c r="C20" s="417"/>
      <c r="D20" s="228"/>
      <c r="E20" s="229">
        <v>1</v>
      </c>
      <c r="F20" s="230"/>
      <c r="G20" s="231">
        <v>120</v>
      </c>
      <c r="H20" s="232">
        <v>1440</v>
      </c>
      <c r="I20" s="233">
        <v>172800</v>
      </c>
    </row>
    <row r="21" spans="2:10" s="177" customFormat="1" ht="11.25" outlineLevel="1" x14ac:dyDescent="0.25">
      <c r="B21" s="416" t="s">
        <v>534</v>
      </c>
      <c r="C21" s="417"/>
      <c r="D21" s="228"/>
      <c r="E21" s="229">
        <v>1</v>
      </c>
      <c r="F21" s="230"/>
      <c r="G21" s="231">
        <v>120</v>
      </c>
      <c r="H21" s="232">
        <v>160</v>
      </c>
      <c r="I21" s="233">
        <v>19200</v>
      </c>
    </row>
    <row r="22" spans="2:10" s="177" customFormat="1" ht="11.25" outlineLevel="1" x14ac:dyDescent="0.25">
      <c r="B22" s="416" t="s">
        <v>535</v>
      </c>
      <c r="C22" s="417"/>
      <c r="D22" s="228"/>
      <c r="E22" s="229">
        <v>1</v>
      </c>
      <c r="F22" s="230"/>
      <c r="G22" s="231">
        <v>120</v>
      </c>
      <c r="H22" s="232">
        <v>140</v>
      </c>
      <c r="I22" s="233">
        <v>16800</v>
      </c>
    </row>
    <row r="23" spans="2:10" s="177" customFormat="1" ht="11.25" outlineLevel="1" x14ac:dyDescent="0.25">
      <c r="B23" s="416" t="s">
        <v>536</v>
      </c>
      <c r="C23" s="417"/>
      <c r="D23" s="228"/>
      <c r="E23" s="229"/>
      <c r="F23" s="230"/>
      <c r="G23" s="231">
        <v>120</v>
      </c>
      <c r="H23" s="232">
        <v>260</v>
      </c>
      <c r="I23" s="233">
        <v>31200</v>
      </c>
    </row>
    <row r="24" spans="2:10" s="177" customFormat="1" ht="11.25" outlineLevel="1" x14ac:dyDescent="0.25">
      <c r="B24" s="416" t="s">
        <v>537</v>
      </c>
      <c r="C24" s="417"/>
      <c r="D24" s="228"/>
      <c r="E24" s="229"/>
      <c r="F24" s="230"/>
      <c r="G24" s="231">
        <v>120</v>
      </c>
      <c r="H24" s="232">
        <v>340</v>
      </c>
      <c r="I24" s="233">
        <v>40800</v>
      </c>
    </row>
    <row r="25" spans="2:10" s="177" customFormat="1" ht="11.25" outlineLevel="1" x14ac:dyDescent="0.25">
      <c r="B25" s="416" t="s">
        <v>538</v>
      </c>
      <c r="C25" s="417"/>
      <c r="D25" s="228"/>
      <c r="E25" s="229"/>
      <c r="F25" s="230"/>
      <c r="G25" s="231">
        <v>120</v>
      </c>
      <c r="H25" s="232">
        <v>360</v>
      </c>
      <c r="I25" s="233">
        <v>43200</v>
      </c>
    </row>
    <row r="26" spans="2:10" s="177" customFormat="1" ht="11.25" outlineLevel="1" x14ac:dyDescent="0.25">
      <c r="B26" s="416" t="s">
        <v>539</v>
      </c>
      <c r="C26" s="417"/>
      <c r="D26" s="228"/>
      <c r="E26" s="229"/>
      <c r="F26" s="230"/>
      <c r="G26" s="231">
        <v>120</v>
      </c>
      <c r="H26" s="232">
        <v>805</v>
      </c>
      <c r="I26" s="233">
        <v>96600</v>
      </c>
    </row>
    <row r="27" spans="2:10" s="177" customFormat="1" ht="11.25" outlineLevel="1" x14ac:dyDescent="0.25">
      <c r="B27" s="416" t="s">
        <v>540</v>
      </c>
      <c r="C27" s="417"/>
      <c r="D27" s="228"/>
      <c r="E27" s="229"/>
      <c r="F27" s="230"/>
      <c r="G27" s="231">
        <v>105</v>
      </c>
      <c r="H27" s="232">
        <v>720</v>
      </c>
      <c r="I27" s="233">
        <v>75600</v>
      </c>
    </row>
    <row r="28" spans="2:10" s="177" customFormat="1" ht="11.25" hidden="1" outlineLevel="1" x14ac:dyDescent="0.25">
      <c r="B28" s="430" t="s">
        <v>541</v>
      </c>
      <c r="C28" s="431"/>
      <c r="D28" s="228"/>
      <c r="E28" s="229">
        <v>0.25</v>
      </c>
      <c r="F28" s="230"/>
      <c r="G28" s="231"/>
      <c r="H28" s="232">
        <v>0</v>
      </c>
      <c r="I28" s="233">
        <v>0</v>
      </c>
    </row>
    <row r="29" spans="2:10" s="177" customFormat="1" ht="11.25" hidden="1" outlineLevel="1" x14ac:dyDescent="0.25">
      <c r="B29" s="430" t="s">
        <v>542</v>
      </c>
      <c r="C29" s="431"/>
      <c r="D29" s="228"/>
      <c r="E29" s="228"/>
      <c r="F29" s="230"/>
      <c r="G29" s="231"/>
      <c r="H29" s="232">
        <v>0</v>
      </c>
      <c r="I29" s="233">
        <v>0</v>
      </c>
    </row>
    <row r="30" spans="2:10" s="177" customFormat="1" ht="11.25" hidden="1" outlineLevel="1" x14ac:dyDescent="0.25">
      <c r="B30" s="432"/>
      <c r="C30" s="433"/>
      <c r="D30" s="228"/>
      <c r="E30" s="228"/>
      <c r="F30" s="228"/>
      <c r="G30" s="235"/>
      <c r="H30" s="232"/>
      <c r="I30" s="233"/>
    </row>
    <row r="31" spans="2:10" s="177" customFormat="1" ht="12" outlineLevel="1" thickBot="1" x14ac:dyDescent="0.3">
      <c r="B31" s="434"/>
      <c r="C31" s="435"/>
      <c r="D31" s="236"/>
      <c r="E31" s="236"/>
      <c r="F31" s="237"/>
      <c r="G31" s="238"/>
      <c r="H31" s="239">
        <v>4745</v>
      </c>
      <c r="I31" s="240"/>
    </row>
    <row r="32" spans="2:10" s="177" customFormat="1" ht="11.25" outlineLevel="1" x14ac:dyDescent="0.25">
      <c r="B32" s="241"/>
      <c r="C32" s="242"/>
      <c r="D32" s="242"/>
      <c r="E32" s="242"/>
      <c r="F32" s="242"/>
      <c r="G32" s="242"/>
      <c r="H32" s="243"/>
      <c r="I32" s="244"/>
    </row>
  </sheetData>
  <sheetProtection selectLockedCells="1"/>
  <autoFilter ref="D17:D31" xr:uid="{00000000-0001-0000-0000-000000000000}"/>
  <mergeCells count="21">
    <mergeCell ref="B29:C29"/>
    <mergeCell ref="B30:C30"/>
    <mergeCell ref="B31:C31"/>
    <mergeCell ref="B23:C23"/>
    <mergeCell ref="B24:C24"/>
    <mergeCell ref="B25:C25"/>
    <mergeCell ref="B26:C26"/>
    <mergeCell ref="B27:C27"/>
    <mergeCell ref="B28:C28"/>
    <mergeCell ref="B22:C22"/>
    <mergeCell ref="C2:D2"/>
    <mergeCell ref="C3:D3"/>
    <mergeCell ref="C4:D4"/>
    <mergeCell ref="C5:D5"/>
    <mergeCell ref="C6:D6"/>
    <mergeCell ref="C7:D7"/>
    <mergeCell ref="B17:C17"/>
    <mergeCell ref="B18:C18"/>
    <mergeCell ref="B19:C19"/>
    <mergeCell ref="B20:C20"/>
    <mergeCell ref="B21:C21"/>
  </mergeCells>
  <printOptions horizontalCentered="1"/>
  <pageMargins left="0.25" right="0.25" top="0.25" bottom="0.25"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18CB1-6E17-4361-AC8A-4DB9C298A8EF}">
  <sheetPr>
    <pageSetUpPr fitToPage="1"/>
  </sheetPr>
  <dimension ref="A2:L95"/>
  <sheetViews>
    <sheetView tabSelected="1" topLeftCell="A67" zoomScale="130" zoomScaleNormal="130" workbookViewId="0">
      <selection activeCell="I91" sqref="I91"/>
    </sheetView>
  </sheetViews>
  <sheetFormatPr defaultRowHeight="15" outlineLevelRow="1" x14ac:dyDescent="0.25"/>
  <cols>
    <col min="2" max="2" width="4.5703125" customWidth="1"/>
    <col min="3" max="3" width="51.140625" customWidth="1"/>
    <col min="4" max="4" width="16.42578125" customWidth="1"/>
    <col min="5" max="5" width="15.140625" customWidth="1"/>
    <col min="6" max="6" width="16.42578125" customWidth="1"/>
    <col min="7" max="9" width="13.140625" customWidth="1"/>
    <col min="10" max="10" width="44.42578125" customWidth="1"/>
    <col min="12" max="12" width="18.140625" customWidth="1"/>
    <col min="13" max="13" width="37.5703125" customWidth="1"/>
    <col min="15" max="15" width="12.42578125" customWidth="1"/>
    <col min="17" max="17" width="9.85546875" customWidth="1"/>
  </cols>
  <sheetData>
    <row r="2" spans="2:10" x14ac:dyDescent="0.25">
      <c r="B2" s="399" t="s">
        <v>19</v>
      </c>
      <c r="C2" s="399"/>
      <c r="D2" s="399"/>
      <c r="E2" s="399"/>
      <c r="F2" s="399"/>
      <c r="G2" s="399"/>
      <c r="H2" s="399"/>
      <c r="I2" s="399"/>
      <c r="J2" s="399"/>
    </row>
    <row r="4" spans="2:10" ht="29.1" customHeight="1" x14ac:dyDescent="0.25">
      <c r="B4" s="400" t="s">
        <v>20</v>
      </c>
      <c r="C4" s="400"/>
      <c r="D4" s="400"/>
      <c r="E4" s="400"/>
      <c r="F4" s="400"/>
      <c r="G4" s="400"/>
      <c r="H4" s="400"/>
      <c r="I4" s="400"/>
      <c r="J4" s="400"/>
    </row>
    <row r="5" spans="2:10" x14ac:dyDescent="0.25">
      <c r="B5" s="285"/>
      <c r="C5" s="257" t="s">
        <v>21</v>
      </c>
      <c r="D5" s="257" t="s">
        <v>22</v>
      </c>
      <c r="E5" s="257" t="s">
        <v>23</v>
      </c>
      <c r="F5" s="257" t="s">
        <v>24</v>
      </c>
      <c r="G5" s="257" t="s">
        <v>25</v>
      </c>
      <c r="H5" s="257"/>
      <c r="I5" s="257"/>
      <c r="J5" s="257" t="s">
        <v>26</v>
      </c>
    </row>
    <row r="6" spans="2:10" ht="30" x14ac:dyDescent="0.25">
      <c r="B6" s="286"/>
      <c r="C6" s="256" t="s">
        <v>27</v>
      </c>
      <c r="D6" s="256" t="s">
        <v>28</v>
      </c>
      <c r="E6" s="256" t="s">
        <v>29</v>
      </c>
      <c r="F6" s="256" t="s">
        <v>30</v>
      </c>
      <c r="G6" s="256" t="s">
        <v>31</v>
      </c>
      <c r="H6" s="256"/>
      <c r="I6" s="256"/>
      <c r="J6" s="256" t="s">
        <v>32</v>
      </c>
    </row>
    <row r="7" spans="2:10" ht="36" x14ac:dyDescent="0.25">
      <c r="B7" s="262" t="s">
        <v>33</v>
      </c>
      <c r="C7" s="263" t="s">
        <v>34</v>
      </c>
      <c r="D7" s="355">
        <v>20380010.715784267</v>
      </c>
      <c r="E7" s="263">
        <v>2026</v>
      </c>
      <c r="F7" s="263">
        <v>2026</v>
      </c>
      <c r="G7" s="264">
        <f>D7/(F7-E7+1)</f>
        <v>20380010.715784267</v>
      </c>
      <c r="H7" s="264"/>
      <c r="I7" s="264"/>
      <c r="J7" s="382" t="s">
        <v>35</v>
      </c>
    </row>
    <row r="8" spans="2:10" ht="24" hidden="1" x14ac:dyDescent="0.25">
      <c r="B8" s="262" t="s">
        <v>36</v>
      </c>
      <c r="C8" s="263" t="s">
        <v>37</v>
      </c>
      <c r="D8" s="355">
        <v>0</v>
      </c>
      <c r="E8" s="263">
        <v>2027</v>
      </c>
      <c r="F8" s="263">
        <v>2027</v>
      </c>
      <c r="G8" s="264">
        <f>D8/(F8-E8+1)</f>
        <v>0</v>
      </c>
      <c r="H8" s="264"/>
      <c r="I8" s="264"/>
      <c r="J8" s="305" t="s">
        <v>38</v>
      </c>
    </row>
    <row r="9" spans="2:10" ht="36" x14ac:dyDescent="0.25">
      <c r="B9" s="262" t="s">
        <v>36</v>
      </c>
      <c r="C9" s="263" t="s">
        <v>39</v>
      </c>
      <c r="D9" s="355">
        <f>D7</f>
        <v>20380010.715784267</v>
      </c>
      <c r="E9" s="263">
        <v>2028</v>
      </c>
      <c r="F9" s="263">
        <v>2028</v>
      </c>
      <c r="G9" s="264">
        <f>D9/(F9-E9+1)</f>
        <v>20380010.715784267</v>
      </c>
      <c r="H9" s="264"/>
      <c r="I9" s="264"/>
      <c r="J9" s="382" t="str">
        <f>J7</f>
        <v>Based on net-cost of $10 per MWh for 60 MW solar producing 167,789 MWh per yearassuming 0.5% degradation for 12.5 years</v>
      </c>
    </row>
    <row r="10" spans="2:10" x14ac:dyDescent="0.25">
      <c r="C10" s="62"/>
      <c r="D10" s="62"/>
      <c r="E10" s="62"/>
      <c r="F10" s="62"/>
      <c r="G10" s="62"/>
      <c r="H10" s="62"/>
      <c r="I10" s="62"/>
      <c r="J10" s="62"/>
    </row>
    <row r="11" spans="2:10" x14ac:dyDescent="0.25">
      <c r="B11" s="401" t="s">
        <v>40</v>
      </c>
      <c r="C11" s="401"/>
      <c r="D11" s="401"/>
      <c r="E11" s="401"/>
      <c r="F11" s="401"/>
      <c r="G11" s="401"/>
      <c r="H11" s="401"/>
      <c r="I11" s="401"/>
      <c r="J11" s="401"/>
    </row>
    <row r="12" spans="2:10" x14ac:dyDescent="0.25">
      <c r="B12" s="283"/>
      <c r="C12" s="258" t="s">
        <v>21</v>
      </c>
      <c r="D12" s="258" t="s">
        <v>22</v>
      </c>
      <c r="E12" s="258" t="s">
        <v>23</v>
      </c>
      <c r="F12" s="258" t="s">
        <v>24</v>
      </c>
      <c r="G12" s="258" t="s">
        <v>25</v>
      </c>
      <c r="H12" s="258"/>
      <c r="I12" s="258"/>
      <c r="J12" s="258" t="s">
        <v>26</v>
      </c>
    </row>
    <row r="13" spans="2:10" ht="30" x14ac:dyDescent="0.25">
      <c r="B13" s="284"/>
      <c r="C13" s="259" t="s">
        <v>27</v>
      </c>
      <c r="D13" s="259" t="s">
        <v>41</v>
      </c>
      <c r="E13" s="259" t="s">
        <v>42</v>
      </c>
      <c r="F13" s="259" t="s">
        <v>43</v>
      </c>
      <c r="G13" s="259" t="s">
        <v>44</v>
      </c>
      <c r="H13" s="259"/>
      <c r="I13" s="259"/>
      <c r="J13" s="259" t="s">
        <v>32</v>
      </c>
    </row>
    <row r="14" spans="2:10" x14ac:dyDescent="0.25">
      <c r="B14" s="265" t="s">
        <v>33</v>
      </c>
      <c r="C14" s="266" t="s">
        <v>45</v>
      </c>
      <c r="D14" s="280">
        <f>('VII-Estimates-9042024'!C22/280000)*2</f>
        <v>1.7304250000000001</v>
      </c>
      <c r="E14" s="266" t="s">
        <v>46</v>
      </c>
      <c r="F14" s="266">
        <v>2024</v>
      </c>
      <c r="G14" s="267">
        <v>2.5000000000000001E-2</v>
      </c>
      <c r="H14" s="267"/>
      <c r="I14" s="267"/>
      <c r="J14" s="306" t="s">
        <v>47</v>
      </c>
    </row>
    <row r="15" spans="2:10" x14ac:dyDescent="0.25">
      <c r="B15" s="265" t="s">
        <v>36</v>
      </c>
      <c r="C15" s="266" t="s">
        <v>48</v>
      </c>
      <c r="D15" s="280">
        <f>'VII-Estimates-9042024'!E22/12000</f>
        <v>0.87871166666666678</v>
      </c>
      <c r="E15" s="266" t="s">
        <v>49</v>
      </c>
      <c r="F15" s="266">
        <v>2024</v>
      </c>
      <c r="G15" s="267">
        <v>2.5000000000000001E-2</v>
      </c>
      <c r="H15" s="267"/>
      <c r="I15" s="267"/>
      <c r="J15" s="306" t="s">
        <v>47</v>
      </c>
    </row>
    <row r="16" spans="2:10" x14ac:dyDescent="0.25">
      <c r="B16" s="265" t="s">
        <v>50</v>
      </c>
      <c r="C16" s="266" t="s">
        <v>51</v>
      </c>
      <c r="D16" s="280">
        <f>'IX-DR 6.1 Adj for New Est'!G14</f>
        <v>1500</v>
      </c>
      <c r="E16" s="266" t="s">
        <v>52</v>
      </c>
      <c r="F16" s="266">
        <v>2024</v>
      </c>
      <c r="G16" s="267">
        <v>2.5000000000000001E-2</v>
      </c>
      <c r="H16" s="267"/>
      <c r="I16" s="267"/>
      <c r="J16" s="306" t="s">
        <v>53</v>
      </c>
    </row>
    <row r="17" spans="1:10" ht="30" x14ac:dyDescent="0.25">
      <c r="B17" s="265" t="s">
        <v>54</v>
      </c>
      <c r="C17" s="266" t="s">
        <v>55</v>
      </c>
      <c r="D17" s="280">
        <v>52.8</v>
      </c>
      <c r="E17" s="266" t="s">
        <v>56</v>
      </c>
      <c r="F17" s="266">
        <v>2023</v>
      </c>
      <c r="G17" s="267">
        <v>2.5000000000000001E-2</v>
      </c>
      <c r="H17" s="267"/>
      <c r="I17" s="267"/>
      <c r="J17" s="306" t="s">
        <v>57</v>
      </c>
    </row>
    <row r="18" spans="1:10" x14ac:dyDescent="0.25">
      <c r="B18" s="265" t="s">
        <v>58</v>
      </c>
      <c r="C18" s="266" t="s">
        <v>59</v>
      </c>
      <c r="D18" s="280">
        <f>'VII-Estimates-9042024'!C17</f>
        <v>4050</v>
      </c>
      <c r="E18" s="266" t="s">
        <v>52</v>
      </c>
      <c r="F18" s="266">
        <v>2024</v>
      </c>
      <c r="G18" s="267">
        <v>2.5000000000000001E-2</v>
      </c>
      <c r="H18" s="267"/>
      <c r="I18" s="267"/>
      <c r="J18" s="306" t="s">
        <v>47</v>
      </c>
    </row>
    <row r="19" spans="1:10" ht="24" x14ac:dyDescent="0.25">
      <c r="B19" s="265" t="s">
        <v>60</v>
      </c>
      <c r="C19" s="266" t="s">
        <v>61</v>
      </c>
      <c r="D19" s="280">
        <v>2.4</v>
      </c>
      <c r="E19" s="266" t="s">
        <v>56</v>
      </c>
      <c r="F19" s="266">
        <v>2023</v>
      </c>
      <c r="G19" s="267">
        <v>2.5000000000000001E-2</v>
      </c>
      <c r="H19" s="267"/>
      <c r="I19" s="267"/>
      <c r="J19" s="306" t="s">
        <v>62</v>
      </c>
    </row>
    <row r="20" spans="1:10" ht="24" x14ac:dyDescent="0.25">
      <c r="B20" s="265" t="s">
        <v>63</v>
      </c>
      <c r="C20" s="266" t="s">
        <v>64</v>
      </c>
      <c r="D20" s="280">
        <v>48</v>
      </c>
      <c r="E20" s="266" t="s">
        <v>56</v>
      </c>
      <c r="F20" s="266">
        <v>2023</v>
      </c>
      <c r="G20" s="267">
        <v>2.5000000000000001E-2</v>
      </c>
      <c r="H20" s="267"/>
      <c r="I20" s="267"/>
      <c r="J20" s="306" t="s">
        <v>65</v>
      </c>
    </row>
    <row r="21" spans="1:10" ht="30" x14ac:dyDescent="0.25">
      <c r="B21" s="265" t="s">
        <v>66</v>
      </c>
      <c r="C21" s="266" t="s">
        <v>67</v>
      </c>
      <c r="D21" s="280">
        <f>D17+D19</f>
        <v>55.199999999999996</v>
      </c>
      <c r="E21" s="266" t="s">
        <v>56</v>
      </c>
      <c r="F21" s="266">
        <v>2023</v>
      </c>
      <c r="G21" s="267">
        <v>2.5000000000000001E-2</v>
      </c>
      <c r="H21" s="267"/>
      <c r="I21" s="267"/>
      <c r="J21" s="307" t="s">
        <v>68</v>
      </c>
    </row>
    <row r="22" spans="1:10" x14ac:dyDescent="0.25">
      <c r="B22" s="265" t="s">
        <v>69</v>
      </c>
      <c r="C22" s="266" t="s">
        <v>70</v>
      </c>
      <c r="D22" s="280">
        <f>D20+D19</f>
        <v>50.4</v>
      </c>
      <c r="E22" s="266" t="s">
        <v>56</v>
      </c>
      <c r="F22" s="266">
        <v>2023</v>
      </c>
      <c r="G22" s="267">
        <v>2.5000000000000001E-2</v>
      </c>
      <c r="H22" s="267"/>
      <c r="I22" s="267"/>
      <c r="J22" s="307" t="s">
        <v>71</v>
      </c>
    </row>
    <row r="23" spans="1:10" x14ac:dyDescent="0.25">
      <c r="B23" s="265" t="s">
        <v>72</v>
      </c>
      <c r="C23" s="266" t="s">
        <v>73</v>
      </c>
      <c r="D23" s="280">
        <f>'X-Summary'!D2</f>
        <v>585120</v>
      </c>
      <c r="E23" s="266" t="s">
        <v>52</v>
      </c>
      <c r="F23" s="266">
        <v>2026</v>
      </c>
      <c r="G23" s="267">
        <v>2.5000000000000001E-2</v>
      </c>
      <c r="H23" s="267"/>
      <c r="I23" s="267"/>
      <c r="J23" s="306" t="s">
        <v>74</v>
      </c>
    </row>
    <row r="24" spans="1:10" x14ac:dyDescent="0.25">
      <c r="B24" s="265" t="s">
        <v>75</v>
      </c>
      <c r="C24" s="266" t="s">
        <v>76</v>
      </c>
      <c r="D24" s="268">
        <v>100000</v>
      </c>
      <c r="E24" s="266" t="s">
        <v>52</v>
      </c>
      <c r="F24" s="266">
        <v>2026</v>
      </c>
      <c r="G24" s="267">
        <v>2.5000000000000001E-2</v>
      </c>
      <c r="H24" s="267"/>
      <c r="I24" s="267"/>
      <c r="J24" s="306" t="s">
        <v>77</v>
      </c>
    </row>
    <row r="25" spans="1:10" x14ac:dyDescent="0.25">
      <c r="B25" s="265" t="s">
        <v>78</v>
      </c>
      <c r="C25" s="266" t="s">
        <v>79</v>
      </c>
      <c r="D25" s="268">
        <v>50000</v>
      </c>
      <c r="E25" s="266" t="s">
        <v>52</v>
      </c>
      <c r="F25" s="266">
        <v>2026</v>
      </c>
      <c r="G25" s="267">
        <v>2.5000000000000001E-2</v>
      </c>
      <c r="H25" s="267"/>
      <c r="I25" s="267"/>
      <c r="J25" s="306" t="s">
        <v>80</v>
      </c>
    </row>
    <row r="26" spans="1:10" x14ac:dyDescent="0.25">
      <c r="A26" s="117"/>
      <c r="B26" s="366" t="s">
        <v>81</v>
      </c>
      <c r="C26" s="367" t="s">
        <v>82</v>
      </c>
      <c r="D26" s="368">
        <v>150000</v>
      </c>
      <c r="E26" s="367" t="s">
        <v>52</v>
      </c>
      <c r="F26" s="367">
        <v>2025</v>
      </c>
      <c r="G26" s="369">
        <v>2.5000000000000001E-2</v>
      </c>
      <c r="H26" s="369"/>
      <c r="I26" s="369"/>
      <c r="J26" s="370" t="s">
        <v>83</v>
      </c>
    </row>
    <row r="27" spans="1:10" ht="45" customHeight="1" x14ac:dyDescent="0.25">
      <c r="A27" s="117"/>
      <c r="B27" s="366" t="s">
        <v>84</v>
      </c>
      <c r="C27" s="367" t="s">
        <v>85</v>
      </c>
      <c r="D27" s="368">
        <v>0.7</v>
      </c>
      <c r="E27" s="367" t="s">
        <v>86</v>
      </c>
      <c r="F27" s="367">
        <v>2025</v>
      </c>
      <c r="G27" s="369">
        <v>2.5000000000000001E-2</v>
      </c>
      <c r="H27" s="369"/>
      <c r="I27" s="369"/>
      <c r="J27" s="370" t="s">
        <v>87</v>
      </c>
    </row>
    <row r="28" spans="1:10" ht="30.95" customHeight="1" x14ac:dyDescent="0.25">
      <c r="A28" s="117"/>
      <c r="B28" s="366" t="s">
        <v>88</v>
      </c>
      <c r="C28" s="367" t="s">
        <v>89</v>
      </c>
      <c r="D28" s="368">
        <f>'VII-Estimates-9042024'!F22/'III-Customer Load Calcs'!E25</f>
        <v>1.2521758289439522</v>
      </c>
      <c r="E28" s="367" t="s">
        <v>90</v>
      </c>
      <c r="F28" s="367">
        <v>2024</v>
      </c>
      <c r="G28" s="369">
        <v>2.5000000000000001E-2</v>
      </c>
      <c r="H28" s="369"/>
      <c r="I28" s="369"/>
      <c r="J28" s="370" t="s">
        <v>91</v>
      </c>
    </row>
    <row r="29" spans="1:10" x14ac:dyDescent="0.25">
      <c r="B29" s="350"/>
      <c r="C29" s="62"/>
      <c r="D29" s="62"/>
      <c r="E29" s="62"/>
      <c r="F29" s="62"/>
      <c r="G29" s="62"/>
      <c r="H29" s="62"/>
      <c r="I29" s="62"/>
      <c r="J29" s="62"/>
    </row>
    <row r="30" spans="1:10" outlineLevel="1" x14ac:dyDescent="0.25">
      <c r="B30" s="402" t="s">
        <v>92</v>
      </c>
      <c r="C30" s="402"/>
      <c r="D30" s="402"/>
      <c r="E30" s="402"/>
      <c r="F30" s="402"/>
      <c r="G30" s="402"/>
      <c r="H30" s="402"/>
      <c r="I30" s="402"/>
      <c r="J30" s="402"/>
    </row>
    <row r="31" spans="1:10" outlineLevel="1" x14ac:dyDescent="0.25">
      <c r="B31" s="287"/>
      <c r="C31" s="260" t="s">
        <v>21</v>
      </c>
      <c r="D31" s="260" t="s">
        <v>22</v>
      </c>
      <c r="E31" s="260" t="s">
        <v>23</v>
      </c>
      <c r="F31" s="260" t="s">
        <v>24</v>
      </c>
      <c r="G31" s="260" t="s">
        <v>25</v>
      </c>
      <c r="H31" s="260"/>
      <c r="I31" s="260"/>
      <c r="J31" s="260" t="s">
        <v>26</v>
      </c>
    </row>
    <row r="32" spans="1:10" ht="30" outlineLevel="1" x14ac:dyDescent="0.25">
      <c r="B32" s="288"/>
      <c r="C32" s="261" t="s">
        <v>27</v>
      </c>
      <c r="D32" s="261" t="s">
        <v>93</v>
      </c>
      <c r="E32" s="261" t="s">
        <v>42</v>
      </c>
      <c r="F32" s="261" t="s">
        <v>43</v>
      </c>
      <c r="G32" s="261" t="s">
        <v>94</v>
      </c>
      <c r="H32" s="261"/>
      <c r="I32" s="261"/>
      <c r="J32" s="261" t="s">
        <v>32</v>
      </c>
    </row>
    <row r="33" spans="2:10" outlineLevel="1" x14ac:dyDescent="0.25">
      <c r="B33" s="269" t="s">
        <v>33</v>
      </c>
      <c r="C33" s="270" t="s">
        <v>95</v>
      </c>
      <c r="D33" s="271">
        <f>'III-Customer Load Calcs'!E25</f>
        <v>281171</v>
      </c>
      <c r="E33" s="270" t="s">
        <v>96</v>
      </c>
      <c r="F33" s="270">
        <v>2023</v>
      </c>
      <c r="G33" s="272">
        <v>2.4799999999999999E-2</v>
      </c>
      <c r="H33" s="272"/>
      <c r="I33" s="272"/>
      <c r="J33" s="308" t="s">
        <v>97</v>
      </c>
    </row>
    <row r="34" spans="2:10" outlineLevel="1" x14ac:dyDescent="0.25">
      <c r="B34" s="269" t="s">
        <v>36</v>
      </c>
      <c r="C34" s="270" t="s">
        <v>98</v>
      </c>
      <c r="D34" s="271">
        <f>'III-Customer Load Calcs'!D25</f>
        <v>6673254.4889999982</v>
      </c>
      <c r="E34" s="270" t="s">
        <v>99</v>
      </c>
      <c r="F34" s="270">
        <v>2023</v>
      </c>
      <c r="G34" s="272">
        <v>2.4799999999999999E-2</v>
      </c>
      <c r="H34" s="272"/>
      <c r="I34" s="272"/>
      <c r="J34" s="308" t="s">
        <v>97</v>
      </c>
    </row>
    <row r="35" spans="2:10" outlineLevel="1" x14ac:dyDescent="0.25">
      <c r="B35" s="269" t="s">
        <v>50</v>
      </c>
      <c r="C35" s="270" t="s">
        <v>100</v>
      </c>
      <c r="D35" s="271">
        <f>'III-Customer Load Calcs'!I25</f>
        <v>205458.25</v>
      </c>
      <c r="E35" s="270" t="s">
        <v>96</v>
      </c>
      <c r="F35" s="270">
        <v>2023</v>
      </c>
      <c r="G35" s="272">
        <v>2.4799999999999999E-2</v>
      </c>
      <c r="H35" s="272"/>
      <c r="I35" s="272"/>
      <c r="J35" s="308" t="s">
        <v>101</v>
      </c>
    </row>
    <row r="36" spans="2:10" outlineLevel="1" x14ac:dyDescent="0.25">
      <c r="B36" s="269" t="s">
        <v>54</v>
      </c>
      <c r="C36" s="270" t="s">
        <v>102</v>
      </c>
      <c r="D36" s="271">
        <f>'III-Customer Load Calcs'!I8</f>
        <v>5754</v>
      </c>
      <c r="E36" s="270" t="s">
        <v>96</v>
      </c>
      <c r="F36" s="270">
        <v>2023</v>
      </c>
      <c r="G36" s="272">
        <v>2.4799999999999999E-2</v>
      </c>
      <c r="H36" s="272"/>
      <c r="I36" s="272"/>
      <c r="J36" s="308" t="s">
        <v>97</v>
      </c>
    </row>
    <row r="37" spans="2:10" outlineLevel="1" x14ac:dyDescent="0.25">
      <c r="B37" s="269" t="s">
        <v>58</v>
      </c>
      <c r="C37" s="270" t="s">
        <v>103</v>
      </c>
      <c r="D37" s="271">
        <f>D35-D36</f>
        <v>199704.25</v>
      </c>
      <c r="E37" s="270" t="s">
        <v>96</v>
      </c>
      <c r="F37" s="270">
        <v>2023</v>
      </c>
      <c r="G37" s="272">
        <v>2.4799999999999999E-2</v>
      </c>
      <c r="H37" s="272"/>
      <c r="I37" s="272"/>
      <c r="J37" s="308" t="s">
        <v>97</v>
      </c>
    </row>
    <row r="38" spans="2:10" outlineLevel="1" x14ac:dyDescent="0.25">
      <c r="B38" s="269" t="s">
        <v>60</v>
      </c>
      <c r="C38" s="270" t="s">
        <v>104</v>
      </c>
      <c r="D38" s="271">
        <f>'III-Customer Load Calcs'!H25</f>
        <v>2663210.3767000004</v>
      </c>
      <c r="E38" s="270" t="s">
        <v>99</v>
      </c>
      <c r="F38" s="270">
        <v>2023</v>
      </c>
      <c r="G38" s="272">
        <v>2.4799999999999999E-2</v>
      </c>
      <c r="H38" s="272"/>
      <c r="I38" s="272"/>
      <c r="J38" s="308" t="s">
        <v>101</v>
      </c>
    </row>
    <row r="39" spans="2:10" outlineLevel="1" x14ac:dyDescent="0.25">
      <c r="B39" s="269" t="s">
        <v>63</v>
      </c>
      <c r="C39" s="270" t="s">
        <v>105</v>
      </c>
      <c r="D39" s="271">
        <f>'III-Customer Load Calcs'!H8</f>
        <v>35274.197600000007</v>
      </c>
      <c r="E39" s="270" t="s">
        <v>99</v>
      </c>
      <c r="F39" s="270">
        <v>2023</v>
      </c>
      <c r="G39" s="272">
        <v>2.4799999999999999E-2</v>
      </c>
      <c r="H39" s="272"/>
      <c r="I39" s="272"/>
      <c r="J39" s="308" t="s">
        <v>97</v>
      </c>
    </row>
    <row r="40" spans="2:10" outlineLevel="1" x14ac:dyDescent="0.25">
      <c r="B40" s="269" t="s">
        <v>66</v>
      </c>
      <c r="C40" s="270" t="s">
        <v>106</v>
      </c>
      <c r="D40" s="271">
        <f>'III-Customer Load Calcs'!H25-'III-Customer Load Calcs'!H8</f>
        <v>2627936.1791000003</v>
      </c>
      <c r="E40" s="270" t="s">
        <v>99</v>
      </c>
      <c r="F40" s="270">
        <v>2023</v>
      </c>
      <c r="G40" s="272">
        <v>2.4799999999999999E-2</v>
      </c>
      <c r="H40" s="272"/>
      <c r="I40" s="272"/>
      <c r="J40" s="308" t="s">
        <v>97</v>
      </c>
    </row>
    <row r="41" spans="2:10" outlineLevel="1" x14ac:dyDescent="0.25">
      <c r="B41" s="269" t="s">
        <v>69</v>
      </c>
      <c r="C41" s="270" t="s">
        <v>107</v>
      </c>
      <c r="D41" s="271">
        <f>D33-D35</f>
        <v>75712.75</v>
      </c>
      <c r="E41" s="270" t="s">
        <v>96</v>
      </c>
      <c r="F41" s="270">
        <v>2023</v>
      </c>
      <c r="G41" s="272">
        <v>2.4799999999999999E-2</v>
      </c>
      <c r="H41" s="272"/>
      <c r="I41" s="272"/>
      <c r="J41" s="309" t="s">
        <v>108</v>
      </c>
    </row>
    <row r="42" spans="2:10" outlineLevel="1" x14ac:dyDescent="0.25">
      <c r="B42" s="269" t="s">
        <v>72</v>
      </c>
      <c r="C42" s="273" t="s">
        <v>109</v>
      </c>
      <c r="D42" s="274">
        <f>0.6*D41</f>
        <v>45427.65</v>
      </c>
      <c r="E42" s="270" t="s">
        <v>96</v>
      </c>
      <c r="F42" s="270">
        <v>2023</v>
      </c>
      <c r="G42" s="272">
        <v>2.4799999999999999E-2</v>
      </c>
      <c r="H42" s="272"/>
      <c r="I42" s="272"/>
      <c r="J42" s="309" t="s">
        <v>110</v>
      </c>
    </row>
    <row r="43" spans="2:10" outlineLevel="1" x14ac:dyDescent="0.25">
      <c r="B43" s="269" t="s">
        <v>75</v>
      </c>
      <c r="C43" s="273" t="s">
        <v>111</v>
      </c>
      <c r="D43" s="274">
        <f>0.05*D41</f>
        <v>3785.6375000000003</v>
      </c>
      <c r="E43" s="270" t="s">
        <v>96</v>
      </c>
      <c r="F43" s="270">
        <v>2023</v>
      </c>
      <c r="G43" s="272">
        <v>2.4799999999999999E-2</v>
      </c>
      <c r="H43" s="272"/>
      <c r="I43" s="272"/>
      <c r="J43" s="309" t="s">
        <v>112</v>
      </c>
    </row>
    <row r="44" spans="2:10" outlineLevel="1" x14ac:dyDescent="0.25">
      <c r="B44" s="269" t="s">
        <v>78</v>
      </c>
      <c r="C44" s="273" t="s">
        <v>113</v>
      </c>
      <c r="D44" s="274">
        <f>0.35*D41</f>
        <v>26499.462499999998</v>
      </c>
      <c r="E44" s="270" t="s">
        <v>96</v>
      </c>
      <c r="F44" s="270">
        <v>2023</v>
      </c>
      <c r="G44" s="272">
        <v>2.4799999999999999E-2</v>
      </c>
      <c r="H44" s="272"/>
      <c r="I44" s="272"/>
      <c r="J44" s="309" t="s">
        <v>114</v>
      </c>
    </row>
    <row r="45" spans="2:10" outlineLevel="1" x14ac:dyDescent="0.25">
      <c r="B45" s="269" t="s">
        <v>81</v>
      </c>
      <c r="C45" s="270" t="s">
        <v>115</v>
      </c>
      <c r="D45" s="275">
        <f>D35/D33</f>
        <v>0.73072347432701101</v>
      </c>
      <c r="E45" s="270" t="s">
        <v>116</v>
      </c>
      <c r="F45" s="270"/>
      <c r="G45" s="270"/>
      <c r="H45" s="270"/>
      <c r="I45" s="270"/>
      <c r="J45" s="309" t="s">
        <v>117</v>
      </c>
    </row>
    <row r="46" spans="2:10" outlineLevel="1" x14ac:dyDescent="0.25">
      <c r="B46" s="269" t="s">
        <v>84</v>
      </c>
      <c r="C46" s="270" t="s">
        <v>118</v>
      </c>
      <c r="D46" s="276">
        <f>1-D45</f>
        <v>0.26927652567298899</v>
      </c>
      <c r="E46" s="270" t="s">
        <v>116</v>
      </c>
      <c r="F46" s="270"/>
      <c r="G46" s="270"/>
      <c r="H46" s="270"/>
      <c r="I46" s="270"/>
      <c r="J46" s="309" t="s">
        <v>119</v>
      </c>
    </row>
    <row r="47" spans="2:10" outlineLevel="1" x14ac:dyDescent="0.25">
      <c r="B47" s="269" t="s">
        <v>88</v>
      </c>
      <c r="C47" s="270" t="s">
        <v>120</v>
      </c>
      <c r="D47" s="270">
        <v>160</v>
      </c>
      <c r="E47" s="270" t="s">
        <v>121</v>
      </c>
      <c r="F47" s="270">
        <v>2023</v>
      </c>
      <c r="G47" s="270"/>
      <c r="H47" s="270"/>
      <c r="I47" s="270"/>
      <c r="J47" s="309" t="s">
        <v>122</v>
      </c>
    </row>
    <row r="48" spans="2:10" outlineLevel="1" x14ac:dyDescent="0.25">
      <c r="B48" s="269" t="s">
        <v>123</v>
      </c>
      <c r="C48" s="270" t="s">
        <v>124</v>
      </c>
      <c r="D48" s="270">
        <v>0.112</v>
      </c>
      <c r="E48" s="270" t="s">
        <v>121</v>
      </c>
      <c r="F48" s="270">
        <v>2023</v>
      </c>
      <c r="G48" s="270"/>
      <c r="H48" s="270"/>
      <c r="I48" s="270"/>
      <c r="J48" s="308" t="s">
        <v>125</v>
      </c>
    </row>
    <row r="49" spans="2:12" outlineLevel="1" x14ac:dyDescent="0.25">
      <c r="B49" s="269" t="s">
        <v>126</v>
      </c>
      <c r="C49" s="270" t="s">
        <v>127</v>
      </c>
      <c r="D49" s="277">
        <f>D44*D48</f>
        <v>2967.9397999999997</v>
      </c>
      <c r="E49" s="270" t="s">
        <v>121</v>
      </c>
      <c r="F49" s="270">
        <v>2023</v>
      </c>
      <c r="G49" s="272">
        <v>2.4799999999999999E-2</v>
      </c>
      <c r="H49" s="272"/>
      <c r="I49" s="272"/>
      <c r="J49" s="309" t="s">
        <v>128</v>
      </c>
    </row>
    <row r="50" spans="2:12" ht="24" outlineLevel="1" x14ac:dyDescent="0.25">
      <c r="B50" s="269" t="s">
        <v>129</v>
      </c>
      <c r="C50" s="270" t="s">
        <v>130</v>
      </c>
      <c r="D50" s="271">
        <f>((76484)*(1+(SUM('VIII-Postage&amp;print'!C22:D22)/SUM('VIII-Postage&amp;print'!C37:D37))))/12</f>
        <v>7011.2748343187232</v>
      </c>
      <c r="E50" s="270" t="s">
        <v>96</v>
      </c>
      <c r="F50" s="270">
        <v>2023</v>
      </c>
      <c r="G50" s="272">
        <v>2.4799999999999999E-2</v>
      </c>
      <c r="H50" s="272"/>
      <c r="I50" s="272"/>
      <c r="J50" s="308" t="s">
        <v>131</v>
      </c>
      <c r="L50" s="56"/>
    </row>
    <row r="51" spans="2:12" outlineLevel="1" x14ac:dyDescent="0.25">
      <c r="B51" s="269" t="s">
        <v>132</v>
      </c>
      <c r="C51" s="270" t="s">
        <v>133</v>
      </c>
      <c r="D51" s="271">
        <f>D46*D50</f>
        <v>1887.9717279238073</v>
      </c>
      <c r="E51" s="270" t="s">
        <v>96</v>
      </c>
      <c r="F51" s="270">
        <v>2023</v>
      </c>
      <c r="G51" s="272">
        <v>2.4799999999999999E-2</v>
      </c>
      <c r="H51" s="272"/>
      <c r="I51" s="272"/>
      <c r="J51" s="309" t="s">
        <v>134</v>
      </c>
    </row>
    <row r="52" spans="2:12" outlineLevel="1" x14ac:dyDescent="0.25">
      <c r="B52" s="269" t="s">
        <v>135</v>
      </c>
      <c r="C52" s="273" t="s">
        <v>109</v>
      </c>
      <c r="D52" s="274">
        <f>0.6*D51</f>
        <v>1132.7830367542842</v>
      </c>
      <c r="E52" s="270" t="s">
        <v>96</v>
      </c>
      <c r="F52" s="270">
        <v>2023</v>
      </c>
      <c r="G52" s="272">
        <v>2.4799999999999999E-2</v>
      </c>
      <c r="H52" s="272"/>
      <c r="I52" s="272"/>
      <c r="J52" s="309" t="s">
        <v>136</v>
      </c>
    </row>
    <row r="53" spans="2:12" outlineLevel="1" x14ac:dyDescent="0.25">
      <c r="B53" s="269" t="s">
        <v>137</v>
      </c>
      <c r="C53" s="273" t="s">
        <v>111</v>
      </c>
      <c r="D53" s="274">
        <f>0.05*D51</f>
        <v>94.398586396190368</v>
      </c>
      <c r="E53" s="270" t="s">
        <v>96</v>
      </c>
      <c r="F53" s="270">
        <v>2023</v>
      </c>
      <c r="G53" s="272">
        <v>2.4799999999999999E-2</v>
      </c>
      <c r="H53" s="272"/>
      <c r="I53" s="272"/>
      <c r="J53" s="309" t="s">
        <v>138</v>
      </c>
    </row>
    <row r="54" spans="2:12" outlineLevel="1" x14ac:dyDescent="0.25">
      <c r="B54" s="269" t="s">
        <v>139</v>
      </c>
      <c r="C54" s="273" t="s">
        <v>113</v>
      </c>
      <c r="D54" s="271">
        <f>0.35*D51</f>
        <v>660.79010477333247</v>
      </c>
      <c r="E54" s="270" t="s">
        <v>96</v>
      </c>
      <c r="F54" s="270">
        <v>2023</v>
      </c>
      <c r="G54" s="272">
        <v>2.4799999999999999E-2</v>
      </c>
      <c r="H54" s="272"/>
      <c r="I54" s="272"/>
      <c r="J54" s="309" t="s">
        <v>140</v>
      </c>
    </row>
    <row r="55" spans="2:12" outlineLevel="1" x14ac:dyDescent="0.25">
      <c r="B55" s="269" t="s">
        <v>141</v>
      </c>
      <c r="C55" s="278" t="s">
        <v>142</v>
      </c>
      <c r="D55" s="271">
        <f>D54*D48</f>
        <v>74.008491734613244</v>
      </c>
      <c r="E55" s="270" t="s">
        <v>121</v>
      </c>
      <c r="F55" s="270">
        <v>2023</v>
      </c>
      <c r="G55" s="272">
        <v>2.4799999999999999E-2</v>
      </c>
      <c r="H55" s="272"/>
      <c r="I55" s="272"/>
      <c r="J55" s="309" t="s">
        <v>143</v>
      </c>
    </row>
    <row r="56" spans="2:12" s="360" customFormat="1" outlineLevel="1" x14ac:dyDescent="0.25">
      <c r="B56" s="356" t="s">
        <v>144</v>
      </c>
      <c r="C56" s="357" t="s">
        <v>145</v>
      </c>
      <c r="D56" s="358">
        <v>10</v>
      </c>
      <c r="E56" s="359" t="s">
        <v>121</v>
      </c>
      <c r="F56" s="359">
        <v>2023</v>
      </c>
      <c r="G56" s="359"/>
      <c r="H56" s="359"/>
      <c r="I56" s="359"/>
      <c r="J56" s="378" t="s">
        <v>122</v>
      </c>
    </row>
    <row r="57" spans="2:12" outlineLevel="1" x14ac:dyDescent="0.25">
      <c r="B57" s="269" t="s">
        <v>146</v>
      </c>
      <c r="C57" s="281" t="s">
        <v>147</v>
      </c>
      <c r="D57" s="279">
        <f>D50*2</f>
        <v>14022.549668637446</v>
      </c>
      <c r="E57" s="270" t="s">
        <v>148</v>
      </c>
      <c r="F57" s="282">
        <v>2023</v>
      </c>
      <c r="G57" s="272">
        <v>2.4799999999999999E-2</v>
      </c>
      <c r="H57" s="272"/>
      <c r="I57" s="272"/>
      <c r="J57" s="309" t="s">
        <v>149</v>
      </c>
    </row>
    <row r="58" spans="2:12" outlineLevel="1" x14ac:dyDescent="0.25">
      <c r="B58" s="269" t="s">
        <v>150</v>
      </c>
      <c r="C58" s="281" t="s">
        <v>151</v>
      </c>
      <c r="D58" s="279">
        <f>((SUM('III-Customer Load Calcs'!H6:H8)*1000)/SUM('III-Customer Load Calcs'!I6:I8))/12</f>
        <v>636.79998092093956</v>
      </c>
      <c r="E58" s="270" t="s">
        <v>152</v>
      </c>
      <c r="F58" s="282">
        <v>2023</v>
      </c>
      <c r="G58" s="272"/>
      <c r="H58" s="272"/>
      <c r="I58" s="272"/>
      <c r="J58" s="309" t="s">
        <v>153</v>
      </c>
    </row>
    <row r="59" spans="2:12" ht="24" outlineLevel="1" x14ac:dyDescent="0.25">
      <c r="B59" s="371" t="s">
        <v>154</v>
      </c>
      <c r="C59" s="372" t="s">
        <v>85</v>
      </c>
      <c r="D59" s="373">
        <v>3144</v>
      </c>
      <c r="E59" s="374" t="s">
        <v>155</v>
      </c>
      <c r="F59" s="375">
        <v>2025</v>
      </c>
      <c r="G59" s="376"/>
      <c r="H59" s="376"/>
      <c r="I59" s="376"/>
      <c r="J59" s="377" t="s">
        <v>156</v>
      </c>
    </row>
    <row r="60" spans="2:12" outlineLevel="1" x14ac:dyDescent="0.25">
      <c r="D60" s="60"/>
    </row>
    <row r="61" spans="2:12" x14ac:dyDescent="0.25">
      <c r="B61" s="399" t="s">
        <v>157</v>
      </c>
      <c r="C61" s="399"/>
      <c r="D61" s="399"/>
      <c r="E61" s="399"/>
      <c r="F61" s="399"/>
      <c r="G61" s="399"/>
      <c r="H61" s="399"/>
      <c r="I61" s="399"/>
      <c r="J61" s="399"/>
    </row>
    <row r="62" spans="2:12" x14ac:dyDescent="0.25">
      <c r="D62" s="60"/>
    </row>
    <row r="63" spans="2:12" x14ac:dyDescent="0.25">
      <c r="B63" s="42" t="s">
        <v>158</v>
      </c>
    </row>
    <row r="64" spans="2:12" x14ac:dyDescent="0.25">
      <c r="B64" s="295"/>
      <c r="C64" s="296" t="s">
        <v>21</v>
      </c>
      <c r="D64" s="296" t="s">
        <v>22</v>
      </c>
      <c r="E64" s="296" t="s">
        <v>23</v>
      </c>
      <c r="F64" s="296" t="s">
        <v>24</v>
      </c>
      <c r="G64" s="296" t="s">
        <v>25</v>
      </c>
      <c r="H64" s="296" t="s">
        <v>26</v>
      </c>
      <c r="I64" s="296" t="s">
        <v>159</v>
      </c>
      <c r="J64" s="296" t="s">
        <v>26</v>
      </c>
    </row>
    <row r="65" spans="2:10" ht="45" x14ac:dyDescent="0.25">
      <c r="B65" s="293"/>
      <c r="C65" s="294" t="s">
        <v>27</v>
      </c>
      <c r="D65" s="294" t="s">
        <v>1</v>
      </c>
      <c r="E65" s="294" t="s">
        <v>160</v>
      </c>
      <c r="F65" s="294" t="s">
        <v>161</v>
      </c>
      <c r="G65" s="365" t="s">
        <v>162</v>
      </c>
      <c r="H65" s="365" t="s">
        <v>163</v>
      </c>
      <c r="I65" s="365" t="s">
        <v>164</v>
      </c>
      <c r="J65" s="294" t="s">
        <v>165</v>
      </c>
    </row>
    <row r="66" spans="2:10" ht="21" x14ac:dyDescent="0.25">
      <c r="B66" s="300" t="s">
        <v>33</v>
      </c>
      <c r="C66" s="297" t="s">
        <v>166</v>
      </c>
      <c r="D66" s="297">
        <v>2026</v>
      </c>
      <c r="E66" s="297">
        <v>1</v>
      </c>
      <c r="F66" s="298">
        <f>D16*POWER(1+G16,D66-F16)</f>
        <v>1575.9374999999998</v>
      </c>
      <c r="G66" s="299"/>
      <c r="H66" s="299">
        <f>E66*F66</f>
        <v>1575.9374999999998</v>
      </c>
      <c r="I66" s="299"/>
      <c r="J66" s="303" t="s">
        <v>167</v>
      </c>
    </row>
    <row r="67" spans="2:10" ht="21" x14ac:dyDescent="0.25">
      <c r="B67" s="300" t="s">
        <v>36</v>
      </c>
      <c r="C67" s="297" t="s">
        <v>168</v>
      </c>
      <c r="D67" s="297">
        <v>2026</v>
      </c>
      <c r="E67" s="297">
        <v>1</v>
      </c>
      <c r="F67" s="298">
        <f>D23*POWER(1+G23,D67-F23)</f>
        <v>585120</v>
      </c>
      <c r="G67" s="299"/>
      <c r="H67" s="299">
        <f t="shared" ref="H67:H71" si="0">E67*F67</f>
        <v>585120</v>
      </c>
      <c r="I67" s="299"/>
      <c r="J67" s="303" t="s">
        <v>169</v>
      </c>
    </row>
    <row r="68" spans="2:10" ht="21" x14ac:dyDescent="0.25">
      <c r="B68" s="300" t="s">
        <v>50</v>
      </c>
      <c r="C68" s="297" t="s">
        <v>170</v>
      </c>
      <c r="D68" s="297">
        <v>2026</v>
      </c>
      <c r="E68" s="297">
        <v>1</v>
      </c>
      <c r="F68" s="298">
        <f>D18*POWER(1+G18,D68-F18)</f>
        <v>4255.03125</v>
      </c>
      <c r="G68" s="299"/>
      <c r="H68" s="299">
        <f t="shared" si="0"/>
        <v>4255.03125</v>
      </c>
      <c r="I68" s="299"/>
      <c r="J68" s="303" t="s">
        <v>171</v>
      </c>
    </row>
    <row r="69" spans="2:10" ht="21" x14ac:dyDescent="0.25">
      <c r="B69" s="300" t="s">
        <v>54</v>
      </c>
      <c r="C69" s="297" t="s">
        <v>172</v>
      </c>
      <c r="D69" s="297">
        <v>2026</v>
      </c>
      <c r="E69" s="299">
        <f>D47</f>
        <v>160</v>
      </c>
      <c r="F69" s="298">
        <f>D22*POWER(1+G22,D69-F22)</f>
        <v>54.27528749999999</v>
      </c>
      <c r="G69" s="299"/>
      <c r="H69" s="299">
        <f t="shared" si="0"/>
        <v>8684.0459999999985</v>
      </c>
      <c r="I69" s="299"/>
      <c r="J69" s="303" t="s">
        <v>173</v>
      </c>
    </row>
    <row r="70" spans="2:10" ht="21" x14ac:dyDescent="0.25">
      <c r="B70" s="300" t="s">
        <v>58</v>
      </c>
      <c r="C70" s="297" t="s">
        <v>174</v>
      </c>
      <c r="D70" s="297">
        <v>2026</v>
      </c>
      <c r="E70" s="299">
        <f>D49*POWER(1+G49,D70-F49)</f>
        <v>3194.2759961658007</v>
      </c>
      <c r="F70" s="298">
        <f>D17*POWER(1+G17,D70-F17)</f>
        <v>56.859824999999994</v>
      </c>
      <c r="G70" s="299"/>
      <c r="H70" s="299">
        <f t="shared" si="0"/>
        <v>181625.97414368807</v>
      </c>
      <c r="I70" s="299"/>
      <c r="J70" s="303" t="s">
        <v>175</v>
      </c>
    </row>
    <row r="71" spans="2:10" ht="24" x14ac:dyDescent="0.25">
      <c r="B71" s="300" t="s">
        <v>60</v>
      </c>
      <c r="C71" s="297" t="s">
        <v>176</v>
      </c>
      <c r="D71" s="297">
        <v>2026</v>
      </c>
      <c r="E71" s="299">
        <f>9*D55*POWER(1+G55,D71-F55)</f>
        <v>716.87166226983163</v>
      </c>
      <c r="F71" s="298">
        <f>D22*POWER(1+G22,D71-F22)</f>
        <v>54.27528749999999</v>
      </c>
      <c r="G71" s="299"/>
      <c r="H71" s="299">
        <f t="shared" si="0"/>
        <v>38908.415570298006</v>
      </c>
      <c r="I71" s="299"/>
      <c r="J71" s="303" t="s">
        <v>177</v>
      </c>
    </row>
    <row r="72" spans="2:10" ht="24" x14ac:dyDescent="0.25">
      <c r="B72" s="300" t="s">
        <v>63</v>
      </c>
      <c r="C72" s="297" t="s">
        <v>178</v>
      </c>
      <c r="D72" s="297">
        <v>2026</v>
      </c>
      <c r="E72" s="299">
        <f>12*D57*POWER(1+G57,D72-F57)</f>
        <v>181102.97443999897</v>
      </c>
      <c r="F72" s="298">
        <f>D14*POWER(1+G14,D72-F14)</f>
        <v>1.8180277656249999</v>
      </c>
      <c r="G72" s="299"/>
      <c r="H72" s="299"/>
      <c r="I72" s="299">
        <f>E72*F72</f>
        <v>329250.23596919281</v>
      </c>
      <c r="J72" s="303" t="s">
        <v>179</v>
      </c>
    </row>
    <row r="73" spans="2:10" ht="21" x14ac:dyDescent="0.25">
      <c r="B73" s="300" t="s">
        <v>66</v>
      </c>
      <c r="C73" s="297" t="s">
        <v>180</v>
      </c>
      <c r="D73" s="297">
        <v>2026</v>
      </c>
      <c r="E73" s="299">
        <f>12*D53*POWER(1+G53,D73-F53)</f>
        <v>1219.1694936561764</v>
      </c>
      <c r="F73" s="298">
        <f>D15*POWER(1+G15,D73-F15)</f>
        <v>0.92319644479166674</v>
      </c>
      <c r="G73" s="299"/>
      <c r="H73" s="299"/>
      <c r="I73" s="299">
        <f>E73*F73</f>
        <v>1125.5329421418385</v>
      </c>
      <c r="J73" s="303" t="s">
        <v>181</v>
      </c>
    </row>
    <row r="74" spans="2:10" ht="20.100000000000001" customHeight="1" x14ac:dyDescent="0.25">
      <c r="B74" s="383" t="s">
        <v>69</v>
      </c>
      <c r="C74" s="384" t="s">
        <v>182</v>
      </c>
      <c r="D74" s="384">
        <v>2026</v>
      </c>
      <c r="E74" s="384">
        <v>1</v>
      </c>
      <c r="F74" s="387">
        <f>E74*G7</f>
        <v>20380010.715784267</v>
      </c>
      <c r="G74" s="385"/>
      <c r="H74" s="385"/>
      <c r="I74" s="385"/>
      <c r="J74" s="386" t="s">
        <v>183</v>
      </c>
    </row>
    <row r="75" spans="2:10" ht="18.600000000000001" customHeight="1" x14ac:dyDescent="0.25">
      <c r="B75" s="326" t="s">
        <v>72</v>
      </c>
      <c r="C75" s="297" t="s">
        <v>184</v>
      </c>
      <c r="D75" s="297">
        <v>2026</v>
      </c>
      <c r="E75" s="297">
        <v>1</v>
      </c>
      <c r="F75" s="299">
        <f>SUM(D24:D25)*POWER(1+AVERAGE(G24:G25),D75-AVERAGE(F24:F25))</f>
        <v>150000</v>
      </c>
      <c r="G75" s="299"/>
      <c r="H75" s="299"/>
      <c r="I75" s="299">
        <f>E75*F75</f>
        <v>150000</v>
      </c>
      <c r="J75" s="303" t="s">
        <v>185</v>
      </c>
    </row>
    <row r="76" spans="2:10" ht="18.600000000000001" customHeight="1" x14ac:dyDescent="0.25">
      <c r="B76" s="354" t="s">
        <v>75</v>
      </c>
      <c r="C76" s="351" t="s">
        <v>186</v>
      </c>
      <c r="D76" s="351">
        <v>2026</v>
      </c>
      <c r="E76" s="351">
        <v>1</v>
      </c>
      <c r="F76" s="352">
        <f>SUM(D26)*POWER(1+AVERAGE(G26),D76-AVERAGE(F26))</f>
        <v>153750</v>
      </c>
      <c r="G76" s="352"/>
      <c r="H76" s="352"/>
      <c r="I76" s="352">
        <f>E76*F76</f>
        <v>153750</v>
      </c>
      <c r="J76" s="353" t="s">
        <v>187</v>
      </c>
    </row>
    <row r="77" spans="2:10" ht="18.600000000000001" customHeight="1" x14ac:dyDescent="0.25">
      <c r="B77" s="364" t="s">
        <v>78</v>
      </c>
      <c r="C77" s="351" t="s">
        <v>188</v>
      </c>
      <c r="D77" s="351">
        <v>2026</v>
      </c>
      <c r="E77" s="351">
        <v>178</v>
      </c>
      <c r="F77" s="361">
        <f>D59*D27*POWER((1+G27),(D77-F27))</f>
        <v>2255.8199999999997</v>
      </c>
      <c r="G77" s="352">
        <f>F77</f>
        <v>2255.8199999999997</v>
      </c>
      <c r="H77" s="352"/>
      <c r="I77" s="352"/>
      <c r="J77" s="353" t="s">
        <v>189</v>
      </c>
    </row>
    <row r="78" spans="2:10" ht="18.600000000000001" customHeight="1" x14ac:dyDescent="0.25">
      <c r="B78" s="354" t="s">
        <v>81</v>
      </c>
      <c r="C78" s="351" t="s">
        <v>190</v>
      </c>
      <c r="D78" s="351">
        <v>2026</v>
      </c>
      <c r="E78" s="352">
        <f>D56</f>
        <v>10</v>
      </c>
      <c r="F78" s="361">
        <f>D22*POWER(1+G22,D78-F22)</f>
        <v>54.27528749999999</v>
      </c>
      <c r="G78" s="352"/>
      <c r="H78" s="352"/>
      <c r="I78" s="352">
        <f>E78*F78</f>
        <v>542.7528749999999</v>
      </c>
      <c r="J78" s="353" t="s">
        <v>191</v>
      </c>
    </row>
    <row r="79" spans="2:10" ht="18.600000000000001" customHeight="1" x14ac:dyDescent="0.25">
      <c r="B79" s="364" t="s">
        <v>84</v>
      </c>
      <c r="C79" s="351" t="s">
        <v>192</v>
      </c>
      <c r="D79" s="351">
        <v>2026</v>
      </c>
      <c r="E79" s="352">
        <f>12*D55*POWER(1+G55,D79-F55)</f>
        <v>955.8288830264421</v>
      </c>
      <c r="F79" s="361">
        <f>D22*POWER(1+G22,D79-F22)</f>
        <v>54.27528749999999</v>
      </c>
      <c r="G79" s="352"/>
      <c r="H79" s="352"/>
      <c r="I79" s="352">
        <f>E79*F79</f>
        <v>51877.887427064008</v>
      </c>
      <c r="J79" s="353" t="s">
        <v>193</v>
      </c>
    </row>
    <row r="80" spans="2:10" ht="18.600000000000001" customHeight="1" x14ac:dyDescent="0.25">
      <c r="B80" s="364" t="s">
        <v>88</v>
      </c>
      <c r="C80" s="351" t="s">
        <v>89</v>
      </c>
      <c r="D80" s="379">
        <v>2026</v>
      </c>
      <c r="E80" s="352">
        <f>D33</f>
        <v>281171</v>
      </c>
      <c r="F80" s="380">
        <f>D28*D33*(1+G28)^(D80-F28)</f>
        <v>369899.35370624997</v>
      </c>
      <c r="G80" s="352">
        <f>F80</f>
        <v>369899.35370624997</v>
      </c>
      <c r="H80" s="352"/>
      <c r="I80" s="352"/>
      <c r="J80" s="353" t="s">
        <v>194</v>
      </c>
    </row>
    <row r="81" spans="2:12" x14ac:dyDescent="0.25">
      <c r="B81" s="324" t="s">
        <v>123</v>
      </c>
      <c r="C81" s="304"/>
      <c r="D81" s="328"/>
      <c r="E81" s="325" t="s">
        <v>11</v>
      </c>
      <c r="G81" s="392">
        <f>SUM(G66:G80)</f>
        <v>372155.17370624997</v>
      </c>
      <c r="H81" s="392">
        <f>SUM(H66:H79)</f>
        <v>820169.40446398605</v>
      </c>
      <c r="I81" s="392">
        <f>SUM(I66:I79)</f>
        <v>686546.4092133987</v>
      </c>
      <c r="J81" s="388" t="s">
        <v>195</v>
      </c>
    </row>
    <row r="82" spans="2:12" ht="17.25" thickBot="1" x14ac:dyDescent="0.3">
      <c r="B82" s="324" t="s">
        <v>126</v>
      </c>
      <c r="C82" s="304"/>
      <c r="D82" s="328"/>
      <c r="E82" s="325" t="s">
        <v>196</v>
      </c>
      <c r="G82" s="381">
        <v>0</v>
      </c>
      <c r="H82" s="381">
        <v>0</v>
      </c>
      <c r="I82" s="381">
        <f>SUM(H81:I81,F74)*0.015</f>
        <v>328300.89794192475</v>
      </c>
      <c r="J82" s="388" t="s">
        <v>197</v>
      </c>
    </row>
    <row r="83" spans="2:12" ht="15.75" thickBot="1" x14ac:dyDescent="0.3">
      <c r="B83" s="324" t="s">
        <v>129</v>
      </c>
      <c r="C83" s="304"/>
      <c r="D83" s="328"/>
      <c r="E83" s="325" t="s">
        <v>13</v>
      </c>
      <c r="G83" s="389">
        <f>G81+G82</f>
        <v>372155.17370624997</v>
      </c>
      <c r="H83" s="390">
        <f t="shared" ref="H83:I83" si="1">H81+H82</f>
        <v>820169.40446398605</v>
      </c>
      <c r="I83" s="391">
        <f t="shared" si="1"/>
        <v>1014847.3071553234</v>
      </c>
      <c r="J83" s="388" t="s">
        <v>198</v>
      </c>
      <c r="L83" s="56"/>
    </row>
    <row r="85" spans="2:12" x14ac:dyDescent="0.25">
      <c r="B85" s="301" t="s">
        <v>199</v>
      </c>
      <c r="C85" s="327" t="s">
        <v>200</v>
      </c>
    </row>
    <row r="86" spans="2:12" x14ac:dyDescent="0.25">
      <c r="B86" s="301" t="s">
        <v>201</v>
      </c>
      <c r="C86" s="327" t="s">
        <v>202</v>
      </c>
    </row>
    <row r="87" spans="2:12" x14ac:dyDescent="0.25">
      <c r="B87" s="301" t="s">
        <v>203</v>
      </c>
      <c r="C87" s="327" t="s">
        <v>204</v>
      </c>
    </row>
    <row r="88" spans="2:12" x14ac:dyDescent="0.25">
      <c r="B88" s="301" t="s">
        <v>205</v>
      </c>
      <c r="C88" s="327" t="s">
        <v>206</v>
      </c>
    </row>
    <row r="89" spans="2:12" x14ac:dyDescent="0.25">
      <c r="B89" s="301" t="s">
        <v>207</v>
      </c>
      <c r="C89" s="327" t="s">
        <v>208</v>
      </c>
    </row>
    <row r="90" spans="2:12" x14ac:dyDescent="0.25">
      <c r="B90" s="301" t="s">
        <v>209</v>
      </c>
      <c r="C90" s="327" t="s">
        <v>210</v>
      </c>
    </row>
    <row r="92" spans="2:12" x14ac:dyDescent="0.25">
      <c r="B92" s="362"/>
    </row>
    <row r="95" spans="2:12" x14ac:dyDescent="0.25">
      <c r="E95" s="363"/>
    </row>
  </sheetData>
  <mergeCells count="5">
    <mergeCell ref="B2:J2"/>
    <mergeCell ref="B4:J4"/>
    <mergeCell ref="B11:J11"/>
    <mergeCell ref="B30:J30"/>
    <mergeCell ref="B61:J61"/>
  </mergeCells>
  <phoneticPr fontId="59" type="noConversion"/>
  <pageMargins left="0.7" right="0.7" top="0.75" bottom="0.75" header="0.3" footer="0.3"/>
  <pageSetup paperSize="3" scale="65"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751A0-EDD2-4BDD-8873-B1781DE53F14}">
  <dimension ref="C2:L25"/>
  <sheetViews>
    <sheetView zoomScaleNormal="100" workbookViewId="0">
      <selection activeCell="E25" sqref="E25"/>
    </sheetView>
  </sheetViews>
  <sheetFormatPr defaultRowHeight="15" x14ac:dyDescent="0.25"/>
  <cols>
    <col min="4" max="4" width="12.42578125" customWidth="1"/>
    <col min="5" max="5" width="11.7109375" customWidth="1"/>
    <col min="6" max="6" width="15" customWidth="1"/>
    <col min="7" max="7" width="13.42578125" customWidth="1"/>
    <col min="8" max="8" width="12.85546875" customWidth="1"/>
    <col min="9" max="9" width="17.42578125" customWidth="1"/>
    <col min="10" max="10" width="16.42578125" customWidth="1"/>
    <col min="11" max="11" width="15.85546875" customWidth="1"/>
    <col min="12" max="12" width="19.42578125" bestFit="1" customWidth="1"/>
  </cols>
  <sheetData>
    <row r="2" spans="3:12" x14ac:dyDescent="0.25">
      <c r="C2" s="42" t="s">
        <v>211</v>
      </c>
    </row>
    <row r="3" spans="3:12" x14ac:dyDescent="0.25">
      <c r="C3" s="43"/>
      <c r="D3" s="43" t="s">
        <v>21</v>
      </c>
      <c r="E3" s="43" t="s">
        <v>22</v>
      </c>
      <c r="F3" s="43"/>
      <c r="G3" s="43" t="s">
        <v>23</v>
      </c>
      <c r="H3" s="43" t="s">
        <v>24</v>
      </c>
      <c r="I3" s="43" t="s">
        <v>25</v>
      </c>
      <c r="J3" s="43" t="s">
        <v>26</v>
      </c>
      <c r="K3" s="43" t="s">
        <v>159</v>
      </c>
      <c r="L3" s="43" t="s">
        <v>212</v>
      </c>
    </row>
    <row r="4" spans="3:12" x14ac:dyDescent="0.25">
      <c r="C4" s="43"/>
      <c r="D4" s="43"/>
      <c r="E4" s="43"/>
      <c r="F4" s="43"/>
      <c r="G4" s="43"/>
      <c r="H4" s="43" t="s">
        <v>213</v>
      </c>
      <c r="I4" s="43" t="s">
        <v>214</v>
      </c>
      <c r="J4" s="43" t="s">
        <v>215</v>
      </c>
      <c r="K4" s="43" t="s">
        <v>216</v>
      </c>
      <c r="L4" s="43" t="s">
        <v>217</v>
      </c>
    </row>
    <row r="5" spans="3:12" ht="45" x14ac:dyDescent="0.25">
      <c r="C5" s="44" t="s">
        <v>218</v>
      </c>
      <c r="D5" s="44" t="s">
        <v>219</v>
      </c>
      <c r="E5" s="46" t="s">
        <v>220</v>
      </c>
      <c r="F5" s="44" t="s">
        <v>221</v>
      </c>
      <c r="G5" s="44" t="s">
        <v>222</v>
      </c>
      <c r="H5" s="44" t="s">
        <v>223</v>
      </c>
      <c r="I5" s="47" t="s">
        <v>224</v>
      </c>
      <c r="J5" s="44" t="s">
        <v>225</v>
      </c>
      <c r="K5" s="44" t="s">
        <v>226</v>
      </c>
      <c r="L5" s="44" t="s">
        <v>227</v>
      </c>
    </row>
    <row r="6" spans="3:12" x14ac:dyDescent="0.25">
      <c r="C6" s="45">
        <v>1</v>
      </c>
      <c r="D6" s="48">
        <f>SUMIF('IV-Attach UT CREA 8.2'!$C$2:$C$230,C6,'IV-Attach UT CREA 8.2'!$AX$2:$AX$230)/1000</f>
        <v>1820893.706</v>
      </c>
      <c r="E6" s="49">
        <f>_xlfn.XLOOKUP(C6,'V-Attach UT CREA 8.1'!$D$1:$V$1,'V-Attach UT CREA 8.1'!$D$48:$V$48)</f>
        <v>236892</v>
      </c>
      <c r="F6" s="50" t="s">
        <v>228</v>
      </c>
      <c r="G6" s="51">
        <v>0.8</v>
      </c>
      <c r="H6" s="52">
        <f t="shared" ref="H6:H24" si="0">G6*D6</f>
        <v>1456714.9648000002</v>
      </c>
      <c r="I6" s="53">
        <f>ROUND(G6*E6,0)</f>
        <v>189514</v>
      </c>
      <c r="J6" s="54">
        <f>D6/E6</f>
        <v>7.6865985596812045</v>
      </c>
      <c r="K6" s="50">
        <f>(J6/8760)*1000</f>
        <v>0.87746558900470373</v>
      </c>
      <c r="L6" s="50">
        <f>((H6*1000)/I6)/12</f>
        <v>640.54852798913714</v>
      </c>
    </row>
    <row r="7" spans="3:12" x14ac:dyDescent="0.25">
      <c r="C7" s="45">
        <v>2</v>
      </c>
      <c r="D7" s="48">
        <f>SUMIF('IV-Attach UT CREA 8.2'!$C$2:$C$230,C7,'IV-Attach UT CREA 8.2'!$AX$2:$AX$230)/1000</f>
        <v>4120.1949999999997</v>
      </c>
      <c r="E7" s="49">
        <f>_xlfn.XLOOKUP(C7,'V-Attach UT CREA 8.1'!$D$1:$V$1,'V-Attach UT CREA 8.1'!$D$48:$V$48)</f>
        <v>511</v>
      </c>
      <c r="F7" s="50" t="s">
        <v>228</v>
      </c>
      <c r="G7" s="51">
        <v>0.8</v>
      </c>
      <c r="H7" s="52">
        <f t="shared" si="0"/>
        <v>3296.1559999999999</v>
      </c>
      <c r="I7" s="53">
        <f t="shared" ref="I7:I24" si="1">ROUND(G7*E7,0)</f>
        <v>409</v>
      </c>
      <c r="J7" s="54">
        <f t="shared" ref="J7:J25" si="2">D7/E7</f>
        <v>8.0630039138943239</v>
      </c>
      <c r="K7" s="50">
        <f t="shared" ref="K7:K25" si="3">(J7/8760)*1000</f>
        <v>0.92043423674592739</v>
      </c>
      <c r="L7" s="50">
        <f t="shared" ref="L7:L23" si="4">((H7*1000)/I7)/12</f>
        <v>671.58842705786469</v>
      </c>
    </row>
    <row r="8" spans="3:12" x14ac:dyDescent="0.25">
      <c r="C8" s="45">
        <v>3</v>
      </c>
      <c r="D8" s="48">
        <f>SUMIF('IV-Attach UT CREA 8.2'!$C$2:$C$230,C8,'IV-Attach UT CREA 8.2'!$AX$2:$AX$230)/1000</f>
        <v>44092.747000000003</v>
      </c>
      <c r="E8" s="49">
        <f>_xlfn.XLOOKUP(C8,'V-Attach UT CREA 8.1'!$D$1:$V$1,'V-Attach UT CREA 8.1'!$D$48:$V$48)</f>
        <v>7193</v>
      </c>
      <c r="F8" s="50" t="s">
        <v>228</v>
      </c>
      <c r="G8" s="51">
        <v>0.8</v>
      </c>
      <c r="H8" s="52">
        <f t="shared" si="0"/>
        <v>35274.197600000007</v>
      </c>
      <c r="I8" s="53">
        <f t="shared" si="1"/>
        <v>5754</v>
      </c>
      <c r="J8" s="54">
        <f t="shared" si="2"/>
        <v>6.1299523147504527</v>
      </c>
      <c r="K8" s="50">
        <f t="shared" si="3"/>
        <v>0.69976624597607906</v>
      </c>
      <c r="L8" s="50">
        <f t="shared" si="4"/>
        <v>510.86487081450599</v>
      </c>
    </row>
    <row r="9" spans="3:12" x14ac:dyDescent="0.25">
      <c r="C9" s="45">
        <v>6</v>
      </c>
      <c r="D9" s="48">
        <f>SUMIF('IV-Attach UT CREA 8.2'!$C$2:$C$230,C9,'IV-Attach UT CREA 8.2'!$AX$2:$AX$230)/1000</f>
        <v>2300444.5299999998</v>
      </c>
      <c r="E9" s="49">
        <f>_xlfn.XLOOKUP(C9,'V-Attach UT CREA 8.1'!$D$1:$V$1,'V-Attach UT CREA 8.1'!$D$48:$V$48)</f>
        <v>4728</v>
      </c>
      <c r="F9" s="50" t="s">
        <v>229</v>
      </c>
      <c r="G9" s="51">
        <v>0.3</v>
      </c>
      <c r="H9" s="52">
        <f t="shared" si="0"/>
        <v>690133.35899999994</v>
      </c>
      <c r="I9" s="53">
        <f t="shared" si="1"/>
        <v>1418</v>
      </c>
      <c r="J9" s="54">
        <f t="shared" si="2"/>
        <v>486.55764170896782</v>
      </c>
      <c r="K9" s="50">
        <f t="shared" si="3"/>
        <v>55.543109784128745</v>
      </c>
      <c r="L9" s="50">
        <f t="shared" si="4"/>
        <v>40557.907792665719</v>
      </c>
    </row>
    <row r="10" spans="3:12" x14ac:dyDescent="0.25">
      <c r="C10" s="45" t="s">
        <v>230</v>
      </c>
      <c r="D10" s="48">
        <f>SUMIF('IV-Attach UT CREA 8.2'!$C$2:$C$230,C10,'IV-Attach UT CREA 8.2'!$AX$2:$AX$230)/1000</f>
        <v>137797.70600000001</v>
      </c>
      <c r="E10" s="49">
        <f>_xlfn.XLOOKUP(C10,'V-Attach UT CREA 8.1'!$D$1:$V$1,'V-Attach UT CREA 8.1'!$D$48:$V$48)</f>
        <v>720</v>
      </c>
      <c r="F10" s="50" t="s">
        <v>229</v>
      </c>
      <c r="G10" s="51">
        <v>0.3</v>
      </c>
      <c r="H10" s="52">
        <f t="shared" si="0"/>
        <v>41339.311800000003</v>
      </c>
      <c r="I10" s="53">
        <f t="shared" si="1"/>
        <v>216</v>
      </c>
      <c r="J10" s="54">
        <f t="shared" si="2"/>
        <v>191.38570277777779</v>
      </c>
      <c r="K10" s="50">
        <f t="shared" si="3"/>
        <v>21.84768296549975</v>
      </c>
      <c r="L10" s="50">
        <f t="shared" si="4"/>
        <v>15948.808564814817</v>
      </c>
    </row>
    <row r="11" spans="3:12" x14ac:dyDescent="0.25">
      <c r="C11" s="45" t="s">
        <v>231</v>
      </c>
      <c r="D11" s="48">
        <f>SUMIF('IV-Attach UT CREA 8.2'!$C$2:$C$230,C11,'IV-Attach UT CREA 8.2'!$AX$2:$AX$230)/1000</f>
        <v>0</v>
      </c>
      <c r="E11" s="49">
        <f>_xlfn.XLOOKUP(C11,'V-Attach UT CREA 8.1'!$D$1:$V$1,'V-Attach UT CREA 8.1'!$D$48:$V$48)</f>
        <v>0</v>
      </c>
      <c r="F11" s="50" t="s">
        <v>229</v>
      </c>
      <c r="G11" s="51">
        <v>0.3</v>
      </c>
      <c r="H11" s="52">
        <f t="shared" si="0"/>
        <v>0</v>
      </c>
      <c r="I11" s="53">
        <f t="shared" si="1"/>
        <v>0</v>
      </c>
      <c r="J11" s="50">
        <v>0</v>
      </c>
      <c r="K11" s="50">
        <v>0</v>
      </c>
      <c r="L11" s="50"/>
    </row>
    <row r="12" spans="3:12" x14ac:dyDescent="0.25">
      <c r="C12" s="45">
        <v>7</v>
      </c>
      <c r="D12" s="48">
        <f>SUMIF('IV-Attach UT CREA 8.2'!$C$2:$C$230,C12,'IV-Attach UT CREA 8.2'!$AX$2:$AX$230)/1000</f>
        <v>4076.8629999999998</v>
      </c>
      <c r="E12" s="49">
        <f>_xlfn.XLOOKUP(C12,'V-Attach UT CREA 8.1'!$D$1:$V$1,'V-Attach UT CREA 8.1'!$D$48:$V$48)</f>
        <v>2335</v>
      </c>
      <c r="F12" s="50" t="s">
        <v>232</v>
      </c>
      <c r="G12" s="51">
        <v>0</v>
      </c>
      <c r="H12" s="52">
        <f t="shared" si="0"/>
        <v>0</v>
      </c>
      <c r="I12" s="53">
        <f t="shared" si="1"/>
        <v>0</v>
      </c>
      <c r="J12" s="54">
        <f t="shared" si="2"/>
        <v>1.7459798715203425</v>
      </c>
      <c r="K12" s="50">
        <f t="shared" si="3"/>
        <v>0.19931277072150028</v>
      </c>
      <c r="L12" s="50"/>
    </row>
    <row r="13" spans="3:12" x14ac:dyDescent="0.25">
      <c r="C13" s="45">
        <v>8</v>
      </c>
      <c r="D13" s="48">
        <f>SUMIF('IV-Attach UT CREA 8.2'!$C$2:$C$230,C13,'IV-Attach UT CREA 8.2'!$AX$2:$AX$230)/1000</f>
        <v>737447.56499999994</v>
      </c>
      <c r="E13" s="49">
        <f>_xlfn.XLOOKUP(C13,'V-Attach UT CREA 8.1'!$D$1:$V$1,'V-Attach UT CREA 8.1'!$D$48:$V$48)</f>
        <v>97</v>
      </c>
      <c r="F13" s="50" t="s">
        <v>229</v>
      </c>
      <c r="G13" s="51">
        <v>0.3</v>
      </c>
      <c r="H13" s="52">
        <f t="shared" si="0"/>
        <v>221234.26949999997</v>
      </c>
      <c r="I13" s="53">
        <f t="shared" si="1"/>
        <v>29</v>
      </c>
      <c r="J13" s="54">
        <f t="shared" si="2"/>
        <v>7602.5522164948452</v>
      </c>
      <c r="K13" s="50">
        <f t="shared" si="3"/>
        <v>867.87125759073581</v>
      </c>
      <c r="L13" s="50">
        <f t="shared" si="4"/>
        <v>635730.65948275861</v>
      </c>
    </row>
    <row r="14" spans="3:12" x14ac:dyDescent="0.25">
      <c r="C14" s="45">
        <v>9</v>
      </c>
      <c r="D14" s="48">
        <f>SUMIF('IV-Attach UT CREA 8.2'!$C$2:$C$230,C14,'IV-Attach UT CREA 8.2'!$AX$2:$AX$230)/1000</f>
        <v>481407.72700000001</v>
      </c>
      <c r="E14" s="49">
        <f>_xlfn.XLOOKUP(C14,'V-Attach UT CREA 8.1'!$D$1:$V$1,'V-Attach UT CREA 8.1'!$D$48:$V$48)</f>
        <v>24</v>
      </c>
      <c r="F14" s="50" t="s">
        <v>233</v>
      </c>
      <c r="G14" s="51">
        <v>0.05</v>
      </c>
      <c r="H14" s="52">
        <f t="shared" si="0"/>
        <v>24070.386350000001</v>
      </c>
      <c r="I14" s="53">
        <f t="shared" si="1"/>
        <v>1</v>
      </c>
      <c r="J14" s="54">
        <f t="shared" si="2"/>
        <v>20058.655291666666</v>
      </c>
      <c r="K14" s="50">
        <f t="shared" si="3"/>
        <v>2289.8008323820395</v>
      </c>
      <c r="L14" s="50">
        <f t="shared" si="4"/>
        <v>2005865.5291666668</v>
      </c>
    </row>
    <row r="15" spans="3:12" x14ac:dyDescent="0.25">
      <c r="C15" s="45" t="s">
        <v>234</v>
      </c>
      <c r="D15" s="48">
        <f>SUMIF('IV-Attach UT CREA 8.2'!$C$2:$C$230,C15,'IV-Attach UT CREA 8.2'!$AX$2:$AX$230)/1000</f>
        <v>4363.2</v>
      </c>
      <c r="E15" s="49">
        <f>_xlfn.XLOOKUP(C15,'V-Attach UT CREA 8.1'!$D$1:$V$1,'V-Attach UT CREA 8.1'!$D$48:$V$48)</f>
        <v>1</v>
      </c>
      <c r="F15" s="50" t="s">
        <v>233</v>
      </c>
      <c r="G15" s="51">
        <v>0.05</v>
      </c>
      <c r="H15" s="52">
        <f t="shared" si="0"/>
        <v>218.16</v>
      </c>
      <c r="I15" s="53">
        <f>G15*E15</f>
        <v>0.05</v>
      </c>
      <c r="J15" s="54">
        <f t="shared" si="2"/>
        <v>4363.2</v>
      </c>
      <c r="K15" s="50">
        <f t="shared" si="3"/>
        <v>498.08219178082192</v>
      </c>
      <c r="L15" s="50"/>
    </row>
    <row r="16" spans="3:12" x14ac:dyDescent="0.25">
      <c r="C16" s="45" t="s">
        <v>235</v>
      </c>
      <c r="D16" s="48">
        <f>SUMIF('IV-Attach UT CREA 8.2'!$C$2:$C$230,C16,'IV-Attach UT CREA 8.2'!$AX$2:$AX$230)/1000</f>
        <v>296804.82900000003</v>
      </c>
      <c r="E16" s="49">
        <f>_xlfn.XLOOKUP(C16,'V-Attach UT CREA 8.1'!$D$1:$V$1,'V-Attach UT CREA 8.1'!$D$48:$V$48)</f>
        <v>4</v>
      </c>
      <c r="F16" s="50" t="s">
        <v>233</v>
      </c>
      <c r="G16" s="51">
        <v>0.05</v>
      </c>
      <c r="H16" s="52">
        <f t="shared" si="0"/>
        <v>14840.241450000001</v>
      </c>
      <c r="I16" s="53">
        <f>G16*E16</f>
        <v>0.2</v>
      </c>
      <c r="J16" s="54">
        <f t="shared" si="2"/>
        <v>74201.207250000007</v>
      </c>
      <c r="K16" s="50">
        <f t="shared" si="3"/>
        <v>8470.4574486301372</v>
      </c>
      <c r="L16" s="50"/>
    </row>
    <row r="17" spans="3:12" x14ac:dyDescent="0.25">
      <c r="C17" s="45">
        <v>10</v>
      </c>
      <c r="D17" s="48">
        <f>SUMIF('IV-Attach UT CREA 8.2'!$C$2:$C$230,C17,'IV-Attach UT CREA 8.2'!$AX$2:$AX$230)/1000</f>
        <v>3999.3960000000002</v>
      </c>
      <c r="E17" s="49">
        <f>_xlfn.XLOOKUP(C17,'V-Attach UT CREA 8.1'!$D$1:$V$1,'V-Attach UT CREA 8.1'!$D$48:$V$48)</f>
        <v>172</v>
      </c>
      <c r="F17" s="50" t="s">
        <v>229</v>
      </c>
      <c r="G17" s="51">
        <v>0.3</v>
      </c>
      <c r="H17" s="52">
        <f t="shared" si="0"/>
        <v>1199.8188</v>
      </c>
      <c r="I17" s="53">
        <f t="shared" si="1"/>
        <v>52</v>
      </c>
      <c r="J17" s="54">
        <f t="shared" si="2"/>
        <v>23.252302325581397</v>
      </c>
      <c r="K17" s="50">
        <f t="shared" si="3"/>
        <v>2.6543724115960496</v>
      </c>
      <c r="L17" s="50">
        <f t="shared" si="4"/>
        <v>1922.7865384615386</v>
      </c>
    </row>
    <row r="18" spans="3:12" x14ac:dyDescent="0.25">
      <c r="C18" s="45">
        <v>11</v>
      </c>
      <c r="D18" s="48">
        <f>SUMIF('IV-Attach UT CREA 8.2'!$C$2:$C$230,C18,'IV-Attach UT CREA 8.2'!$AX$2:$AX$230)/1000</f>
        <v>2511.558</v>
      </c>
      <c r="E18" s="49">
        <f>_xlfn.XLOOKUP(C18,'V-Attach UT CREA 8.1'!$D$1:$V$1,'V-Attach UT CREA 8.1'!$D$48:$V$48)</f>
        <v>83</v>
      </c>
      <c r="F18" s="50" t="s">
        <v>232</v>
      </c>
      <c r="G18" s="51">
        <v>0</v>
      </c>
      <c r="H18" s="52">
        <f t="shared" si="0"/>
        <v>0</v>
      </c>
      <c r="I18" s="53">
        <f t="shared" si="1"/>
        <v>0</v>
      </c>
      <c r="J18" s="54">
        <f t="shared" si="2"/>
        <v>30.259734939759035</v>
      </c>
      <c r="K18" s="50">
        <f t="shared" si="3"/>
        <v>3.4543076415250038</v>
      </c>
      <c r="L18" s="50"/>
    </row>
    <row r="19" spans="3:12" x14ac:dyDescent="0.25">
      <c r="C19" s="45">
        <v>12</v>
      </c>
      <c r="D19" s="48">
        <f>SUMIF('IV-Attach UT CREA 8.2'!$C$2:$C$230,C19,'IV-Attach UT CREA 8.2'!$AX$2:$AX$230)/1000</f>
        <v>14576.709000000001</v>
      </c>
      <c r="E19" s="49">
        <f>_xlfn.XLOOKUP(C19,'V-Attach UT CREA 8.1'!$D$1:$V$1,'V-Attach UT CREA 8.1'!$D$48:$V$48)</f>
        <v>293</v>
      </c>
      <c r="F19" s="50" t="s">
        <v>232</v>
      </c>
      <c r="G19" s="51">
        <v>0</v>
      </c>
      <c r="H19" s="52">
        <f t="shared" si="0"/>
        <v>0</v>
      </c>
      <c r="I19" s="53">
        <f t="shared" si="1"/>
        <v>0</v>
      </c>
      <c r="J19" s="54">
        <f t="shared" si="2"/>
        <v>49.749860068259387</v>
      </c>
      <c r="K19" s="50">
        <f t="shared" si="3"/>
        <v>5.6792077703492447</v>
      </c>
      <c r="L19" s="50"/>
    </row>
    <row r="20" spans="3:12" x14ac:dyDescent="0.25">
      <c r="C20" s="45">
        <v>15</v>
      </c>
      <c r="D20" s="48">
        <f>SUMIF('IV-Attach UT CREA 8.2'!$C$2:$C$230,C20,'IV-Attach UT CREA 8.2'!$AX$2:$AX$230)/1000</f>
        <v>8140.92</v>
      </c>
      <c r="E20" s="49">
        <f>_xlfn.XLOOKUP(C20,'V-Attach UT CREA 8.1'!$D$1:$V$1,'V-Attach UT CREA 8.1'!$D$48:$V$48)</f>
        <v>1224</v>
      </c>
      <c r="F20" s="50" t="s">
        <v>232</v>
      </c>
      <c r="G20" s="51">
        <v>0</v>
      </c>
      <c r="H20" s="52">
        <f t="shared" si="0"/>
        <v>0</v>
      </c>
      <c r="I20" s="53">
        <f t="shared" si="1"/>
        <v>0</v>
      </c>
      <c r="J20" s="54">
        <f t="shared" si="2"/>
        <v>6.6510784313725493</v>
      </c>
      <c r="K20" s="50">
        <f t="shared" si="3"/>
        <v>0.75925552869549651</v>
      </c>
      <c r="L20" s="50"/>
    </row>
    <row r="21" spans="3:12" x14ac:dyDescent="0.25">
      <c r="C21" s="45">
        <v>21</v>
      </c>
      <c r="D21" s="48">
        <f>SUMIF('IV-Attach UT CREA 8.2'!$C$2:$C$230,C21,'IV-Attach UT CREA 8.2'!$AX$2:$AX$230)/1000</f>
        <v>0</v>
      </c>
      <c r="E21" s="49">
        <f>_xlfn.XLOOKUP(C21,'V-Attach UT CREA 8.1'!$D$1:$V$1,'V-Attach UT CREA 8.1'!$D$48:$V$48)</f>
        <v>0</v>
      </c>
      <c r="F21" s="50" t="s">
        <v>232</v>
      </c>
      <c r="G21" s="51">
        <v>0</v>
      </c>
      <c r="H21" s="52">
        <f t="shared" si="0"/>
        <v>0</v>
      </c>
      <c r="I21" s="53">
        <f t="shared" si="1"/>
        <v>0</v>
      </c>
      <c r="J21" s="50">
        <v>0</v>
      </c>
      <c r="K21" s="50">
        <v>0</v>
      </c>
      <c r="L21" s="50"/>
    </row>
    <row r="22" spans="3:12" x14ac:dyDescent="0.25">
      <c r="C22" s="45">
        <v>23</v>
      </c>
      <c r="D22" s="48">
        <f>SUMIF('IV-Attach UT CREA 8.2'!$C$2:$C$230,C22,'IV-Attach UT CREA 8.2'!$AX$2:$AX$230)/1000</f>
        <v>465607.99699999997</v>
      </c>
      <c r="E22" s="49">
        <f>_xlfn.XLOOKUP(C22,'V-Attach UT CREA 8.1'!$D$1:$V$1,'V-Attach UT CREA 8.1'!$D$48:$V$48)</f>
        <v>26880</v>
      </c>
      <c r="F22" s="50" t="s">
        <v>229</v>
      </c>
      <c r="G22" s="51">
        <v>0.3</v>
      </c>
      <c r="H22" s="52">
        <f t="shared" si="0"/>
        <v>139682.39909999998</v>
      </c>
      <c r="I22" s="53">
        <f t="shared" si="1"/>
        <v>8064</v>
      </c>
      <c r="J22" s="54">
        <f t="shared" si="2"/>
        <v>17.321726078869048</v>
      </c>
      <c r="K22" s="50">
        <f t="shared" si="3"/>
        <v>1.9773659907384757</v>
      </c>
      <c r="L22" s="50">
        <f t="shared" si="4"/>
        <v>1443.4771732390873</v>
      </c>
    </row>
    <row r="23" spans="3:12" x14ac:dyDescent="0.25">
      <c r="C23" s="45">
        <v>31</v>
      </c>
      <c r="D23" s="48">
        <f>SUMIF('IV-Attach UT CREA 8.2'!$C$2:$C$230,C23,'IV-Attach UT CREA 8.2'!$AX$2:$AX$230)/1000</f>
        <v>117357.041</v>
      </c>
      <c r="E23" s="49">
        <f>_xlfn.XLOOKUP(C23,'V-Attach UT CREA 8.1'!$D$1:$V$1,'V-Attach UT CREA 8.1'!$D$48:$V$48)</f>
        <v>3</v>
      </c>
      <c r="F23" s="50" t="s">
        <v>229</v>
      </c>
      <c r="G23" s="51">
        <v>0.3</v>
      </c>
      <c r="H23" s="52">
        <f t="shared" si="0"/>
        <v>35207.112300000001</v>
      </c>
      <c r="I23" s="53">
        <f t="shared" si="1"/>
        <v>1</v>
      </c>
      <c r="J23" s="54">
        <f t="shared" si="2"/>
        <v>39119.013666666666</v>
      </c>
      <c r="K23" s="50">
        <f t="shared" si="3"/>
        <v>4465.6408295281581</v>
      </c>
      <c r="L23" s="50">
        <f t="shared" si="4"/>
        <v>2933926.0249999999</v>
      </c>
    </row>
    <row r="24" spans="3:12" x14ac:dyDescent="0.25">
      <c r="C24" s="335">
        <v>32</v>
      </c>
      <c r="D24" s="336">
        <f>SUMIF('IV-Attach UT CREA 8.2'!$C$2:$C$230,C24,'IV-Attach UT CREA 8.2'!$AX$2:$AX$230)/1000</f>
        <v>229611.8</v>
      </c>
      <c r="E24" s="337">
        <f>_xlfn.XLOOKUP(C24,'V-Attach UT CREA 8.1'!$D$1:$V$1,'V-Attach UT CREA 8.1'!$D$48:$V$48)</f>
        <v>11</v>
      </c>
      <c r="F24" s="338" t="s">
        <v>236</v>
      </c>
      <c r="G24" s="339">
        <v>0</v>
      </c>
      <c r="H24" s="340">
        <f t="shared" si="0"/>
        <v>0</v>
      </c>
      <c r="I24" s="57">
        <f t="shared" si="1"/>
        <v>0</v>
      </c>
      <c r="J24" s="341">
        <f t="shared" si="2"/>
        <v>20873.8</v>
      </c>
      <c r="K24" s="338">
        <f t="shared" si="3"/>
        <v>2382.8538812785391</v>
      </c>
      <c r="L24" s="338"/>
    </row>
    <row r="25" spans="3:12" x14ac:dyDescent="0.25">
      <c r="C25" s="331" t="s">
        <v>237</v>
      </c>
      <c r="D25" s="342">
        <f>SUM(D6:D24)</f>
        <v>6673254.4889999982</v>
      </c>
      <c r="E25" s="342">
        <f>SUM(E6:E24)</f>
        <v>281171</v>
      </c>
      <c r="F25" s="332"/>
      <c r="G25" s="332"/>
      <c r="H25" s="342">
        <f>SUM(H6:H24)</f>
        <v>2663210.3767000004</v>
      </c>
      <c r="I25" s="342">
        <f>SUM(I6:I24)</f>
        <v>205458.25</v>
      </c>
      <c r="J25" s="333">
        <f t="shared" si="2"/>
        <v>23.733793630922101</v>
      </c>
      <c r="K25" s="334">
        <f t="shared" si="3"/>
        <v>2.709337172479692</v>
      </c>
      <c r="L25" s="33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7140A-ECF5-421C-8032-F2380F00C47A}">
  <sheetPr>
    <pageSetUpPr fitToPage="1"/>
  </sheetPr>
  <dimension ref="D3:M28"/>
  <sheetViews>
    <sheetView topLeftCell="A6" zoomScale="120" zoomScaleNormal="120" workbookViewId="0">
      <selection activeCell="H30" sqref="H30"/>
    </sheetView>
  </sheetViews>
  <sheetFormatPr defaultRowHeight="15" x14ac:dyDescent="0.25"/>
  <cols>
    <col min="4" max="4" width="32.28515625" bestFit="1" customWidth="1"/>
    <col min="5" max="5" width="14.7109375" bestFit="1" customWidth="1"/>
    <col min="6" max="6" width="11" bestFit="1" customWidth="1"/>
    <col min="7" max="7" width="13.5703125" bestFit="1" customWidth="1"/>
    <col min="8" max="8" width="16.85546875" bestFit="1" customWidth="1"/>
    <col min="9" max="9" width="15.42578125" bestFit="1" customWidth="1"/>
    <col min="10" max="10" width="17.28515625" bestFit="1" customWidth="1"/>
    <col min="11" max="11" width="15" customWidth="1"/>
    <col min="12" max="12" width="11.7109375" bestFit="1" customWidth="1"/>
    <col min="13" max="13" width="15.7109375" bestFit="1" customWidth="1"/>
  </cols>
  <sheetData>
    <row r="3" spans="4:13" x14ac:dyDescent="0.25">
      <c r="D3" s="42" t="s">
        <v>238</v>
      </c>
    </row>
    <row r="4" spans="4:13" x14ac:dyDescent="0.25">
      <c r="E4" s="322" t="s">
        <v>21</v>
      </c>
      <c r="F4" s="322" t="s">
        <v>22</v>
      </c>
      <c r="G4" s="322" t="s">
        <v>23</v>
      </c>
      <c r="H4" s="322" t="s">
        <v>24</v>
      </c>
      <c r="I4" s="322" t="s">
        <v>25</v>
      </c>
      <c r="J4" s="322" t="s">
        <v>26</v>
      </c>
      <c r="K4" s="322" t="s">
        <v>159</v>
      </c>
      <c r="L4" s="322" t="s">
        <v>212</v>
      </c>
      <c r="M4" s="322" t="s">
        <v>239</v>
      </c>
    </row>
    <row r="5" spans="4:13" x14ac:dyDescent="0.25">
      <c r="D5" s="128"/>
      <c r="E5" s="322"/>
      <c r="F5" s="322"/>
      <c r="G5" s="322" t="s">
        <v>215</v>
      </c>
      <c r="H5" s="322" t="s">
        <v>240</v>
      </c>
      <c r="I5" s="322" t="s">
        <v>241</v>
      </c>
      <c r="J5" s="322" t="s">
        <v>242</v>
      </c>
      <c r="K5" s="322" t="s">
        <v>243</v>
      </c>
      <c r="L5" s="322" t="s">
        <v>244</v>
      </c>
      <c r="M5" s="322" t="s">
        <v>245</v>
      </c>
    </row>
    <row r="6" spans="4:13" ht="60" x14ac:dyDescent="0.25">
      <c r="D6" s="128"/>
      <c r="E6" s="44" t="s">
        <v>246</v>
      </c>
      <c r="F6" s="44" t="s">
        <v>247</v>
      </c>
      <c r="G6" s="44" t="s">
        <v>248</v>
      </c>
      <c r="H6" s="44" t="s">
        <v>249</v>
      </c>
      <c r="I6" s="44" t="s">
        <v>250</v>
      </c>
      <c r="J6" s="44" t="s">
        <v>251</v>
      </c>
      <c r="K6" s="44" t="s">
        <v>252</v>
      </c>
      <c r="L6" s="44" t="s">
        <v>253</v>
      </c>
      <c r="M6" s="44" t="s">
        <v>254</v>
      </c>
    </row>
    <row r="7" spans="4:13" x14ac:dyDescent="0.25">
      <c r="D7" s="128" t="s">
        <v>255</v>
      </c>
      <c r="E7" s="319">
        <f>SUMIF('IV-Attach UT CREA 8.2'!$C$3:$C$230,1,'IV-Attach UT CREA 8.2'!$D$3:$D$230)</f>
        <v>2031697</v>
      </c>
      <c r="F7" s="48">
        <v>254</v>
      </c>
      <c r="G7" s="48">
        <f>E7/F7</f>
        <v>7998.8070866141734</v>
      </c>
      <c r="H7" s="52">
        <f>G7/12</f>
        <v>666.56725721784778</v>
      </c>
      <c r="I7" s="395">
        <f>H7*$E$28</f>
        <v>3.3373793364781825</v>
      </c>
      <c r="J7" s="52">
        <f>ROUND(0.8*E7,0)</f>
        <v>1625358</v>
      </c>
      <c r="K7" s="395">
        <f>J7*$E$28</f>
        <v>8137.8677767946374</v>
      </c>
      <c r="L7" s="52">
        <f>ROUND(F7*0.8,0)</f>
        <v>203</v>
      </c>
      <c r="M7" s="395">
        <f>3.1*L7*12</f>
        <v>7551.6</v>
      </c>
    </row>
    <row r="8" spans="4:13" x14ac:dyDescent="0.25">
      <c r="D8" s="128" t="s">
        <v>256</v>
      </c>
      <c r="E8" s="319">
        <f>SUMIF('IV-Attach UT CREA 8.2'!$C$3:$C$230,1,'IV-Attach UT CREA 8.2'!$E$3:$E$230)</f>
        <v>19732866</v>
      </c>
      <c r="F8" s="48">
        <v>2758</v>
      </c>
      <c r="G8" s="48">
        <f t="shared" ref="G8:G25" si="0">E8/F8</f>
        <v>7154.773749093546</v>
      </c>
      <c r="H8" s="52">
        <f t="shared" ref="H8:H25" si="1">G8/12</f>
        <v>596.2311457577955</v>
      </c>
      <c r="I8" s="395">
        <f t="shared" ref="I8:I26" si="2">H8*$E$28</f>
        <v>2.9852193969474481</v>
      </c>
      <c r="J8" s="52">
        <f t="shared" ref="J8:J25" si="3">ROUND(0.8*E8,0)</f>
        <v>15786293</v>
      </c>
      <c r="K8" s="395">
        <f t="shared" ref="K8:K25" si="4">J8*$E$28</f>
        <v>79039.05793046132</v>
      </c>
      <c r="L8" s="52">
        <f t="shared" ref="L8:L25" si="5">ROUND(F8*0.8,0)</f>
        <v>2206</v>
      </c>
      <c r="M8" s="395">
        <f t="shared" ref="M8:M25" si="6">3.1*L8*12</f>
        <v>82063.200000000012</v>
      </c>
    </row>
    <row r="9" spans="4:13" x14ac:dyDescent="0.25">
      <c r="D9" s="128" t="s">
        <v>257</v>
      </c>
      <c r="E9" s="319">
        <f>SUMIF('IV-Attach UT CREA 8.2'!$C$3:$C$230,1,'IV-Attach UT CREA 8.2'!$F$3:$F$230)</f>
        <v>3734548</v>
      </c>
      <c r="F9" s="48">
        <v>218</v>
      </c>
      <c r="G9" s="48">
        <f t="shared" si="0"/>
        <v>17130.954128440368</v>
      </c>
      <c r="H9" s="52">
        <f t="shared" si="1"/>
        <v>1427.5795107033639</v>
      </c>
      <c r="I9" s="395">
        <f t="shared" si="2"/>
        <v>7.1476273528448253</v>
      </c>
      <c r="J9" s="52">
        <f t="shared" si="3"/>
        <v>2987638</v>
      </c>
      <c r="K9" s="395">
        <f t="shared" si="4"/>
        <v>14958.552521307414</v>
      </c>
      <c r="L9" s="52">
        <f t="shared" si="5"/>
        <v>174</v>
      </c>
      <c r="M9" s="395">
        <f t="shared" si="6"/>
        <v>6472.7999999999993</v>
      </c>
    </row>
    <row r="10" spans="4:13" x14ac:dyDescent="0.25">
      <c r="D10" s="128" t="s">
        <v>258</v>
      </c>
      <c r="E10" s="319">
        <f>SUMIF('IV-Attach UT CREA 8.2'!$C$3:$C$230,1,'IV-Attach UT CREA 8.2'!$G$3:$G$230)</f>
        <v>123666687</v>
      </c>
      <c r="F10" s="48">
        <v>13369</v>
      </c>
      <c r="G10" s="48">
        <f t="shared" si="0"/>
        <v>9250.2570872914948</v>
      </c>
      <c r="H10" s="52">
        <f t="shared" si="1"/>
        <v>770.85475727429127</v>
      </c>
      <c r="I10" s="395">
        <f t="shared" si="2"/>
        <v>3.8595276177994671</v>
      </c>
      <c r="J10" s="52">
        <f t="shared" si="3"/>
        <v>98933350</v>
      </c>
      <c r="K10" s="395">
        <f t="shared" si="4"/>
        <v>495341.03933739261</v>
      </c>
      <c r="L10" s="52">
        <f t="shared" si="5"/>
        <v>10695</v>
      </c>
      <c r="M10" s="395">
        <f t="shared" si="6"/>
        <v>397854</v>
      </c>
    </row>
    <row r="11" spans="4:13" x14ac:dyDescent="0.25">
      <c r="D11" s="128" t="s">
        <v>259</v>
      </c>
      <c r="E11" s="319">
        <f>SUMIF('IV-Attach UT CREA 8.2'!$C$3:$C$230,1,'IV-Attach UT CREA 8.2'!$H$3:$H$230)</f>
        <v>5959034</v>
      </c>
      <c r="F11" s="48">
        <v>449</v>
      </c>
      <c r="G11" s="48">
        <f t="shared" si="0"/>
        <v>13271.790645879733</v>
      </c>
      <c r="H11" s="52">
        <f t="shared" si="1"/>
        <v>1105.982553823311</v>
      </c>
      <c r="I11" s="395">
        <f t="shared" si="2"/>
        <v>5.5374506948350843</v>
      </c>
      <c r="J11" s="52">
        <f t="shared" si="3"/>
        <v>4767227</v>
      </c>
      <c r="K11" s="395">
        <f t="shared" si="4"/>
        <v>23868.626473654032</v>
      </c>
      <c r="L11" s="52">
        <f t="shared" si="5"/>
        <v>359</v>
      </c>
      <c r="M11" s="395">
        <f t="shared" si="6"/>
        <v>13354.800000000001</v>
      </c>
    </row>
    <row r="12" spans="4:13" x14ac:dyDescent="0.25">
      <c r="D12" s="128" t="s">
        <v>260</v>
      </c>
      <c r="E12" s="319">
        <f>SUMIF('IV-Attach UT CREA 8.2'!$C$3:$C$230,1,'IV-Attach UT CREA 8.2'!$I$3:$I$230)</f>
        <v>122707586</v>
      </c>
      <c r="F12" s="48">
        <v>12044</v>
      </c>
      <c r="G12" s="48">
        <f t="shared" si="0"/>
        <v>10188.275157754899</v>
      </c>
      <c r="H12" s="52">
        <f t="shared" si="1"/>
        <v>849.02292981290827</v>
      </c>
      <c r="I12" s="395">
        <f t="shared" si="2"/>
        <v>4.2509012428549537</v>
      </c>
      <c r="J12" s="52">
        <f t="shared" si="3"/>
        <v>98166069</v>
      </c>
      <c r="K12" s="395">
        <f t="shared" si="4"/>
        <v>491499.40486323566</v>
      </c>
      <c r="L12" s="52">
        <f t="shared" si="5"/>
        <v>9635</v>
      </c>
      <c r="M12" s="395">
        <f t="shared" si="6"/>
        <v>358422</v>
      </c>
    </row>
    <row r="13" spans="4:13" x14ac:dyDescent="0.25">
      <c r="D13" s="128" t="s">
        <v>261</v>
      </c>
      <c r="E13" s="319">
        <f>SUMIF('IV-Attach UT CREA 8.2'!$C$3:$C$230,1,'IV-Attach UT CREA 8.2'!$J$3:$J$230)</f>
        <v>80458694</v>
      </c>
      <c r="F13" s="48">
        <v>9922</v>
      </c>
      <c r="G13" s="48">
        <f t="shared" si="0"/>
        <v>8109.1205402136666</v>
      </c>
      <c r="H13" s="52">
        <f t="shared" si="1"/>
        <v>675.76004501780551</v>
      </c>
      <c r="I13" s="395">
        <f t="shared" si="2"/>
        <v>3.3834059297678993</v>
      </c>
      <c r="J13" s="52">
        <f t="shared" si="3"/>
        <v>64366955</v>
      </c>
      <c r="K13" s="395">
        <f t="shared" si="4"/>
        <v>322273.47389614501</v>
      </c>
      <c r="L13" s="52">
        <f t="shared" si="5"/>
        <v>7938</v>
      </c>
      <c r="M13" s="395">
        <f t="shared" si="6"/>
        <v>295293.59999999998</v>
      </c>
    </row>
    <row r="14" spans="4:13" x14ac:dyDescent="0.25">
      <c r="D14" s="128" t="s">
        <v>262</v>
      </c>
      <c r="E14" s="319">
        <f>SUMIF('IV-Attach UT CREA 8.2'!$C$3:$C$230,1,'IV-Attach UT CREA 8.2'!$K$3:$K$230)</f>
        <v>97645765</v>
      </c>
      <c r="F14" s="48">
        <v>14790</v>
      </c>
      <c r="G14" s="48">
        <f t="shared" si="0"/>
        <v>6602.147734956051</v>
      </c>
      <c r="H14" s="52">
        <f t="shared" si="1"/>
        <v>550.17897791300425</v>
      </c>
      <c r="I14" s="395">
        <f t="shared" si="2"/>
        <v>2.7546446849420532</v>
      </c>
      <c r="J14" s="52">
        <f t="shared" si="3"/>
        <v>78116612</v>
      </c>
      <c r="K14" s="395">
        <f t="shared" si="4"/>
        <v>391115.47094681254</v>
      </c>
      <c r="L14" s="52">
        <f t="shared" si="5"/>
        <v>11832</v>
      </c>
      <c r="M14" s="395">
        <f t="shared" si="6"/>
        <v>440150.4</v>
      </c>
    </row>
    <row r="15" spans="4:13" x14ac:dyDescent="0.25">
      <c r="D15" s="128" t="s">
        <v>263</v>
      </c>
      <c r="E15" s="319">
        <f>SUMIF('IV-Attach UT CREA 8.2'!$C$3:$C$230,1,'IV-Attach UT CREA 8.2'!$L$3:$L$230)</f>
        <v>177211646</v>
      </c>
      <c r="F15" s="48">
        <v>23025</v>
      </c>
      <c r="G15" s="48">
        <f t="shared" si="0"/>
        <v>7696.4884256243213</v>
      </c>
      <c r="H15" s="52">
        <f t="shared" si="1"/>
        <v>641.37403546869348</v>
      </c>
      <c r="I15" s="395">
        <f t="shared" si="2"/>
        <v>3.2112415210147067</v>
      </c>
      <c r="J15" s="52">
        <f t="shared" si="3"/>
        <v>141769317</v>
      </c>
      <c r="K15" s="395">
        <f t="shared" si="4"/>
        <v>709812.82680645387</v>
      </c>
      <c r="L15" s="52">
        <f t="shared" si="5"/>
        <v>18420</v>
      </c>
      <c r="M15" s="395">
        <f t="shared" si="6"/>
        <v>685224</v>
      </c>
    </row>
    <row r="16" spans="4:13" x14ac:dyDescent="0.25">
      <c r="D16" s="128" t="s">
        <v>264</v>
      </c>
      <c r="E16" s="319">
        <f>SUMIF('IV-Attach UT CREA 8.2'!$C$3:$C$230,1,'IV-Attach UT CREA 8.2'!$M$3:$M$230)</f>
        <v>553499773</v>
      </c>
      <c r="F16" s="48">
        <v>93422</v>
      </c>
      <c r="G16" s="48">
        <f t="shared" si="0"/>
        <v>5924.7262208045213</v>
      </c>
      <c r="H16" s="52">
        <f t="shared" si="1"/>
        <v>493.72718506704342</v>
      </c>
      <c r="I16" s="395">
        <f t="shared" si="2"/>
        <v>2.4720009683310478</v>
      </c>
      <c r="J16" s="52">
        <f t="shared" si="3"/>
        <v>442799818</v>
      </c>
      <c r="K16" s="395">
        <f t="shared" si="4"/>
        <v>2217017.032846136</v>
      </c>
      <c r="L16" s="52">
        <f t="shared" si="5"/>
        <v>74738</v>
      </c>
      <c r="M16" s="395">
        <f t="shared" si="6"/>
        <v>2780253.6</v>
      </c>
    </row>
    <row r="17" spans="4:13" x14ac:dyDescent="0.25">
      <c r="D17" s="128" t="s">
        <v>265</v>
      </c>
      <c r="E17" s="319">
        <f>SUMIF('IV-Attach UT CREA 8.2'!$C$3:$C$230,1,'IV-Attach UT CREA 8.2'!$N$3:$N$230)</f>
        <v>7411674</v>
      </c>
      <c r="F17" s="48">
        <v>890</v>
      </c>
      <c r="G17" s="48">
        <f t="shared" si="0"/>
        <v>8327.7235955056185</v>
      </c>
      <c r="H17" s="52">
        <f t="shared" si="1"/>
        <v>693.97696629213488</v>
      </c>
      <c r="I17" s="395">
        <f t="shared" si="2"/>
        <v>3.4746146952403487</v>
      </c>
      <c r="J17" s="52">
        <f t="shared" si="3"/>
        <v>5929339</v>
      </c>
      <c r="K17" s="395">
        <f t="shared" si="4"/>
        <v>29687.106954770417</v>
      </c>
      <c r="L17" s="52">
        <f t="shared" si="5"/>
        <v>712</v>
      </c>
      <c r="M17" s="395">
        <f t="shared" si="6"/>
        <v>26486.400000000001</v>
      </c>
    </row>
    <row r="18" spans="4:13" x14ac:dyDescent="0.25">
      <c r="D18" s="128" t="s">
        <v>266</v>
      </c>
      <c r="E18" s="319">
        <f>SUMIF('IV-Attach UT CREA 8.2'!$C$3:$C$230,1,'IV-Attach UT CREA 8.2'!$O$3:$O$230)</f>
        <v>6636454</v>
      </c>
      <c r="F18" s="48">
        <v>676</v>
      </c>
      <c r="G18" s="48">
        <f t="shared" si="0"/>
        <v>9817.2396449704138</v>
      </c>
      <c r="H18" s="52">
        <f t="shared" si="1"/>
        <v>818.10330374753448</v>
      </c>
      <c r="I18" s="395">
        <f t="shared" si="2"/>
        <v>4.0960923769755935</v>
      </c>
      <c r="J18" s="52">
        <f t="shared" si="3"/>
        <v>5309163</v>
      </c>
      <c r="K18" s="395">
        <f t="shared" si="4"/>
        <v>26582.000088257693</v>
      </c>
      <c r="L18" s="52">
        <f t="shared" si="5"/>
        <v>541</v>
      </c>
      <c r="M18" s="395">
        <f t="shared" si="6"/>
        <v>20125.2</v>
      </c>
    </row>
    <row r="19" spans="4:13" x14ac:dyDescent="0.25">
      <c r="D19" s="128" t="s">
        <v>267</v>
      </c>
      <c r="E19" s="319">
        <f>SUMIF('IV-Attach UT CREA 8.2'!$C$3:$C$230,1,'IV-Attach UT CREA 8.2'!$P$3:$P$230)</f>
        <v>7286693</v>
      </c>
      <c r="F19" s="48">
        <v>620</v>
      </c>
      <c r="G19" s="48">
        <f t="shared" si="0"/>
        <v>11752.730645161289</v>
      </c>
      <c r="H19" s="52">
        <f t="shared" si="1"/>
        <v>979.39422043010745</v>
      </c>
      <c r="I19" s="395">
        <f t="shared" si="2"/>
        <v>4.9036462534512859</v>
      </c>
      <c r="J19" s="52">
        <f t="shared" si="3"/>
        <v>5829354</v>
      </c>
      <c r="K19" s="395">
        <f t="shared" si="4"/>
        <v>29186.500497815821</v>
      </c>
      <c r="L19" s="52">
        <f t="shared" si="5"/>
        <v>496</v>
      </c>
      <c r="M19" s="395">
        <f t="shared" si="6"/>
        <v>18451.2</v>
      </c>
    </row>
    <row r="20" spans="4:13" x14ac:dyDescent="0.25">
      <c r="D20" s="128" t="s">
        <v>268</v>
      </c>
      <c r="E20" s="319">
        <f>SUMIF('IV-Attach UT CREA 8.2'!$C$3:$C$230,1,'IV-Attach UT CREA 8.2'!$Q$3:$Q$230)</f>
        <v>129733111</v>
      </c>
      <c r="F20" s="48">
        <v>9044</v>
      </c>
      <c r="G20" s="48">
        <f t="shared" si="0"/>
        <v>14344.660659000443</v>
      </c>
      <c r="H20" s="52">
        <f t="shared" si="1"/>
        <v>1195.388388250037</v>
      </c>
      <c r="I20" s="395">
        <f t="shared" si="2"/>
        <v>5.985089220648284</v>
      </c>
      <c r="J20" s="52">
        <f t="shared" si="3"/>
        <v>103786489</v>
      </c>
      <c r="K20" s="395">
        <f t="shared" si="4"/>
        <v>519639.81135217659</v>
      </c>
      <c r="L20" s="52">
        <f t="shared" si="5"/>
        <v>7235</v>
      </c>
      <c r="M20" s="395">
        <f t="shared" si="6"/>
        <v>269142</v>
      </c>
    </row>
    <row r="21" spans="4:13" x14ac:dyDescent="0.25">
      <c r="D21" s="128" t="s">
        <v>269</v>
      </c>
      <c r="E21" s="319">
        <f>SUMIF('IV-Attach UT CREA 8.2'!$C$3:$C$230,1,'IV-Attach UT CREA 8.2'!$R$3:$R$230)</f>
        <v>4607856</v>
      </c>
      <c r="F21" s="48">
        <v>449</v>
      </c>
      <c r="G21" s="48">
        <f t="shared" si="0"/>
        <v>10262.485523385301</v>
      </c>
      <c r="H21" s="52">
        <f t="shared" si="1"/>
        <v>855.20712694877511</v>
      </c>
      <c r="I21" s="395">
        <f t="shared" si="2"/>
        <v>4.2818643774981009</v>
      </c>
      <c r="J21" s="52">
        <f t="shared" si="3"/>
        <v>3686285</v>
      </c>
      <c r="K21" s="395">
        <f t="shared" si="4"/>
        <v>18456.54921413093</v>
      </c>
      <c r="L21" s="52">
        <f t="shared" si="5"/>
        <v>359</v>
      </c>
      <c r="M21" s="395">
        <f t="shared" si="6"/>
        <v>13354.800000000001</v>
      </c>
    </row>
    <row r="22" spans="4:13" x14ac:dyDescent="0.25">
      <c r="D22" s="128" t="s">
        <v>270</v>
      </c>
      <c r="E22" s="319">
        <f>SUMIF('IV-Attach UT CREA 8.2'!$C$3:$C$230,1,'IV-Attach UT CREA 8.2'!$S$3:$S$230)</f>
        <v>221952069</v>
      </c>
      <c r="F22" s="48">
        <v>31614</v>
      </c>
      <c r="G22" s="48">
        <f t="shared" si="0"/>
        <v>7020.6892199658378</v>
      </c>
      <c r="H22" s="52">
        <f t="shared" si="1"/>
        <v>585.05743499715311</v>
      </c>
      <c r="I22" s="395">
        <f t="shared" si="2"/>
        <v>2.9292746876918532</v>
      </c>
      <c r="J22" s="52">
        <f t="shared" si="3"/>
        <v>177561655</v>
      </c>
      <c r="K22" s="395">
        <f t="shared" si="4"/>
        <v>889018.46277486335</v>
      </c>
      <c r="L22" s="52">
        <f t="shared" si="5"/>
        <v>25291</v>
      </c>
      <c r="M22" s="395">
        <f t="shared" si="6"/>
        <v>940825.20000000007</v>
      </c>
    </row>
    <row r="23" spans="4:13" x14ac:dyDescent="0.25">
      <c r="D23" s="128" t="s">
        <v>271</v>
      </c>
      <c r="E23" s="48">
        <f>SUMIF('IV-Attach UT CREA 8.2'!$C$3:$C$230,1,'IV-Attach UT CREA 8.2'!$X$3:$X$230)</f>
        <v>22778078</v>
      </c>
      <c r="F23" s="48">
        <v>2664</v>
      </c>
      <c r="G23" s="48">
        <f t="shared" si="0"/>
        <v>8550.3295795795802</v>
      </c>
      <c r="H23" s="52">
        <f t="shared" si="1"/>
        <v>712.52746496496502</v>
      </c>
      <c r="I23" s="395">
        <f t="shared" si="2"/>
        <v>3.5674936212327122</v>
      </c>
      <c r="J23" s="52">
        <f t="shared" si="3"/>
        <v>18222462</v>
      </c>
      <c r="K23" s="395">
        <f t="shared" si="4"/>
        <v>91236.50686412763</v>
      </c>
      <c r="L23" s="52">
        <f t="shared" si="5"/>
        <v>2131</v>
      </c>
      <c r="M23" s="395">
        <f t="shared" si="6"/>
        <v>79273.200000000012</v>
      </c>
    </row>
    <row r="24" spans="4:13" x14ac:dyDescent="0.25">
      <c r="D24" s="128" t="s">
        <v>272</v>
      </c>
      <c r="E24" s="48">
        <f>SUMIF('IV-Attach UT CREA 8.2'!$C$3:$C$230,1,'IV-Attach UT CREA 8.2'!$AN$3:$AN$230)</f>
        <v>80367350</v>
      </c>
      <c r="F24" s="48">
        <v>10342</v>
      </c>
      <c r="G24" s="48">
        <f t="shared" si="0"/>
        <v>7770.9678978920901</v>
      </c>
      <c r="H24" s="52">
        <f t="shared" si="1"/>
        <v>647.58065815767418</v>
      </c>
      <c r="I24" s="395">
        <f t="shared" si="2"/>
        <v>3.2423169362668407</v>
      </c>
      <c r="J24" s="52">
        <f t="shared" si="3"/>
        <v>64293880</v>
      </c>
      <c r="K24" s="395">
        <f t="shared" si="4"/>
        <v>321907.60084676801</v>
      </c>
      <c r="L24" s="52">
        <f t="shared" si="5"/>
        <v>8274</v>
      </c>
      <c r="M24" s="395">
        <f t="shared" si="6"/>
        <v>307792.80000000005</v>
      </c>
    </row>
    <row r="25" spans="4:13" x14ac:dyDescent="0.25">
      <c r="D25" s="128" t="s">
        <v>273</v>
      </c>
      <c r="E25" s="48">
        <f>SUMIF('IV-Attach UT CREA 8.2'!$C$3:$C$230,1,'IV-Attach UT CREA 8.2'!$AV$3:$AV$230)</f>
        <v>153472125</v>
      </c>
      <c r="F25" s="48">
        <v>10342</v>
      </c>
      <c r="G25" s="48">
        <f t="shared" si="0"/>
        <v>14839.694933281764</v>
      </c>
      <c r="H25" s="52">
        <f t="shared" si="1"/>
        <v>1236.6412444401469</v>
      </c>
      <c r="I25" s="395">
        <f t="shared" si="2"/>
        <v>6.1916346642307065</v>
      </c>
      <c r="J25" s="52">
        <f t="shared" si="3"/>
        <v>122777700</v>
      </c>
      <c r="K25" s="395">
        <f t="shared" si="4"/>
        <v>614725.30269575003</v>
      </c>
      <c r="L25" s="52">
        <f t="shared" si="5"/>
        <v>8274</v>
      </c>
      <c r="M25" s="395">
        <f t="shared" si="6"/>
        <v>307792.80000000005</v>
      </c>
    </row>
    <row r="26" spans="4:13" x14ac:dyDescent="0.25">
      <c r="D26" s="58" t="s">
        <v>274</v>
      </c>
      <c r="E26" s="320">
        <f>SUM(E7:E25)</f>
        <v>1820893706</v>
      </c>
      <c r="F26" s="320">
        <f>SUM(F7:F25)</f>
        <v>236892</v>
      </c>
      <c r="G26" s="321">
        <f>E26/F26</f>
        <v>7686.5985596812052</v>
      </c>
      <c r="H26" s="320">
        <f>(E26/F26)/12</f>
        <v>640.5498799734338</v>
      </c>
      <c r="I26" s="395">
        <f t="shared" si="2"/>
        <v>3.207115126430903</v>
      </c>
      <c r="J26" s="320">
        <f>SUM(J7:J25)</f>
        <v>1456714964</v>
      </c>
      <c r="K26" s="397">
        <f>SUM(K7:K25)</f>
        <v>7293503.1946870554</v>
      </c>
      <c r="L26" s="320">
        <f>SUM(L7:L25)</f>
        <v>189513</v>
      </c>
      <c r="M26" s="398">
        <f>SUM(M7:M25)</f>
        <v>7049883.6000000006</v>
      </c>
    </row>
    <row r="28" spans="4:13" x14ac:dyDescent="0.25">
      <c r="D28" s="117" t="s">
        <v>275</v>
      </c>
      <c r="E28" s="396">
        <f>'[2]Forecast Assumptions'!$A$36</f>
        <v>5.0068155918847647E-3</v>
      </c>
    </row>
  </sheetData>
  <printOptions horizontalCentered="1" verticalCentered="1"/>
  <pageMargins left="0.7" right="0.7" top="0.75" bottom="0.75" header="0.3" footer="0.3"/>
  <pageSetup scale="74"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1B3B3-B6D9-4955-8675-E5F4EFD7E982}">
  <dimension ref="A1:BD233"/>
  <sheetViews>
    <sheetView workbookViewId="0">
      <pane xSplit="3" ySplit="2" topLeftCell="D3" activePane="bottomRight" state="frozen"/>
      <selection pane="topRight" activeCell="D1" sqref="D1"/>
      <selection pane="bottomLeft" activeCell="A3" sqref="A3"/>
      <selection pane="bottomRight" activeCell="C3" sqref="C3:C230"/>
    </sheetView>
  </sheetViews>
  <sheetFormatPr defaultColWidth="9.140625" defaultRowHeight="12.75" x14ac:dyDescent="0.2"/>
  <cols>
    <col min="1" max="1" width="9.140625" style="22"/>
    <col min="2" max="2" width="10.7109375" style="22" customWidth="1"/>
    <col min="3" max="3" width="9.140625" style="22"/>
    <col min="4" max="19" width="15.7109375" style="35" customWidth="1"/>
    <col min="20" max="20" width="15.7109375" style="40" customWidth="1"/>
    <col min="21" max="21" width="2.7109375" style="35" customWidth="1"/>
    <col min="22" max="23" width="15.7109375" style="35" customWidth="1"/>
    <col min="24" max="24" width="15.7109375" style="40" customWidth="1"/>
    <col min="25" max="25" width="2.7109375" style="35" customWidth="1"/>
    <col min="26" max="30" width="15.7109375" style="35" customWidth="1"/>
    <col min="31" max="39" width="15.7109375" style="22" customWidth="1"/>
    <col min="40" max="40" width="15.7109375" style="41" customWidth="1"/>
    <col min="41" max="41" width="5.7109375" style="22" customWidth="1"/>
    <col min="42" max="47" width="15.7109375" style="22" customWidth="1"/>
    <col min="48" max="48" width="15.7109375" style="41" customWidth="1"/>
    <col min="49" max="49" width="5.7109375" style="22" customWidth="1"/>
    <col min="50" max="50" width="15.7109375" style="41" customWidth="1"/>
    <col min="51" max="16384" width="9.140625" style="22"/>
  </cols>
  <sheetData>
    <row r="1" spans="1:56" x14ac:dyDescent="0.2">
      <c r="D1" s="23" t="s">
        <v>276</v>
      </c>
      <c r="E1" s="23" t="s">
        <v>276</v>
      </c>
      <c r="F1" s="23" t="s">
        <v>277</v>
      </c>
      <c r="G1" s="23" t="s">
        <v>277</v>
      </c>
      <c r="H1" s="23" t="s">
        <v>277</v>
      </c>
      <c r="I1" s="23" t="s">
        <v>277</v>
      </c>
      <c r="J1" s="23" t="s">
        <v>277</v>
      </c>
      <c r="K1" s="23" t="s">
        <v>277</v>
      </c>
      <c r="L1" s="23" t="s">
        <v>277</v>
      </c>
      <c r="M1" s="23" t="s">
        <v>277</v>
      </c>
      <c r="N1" s="24" t="s">
        <v>278</v>
      </c>
      <c r="O1" s="24" t="s">
        <v>278</v>
      </c>
      <c r="P1" s="24" t="s">
        <v>278</v>
      </c>
      <c r="Q1" s="24" t="s">
        <v>278</v>
      </c>
      <c r="R1" s="23" t="s">
        <v>279</v>
      </c>
      <c r="S1" s="23" t="s">
        <v>280</v>
      </c>
      <c r="T1" s="25"/>
      <c r="U1" s="23"/>
      <c r="V1" s="23" t="s">
        <v>276</v>
      </c>
      <c r="W1" s="23" t="s">
        <v>276</v>
      </c>
      <c r="X1" s="26" t="s">
        <v>276</v>
      </c>
      <c r="Y1" s="23"/>
      <c r="Z1" s="23" t="s">
        <v>277</v>
      </c>
      <c r="AA1" s="23" t="s">
        <v>277</v>
      </c>
      <c r="AB1" s="23" t="s">
        <v>277</v>
      </c>
      <c r="AC1" s="23" t="s">
        <v>277</v>
      </c>
      <c r="AD1" s="23" t="s">
        <v>277</v>
      </c>
      <c r="AE1" s="23" t="s">
        <v>277</v>
      </c>
      <c r="AF1" s="23" t="s">
        <v>277</v>
      </c>
      <c r="AG1" s="23" t="s">
        <v>277</v>
      </c>
      <c r="AH1" s="23" t="s">
        <v>277</v>
      </c>
      <c r="AI1" s="23" t="s">
        <v>277</v>
      </c>
      <c r="AJ1" s="23" t="s">
        <v>277</v>
      </c>
      <c r="AK1" s="23" t="s">
        <v>277</v>
      </c>
      <c r="AL1" s="23" t="s">
        <v>277</v>
      </c>
      <c r="AM1" s="23" t="s">
        <v>277</v>
      </c>
      <c r="AN1" s="26" t="s">
        <v>277</v>
      </c>
      <c r="AO1" s="23"/>
      <c r="AP1" s="27" t="s">
        <v>278</v>
      </c>
      <c r="AQ1" s="27" t="s">
        <v>278</v>
      </c>
      <c r="AR1" s="27" t="s">
        <v>278</v>
      </c>
      <c r="AS1" s="27" t="s">
        <v>278</v>
      </c>
      <c r="AT1" s="27" t="s">
        <v>278</v>
      </c>
      <c r="AU1" s="27" t="s">
        <v>278</v>
      </c>
      <c r="AV1" s="28" t="s">
        <v>278</v>
      </c>
      <c r="AW1" s="27"/>
      <c r="AX1" s="26"/>
      <c r="AY1" s="23"/>
      <c r="AZ1" s="23"/>
      <c r="BA1" s="23"/>
      <c r="BB1" s="23"/>
      <c r="BC1" s="23"/>
      <c r="BD1" s="23"/>
    </row>
    <row r="2" spans="1:56" ht="25.5" x14ac:dyDescent="0.2">
      <c r="A2" s="29" t="s">
        <v>281</v>
      </c>
      <c r="B2" s="30" t="s">
        <v>282</v>
      </c>
      <c r="C2" s="22" t="s">
        <v>218</v>
      </c>
      <c r="D2" s="31" t="s">
        <v>255</v>
      </c>
      <c r="E2" s="31" t="s">
        <v>256</v>
      </c>
      <c r="F2" s="31" t="s">
        <v>257</v>
      </c>
      <c r="G2" s="31" t="s">
        <v>258</v>
      </c>
      <c r="H2" s="31" t="s">
        <v>259</v>
      </c>
      <c r="I2" s="31" t="s">
        <v>260</v>
      </c>
      <c r="J2" s="31" t="s">
        <v>261</v>
      </c>
      <c r="K2" s="32" t="s">
        <v>262</v>
      </c>
      <c r="L2" s="31" t="s">
        <v>263</v>
      </c>
      <c r="M2" s="31" t="s">
        <v>264</v>
      </c>
      <c r="N2" s="31" t="s">
        <v>265</v>
      </c>
      <c r="O2" s="31" t="s">
        <v>266</v>
      </c>
      <c r="P2" s="31" t="s">
        <v>267</v>
      </c>
      <c r="Q2" s="31" t="s">
        <v>268</v>
      </c>
      <c r="R2" s="31" t="s">
        <v>269</v>
      </c>
      <c r="S2" s="33" t="s">
        <v>270</v>
      </c>
      <c r="T2" s="34" t="s">
        <v>283</v>
      </c>
      <c r="V2" s="32" t="s">
        <v>284</v>
      </c>
      <c r="W2" s="36" t="s">
        <v>285</v>
      </c>
      <c r="X2" s="37" t="s">
        <v>286</v>
      </c>
      <c r="Z2" s="32" t="s">
        <v>287</v>
      </c>
      <c r="AA2" s="32" t="s">
        <v>288</v>
      </c>
      <c r="AB2" s="32" t="s">
        <v>289</v>
      </c>
      <c r="AC2" s="32" t="s">
        <v>290</v>
      </c>
      <c r="AD2" s="32" t="s">
        <v>291</v>
      </c>
      <c r="AE2" s="32" t="s">
        <v>292</v>
      </c>
      <c r="AF2" s="32" t="s">
        <v>293</v>
      </c>
      <c r="AG2" s="32" t="s">
        <v>294</v>
      </c>
      <c r="AH2" s="32" t="s">
        <v>295</v>
      </c>
      <c r="AI2" s="32" t="s">
        <v>296</v>
      </c>
      <c r="AJ2" s="32" t="s">
        <v>297</v>
      </c>
      <c r="AK2" s="32" t="s">
        <v>298</v>
      </c>
      <c r="AL2" s="36" t="s">
        <v>299</v>
      </c>
      <c r="AN2" s="38" t="s">
        <v>286</v>
      </c>
      <c r="AP2" s="32" t="s">
        <v>300</v>
      </c>
      <c r="AQ2" s="32" t="s">
        <v>301</v>
      </c>
      <c r="AR2" s="32" t="s">
        <v>302</v>
      </c>
      <c r="AS2" s="32" t="s">
        <v>303</v>
      </c>
      <c r="AT2" s="32" t="s">
        <v>304</v>
      </c>
      <c r="AU2" s="36" t="s">
        <v>305</v>
      </c>
      <c r="AV2" s="38" t="s">
        <v>286</v>
      </c>
      <c r="AX2" s="39" t="s">
        <v>306</v>
      </c>
    </row>
    <row r="3" spans="1:56" x14ac:dyDescent="0.2">
      <c r="A3" s="29">
        <v>1</v>
      </c>
      <c r="B3" s="29">
        <v>202301</v>
      </c>
      <c r="C3" s="29">
        <v>1</v>
      </c>
      <c r="D3" s="35">
        <v>237790</v>
      </c>
      <c r="E3" s="35">
        <v>1844355</v>
      </c>
      <c r="F3" s="35">
        <v>578111</v>
      </c>
      <c r="G3" s="35">
        <v>11708185</v>
      </c>
      <c r="H3" s="35">
        <v>787984</v>
      </c>
      <c r="I3" s="35">
        <v>11367190</v>
      </c>
      <c r="J3" s="35">
        <v>7518146</v>
      </c>
      <c r="K3" s="35">
        <v>8224475</v>
      </c>
      <c r="L3" s="35">
        <v>16343648</v>
      </c>
      <c r="M3" s="35">
        <v>51031969</v>
      </c>
      <c r="N3" s="35">
        <v>767944</v>
      </c>
      <c r="O3" s="35">
        <v>762186</v>
      </c>
      <c r="P3" s="35">
        <v>841091</v>
      </c>
      <c r="Q3" s="35">
        <v>18169960</v>
      </c>
      <c r="R3" s="35">
        <v>570075</v>
      </c>
      <c r="S3" s="35">
        <v>18049515</v>
      </c>
      <c r="T3" s="40">
        <f t="shared" ref="T3:T66" si="0">SUM(D3:S3)</f>
        <v>148802624</v>
      </c>
      <c r="V3" s="35">
        <v>2071084</v>
      </c>
      <c r="W3" s="35">
        <v>33674</v>
      </c>
      <c r="X3" s="40">
        <f>SUM(V3:W3)</f>
        <v>2104758</v>
      </c>
      <c r="Z3" s="35">
        <v>18343</v>
      </c>
      <c r="AA3" s="35">
        <v>13792</v>
      </c>
      <c r="AB3" s="35">
        <v>730802</v>
      </c>
      <c r="AC3" s="35">
        <v>255396</v>
      </c>
      <c r="AD3" s="35">
        <v>81559</v>
      </c>
      <c r="AE3" s="35">
        <v>436916</v>
      </c>
      <c r="AF3" s="35">
        <v>1491859</v>
      </c>
      <c r="AG3" s="35">
        <v>2150485</v>
      </c>
      <c r="AH3" s="35">
        <v>10839</v>
      </c>
      <c r="AI3" s="35">
        <v>627844</v>
      </c>
      <c r="AJ3" s="35">
        <v>45667</v>
      </c>
      <c r="AK3" s="35">
        <v>1097401</v>
      </c>
      <c r="AL3" s="35">
        <v>184283</v>
      </c>
      <c r="AM3" s="35">
        <v>0</v>
      </c>
      <c r="AN3" s="40">
        <f>SUM(Z3:AM3)</f>
        <v>7145186</v>
      </c>
      <c r="AO3" s="35"/>
      <c r="AP3" s="35">
        <v>1313282</v>
      </c>
      <c r="AQ3" s="35">
        <v>220394</v>
      </c>
      <c r="AR3" s="35">
        <v>7434416</v>
      </c>
      <c r="AS3" s="35">
        <v>145549</v>
      </c>
      <c r="AT3" s="35">
        <v>11145835</v>
      </c>
      <c r="AU3" s="35">
        <v>71548</v>
      </c>
      <c r="AV3" s="40">
        <f>SUM(AP3:AU3)</f>
        <v>20331024</v>
      </c>
      <c r="AX3" s="40">
        <f>AV3+AN3+X3+T3</f>
        <v>178383592</v>
      </c>
    </row>
    <row r="4" spans="1:56" x14ac:dyDescent="0.2">
      <c r="A4" s="29">
        <v>1</v>
      </c>
      <c r="B4" s="29">
        <v>202301</v>
      </c>
      <c r="C4" s="29">
        <v>2</v>
      </c>
      <c r="D4" s="35">
        <v>3</v>
      </c>
      <c r="E4" s="35">
        <v>0</v>
      </c>
      <c r="F4" s="35">
        <v>0</v>
      </c>
      <c r="G4" s="35">
        <v>27449</v>
      </c>
      <c r="H4" s="35">
        <v>1154</v>
      </c>
      <c r="I4" s="35">
        <v>20540</v>
      </c>
      <c r="J4" s="35">
        <v>2384</v>
      </c>
      <c r="K4" s="35">
        <v>6842</v>
      </c>
      <c r="L4" s="35">
        <v>39697</v>
      </c>
      <c r="M4" s="35">
        <v>107334</v>
      </c>
      <c r="N4" s="35">
        <v>986</v>
      </c>
      <c r="O4" s="35">
        <v>0</v>
      </c>
      <c r="P4" s="35">
        <v>2623</v>
      </c>
      <c r="Q4" s="35">
        <v>27407</v>
      </c>
      <c r="R4" s="35">
        <v>0</v>
      </c>
      <c r="S4" s="35">
        <v>26338</v>
      </c>
      <c r="T4" s="40">
        <f t="shared" si="0"/>
        <v>262757</v>
      </c>
      <c r="V4" s="35">
        <v>464</v>
      </c>
      <c r="W4" s="35">
        <v>0</v>
      </c>
      <c r="X4" s="40">
        <f t="shared" ref="X4:X21" si="1">SUM(V4:W4)</f>
        <v>464</v>
      </c>
      <c r="Z4" s="35">
        <v>0</v>
      </c>
      <c r="AA4" s="35">
        <v>0</v>
      </c>
      <c r="AB4" s="35">
        <v>1245</v>
      </c>
      <c r="AC4" s="35">
        <v>972</v>
      </c>
      <c r="AD4" s="35">
        <v>0</v>
      </c>
      <c r="AE4" s="35">
        <v>588</v>
      </c>
      <c r="AF4" s="35">
        <v>1886</v>
      </c>
      <c r="AG4" s="35">
        <v>4428</v>
      </c>
      <c r="AH4" s="35">
        <v>0</v>
      </c>
      <c r="AI4" s="35">
        <v>330</v>
      </c>
      <c r="AJ4" s="35">
        <v>0</v>
      </c>
      <c r="AK4" s="35">
        <v>1791</v>
      </c>
      <c r="AL4" s="35">
        <v>0</v>
      </c>
      <c r="AM4" s="35">
        <v>0</v>
      </c>
      <c r="AN4" s="40">
        <f t="shared" ref="AN4:AN21" si="2">SUM(Z4:AM4)</f>
        <v>11240</v>
      </c>
      <c r="AP4" s="35">
        <v>1789</v>
      </c>
      <c r="AQ4" s="35">
        <v>0</v>
      </c>
      <c r="AR4" s="35">
        <v>12295</v>
      </c>
      <c r="AS4" s="35">
        <v>0</v>
      </c>
      <c r="AT4" s="35">
        <v>42784</v>
      </c>
      <c r="AU4" s="35">
        <v>0</v>
      </c>
      <c r="AV4" s="40">
        <f t="shared" ref="AV4:AV21" si="3">SUM(AP4:AU4)</f>
        <v>56868</v>
      </c>
      <c r="AX4" s="40">
        <f t="shared" ref="AX4:AX67" si="4">AV4+AN4+X4+T4</f>
        <v>331329</v>
      </c>
    </row>
    <row r="5" spans="1:56" x14ac:dyDescent="0.2">
      <c r="A5" s="29">
        <v>1</v>
      </c>
      <c r="B5" s="29">
        <v>202301</v>
      </c>
      <c r="C5" s="29">
        <v>3</v>
      </c>
      <c r="D5" s="35">
        <v>2344</v>
      </c>
      <c r="E5" s="35">
        <v>76138</v>
      </c>
      <c r="F5" s="35">
        <v>0</v>
      </c>
      <c r="G5" s="35">
        <v>85599</v>
      </c>
      <c r="H5" s="35">
        <v>0</v>
      </c>
      <c r="I5" s="35">
        <v>64864</v>
      </c>
      <c r="J5" s="35">
        <v>237113</v>
      </c>
      <c r="K5" s="35">
        <v>312395</v>
      </c>
      <c r="L5" s="35">
        <v>294045</v>
      </c>
      <c r="M5" s="35">
        <v>1485078</v>
      </c>
      <c r="N5" s="35">
        <v>2014</v>
      </c>
      <c r="O5" s="35">
        <v>2095</v>
      </c>
      <c r="P5" s="35">
        <v>4331</v>
      </c>
      <c r="Q5" s="35">
        <v>10922</v>
      </c>
      <c r="R5" s="35">
        <v>3268</v>
      </c>
      <c r="S5" s="35">
        <v>1003007</v>
      </c>
      <c r="T5" s="40">
        <f t="shared" si="0"/>
        <v>3583213</v>
      </c>
      <c r="V5" s="35">
        <v>44030</v>
      </c>
      <c r="W5" s="35">
        <v>1901</v>
      </c>
      <c r="X5" s="40">
        <f t="shared" si="1"/>
        <v>45931</v>
      </c>
      <c r="Z5" s="35">
        <v>0</v>
      </c>
      <c r="AA5" s="35">
        <v>0</v>
      </c>
      <c r="AB5" s="35">
        <v>19426</v>
      </c>
      <c r="AC5" s="35">
        <v>22926</v>
      </c>
      <c r="AD5" s="35">
        <v>3080</v>
      </c>
      <c r="AE5" s="35">
        <v>6613</v>
      </c>
      <c r="AF5" s="35">
        <v>83342</v>
      </c>
      <c r="AG5" s="35">
        <v>12306</v>
      </c>
      <c r="AH5" s="35">
        <v>0</v>
      </c>
      <c r="AI5" s="35">
        <v>5255</v>
      </c>
      <c r="AJ5" s="35">
        <v>1200</v>
      </c>
      <c r="AK5" s="35">
        <v>8911</v>
      </c>
      <c r="AL5" s="35">
        <v>6191</v>
      </c>
      <c r="AM5" s="35">
        <v>0</v>
      </c>
      <c r="AN5" s="40">
        <f t="shared" si="2"/>
        <v>169250</v>
      </c>
      <c r="AP5" s="35">
        <v>3937</v>
      </c>
      <c r="AQ5" s="35">
        <v>1878</v>
      </c>
      <c r="AR5" s="35">
        <v>0</v>
      </c>
      <c r="AS5" s="35">
        <v>0</v>
      </c>
      <c r="AT5" s="35">
        <v>3877</v>
      </c>
      <c r="AU5" s="35">
        <v>0</v>
      </c>
      <c r="AV5" s="40">
        <f t="shared" si="3"/>
        <v>9692</v>
      </c>
      <c r="AX5" s="40">
        <f t="shared" si="4"/>
        <v>3808086</v>
      </c>
    </row>
    <row r="6" spans="1:56" x14ac:dyDescent="0.2">
      <c r="A6" s="29">
        <v>1</v>
      </c>
      <c r="B6" s="29">
        <v>202301</v>
      </c>
      <c r="C6" s="29">
        <v>6</v>
      </c>
      <c r="D6" s="35">
        <v>1955</v>
      </c>
      <c r="E6" s="35">
        <v>2798201</v>
      </c>
      <c r="F6" s="35">
        <v>572006</v>
      </c>
      <c r="G6" s="35">
        <v>4855567</v>
      </c>
      <c r="H6" s="35">
        <v>0</v>
      </c>
      <c r="I6" s="35">
        <v>2378830</v>
      </c>
      <c r="J6" s="35">
        <v>2384382</v>
      </c>
      <c r="K6" s="35">
        <v>7666403</v>
      </c>
      <c r="L6" s="35">
        <v>8621713</v>
      </c>
      <c r="M6" s="35">
        <v>107143010</v>
      </c>
      <c r="N6" s="35">
        <v>418932</v>
      </c>
      <c r="O6" s="35">
        <v>19602</v>
      </c>
      <c r="P6" s="35">
        <v>143536</v>
      </c>
      <c r="Q6" s="35">
        <v>11950810</v>
      </c>
      <c r="R6" s="35">
        <v>827547</v>
      </c>
      <c r="S6" s="35">
        <v>24093237</v>
      </c>
      <c r="T6" s="40">
        <f t="shared" si="0"/>
        <v>173875731</v>
      </c>
      <c r="V6" s="35">
        <v>911986</v>
      </c>
      <c r="W6" s="35">
        <v>7308</v>
      </c>
      <c r="X6" s="40">
        <f t="shared" si="1"/>
        <v>919294</v>
      </c>
      <c r="Z6" s="35">
        <v>0</v>
      </c>
      <c r="AA6" s="35">
        <v>43827</v>
      </c>
      <c r="AB6" s="35">
        <v>771814</v>
      </c>
      <c r="AC6" s="35">
        <v>74943</v>
      </c>
      <c r="AD6" s="35">
        <v>54320</v>
      </c>
      <c r="AE6" s="35">
        <v>442183</v>
      </c>
      <c r="AF6" s="35">
        <v>2030203</v>
      </c>
      <c r="AG6" s="35">
        <v>624192</v>
      </c>
      <c r="AH6" s="35">
        <v>32800</v>
      </c>
      <c r="AI6" s="35">
        <v>24300</v>
      </c>
      <c r="AJ6" s="35">
        <v>94560</v>
      </c>
      <c r="AK6" s="35">
        <v>120848</v>
      </c>
      <c r="AL6" s="35">
        <v>281858</v>
      </c>
      <c r="AM6" s="35">
        <v>0</v>
      </c>
      <c r="AN6" s="40">
        <f t="shared" si="2"/>
        <v>4595848</v>
      </c>
      <c r="AP6" s="35">
        <v>336782</v>
      </c>
      <c r="AQ6" s="35">
        <v>0</v>
      </c>
      <c r="AR6" s="35">
        <v>1048339</v>
      </c>
      <c r="AS6" s="35">
        <v>0</v>
      </c>
      <c r="AT6" s="35">
        <v>4681286</v>
      </c>
      <c r="AU6" s="35">
        <v>0</v>
      </c>
      <c r="AV6" s="40">
        <f t="shared" si="3"/>
        <v>6066407</v>
      </c>
      <c r="AX6" s="40">
        <f t="shared" si="4"/>
        <v>185457280</v>
      </c>
    </row>
    <row r="7" spans="1:56" x14ac:dyDescent="0.2">
      <c r="A7" s="29">
        <v>1</v>
      </c>
      <c r="B7" s="29">
        <v>202301</v>
      </c>
      <c r="C7" s="29" t="s">
        <v>230</v>
      </c>
      <c r="D7" s="35">
        <v>0</v>
      </c>
      <c r="E7" s="35">
        <v>64201</v>
      </c>
      <c r="F7" s="35">
        <v>0</v>
      </c>
      <c r="G7" s="35">
        <v>575657</v>
      </c>
      <c r="H7" s="35">
        <v>13151</v>
      </c>
      <c r="I7" s="35">
        <v>127600</v>
      </c>
      <c r="J7" s="35">
        <v>194880</v>
      </c>
      <c r="K7" s="35">
        <v>1179886</v>
      </c>
      <c r="L7" s="35">
        <v>502153</v>
      </c>
      <c r="M7" s="35">
        <v>6936773</v>
      </c>
      <c r="N7" s="35">
        <v>4120</v>
      </c>
      <c r="O7" s="35">
        <v>10200</v>
      </c>
      <c r="P7" s="35">
        <v>4440</v>
      </c>
      <c r="Q7" s="35">
        <v>1578632</v>
      </c>
      <c r="R7" s="35">
        <v>23280</v>
      </c>
      <c r="S7" s="35">
        <v>1267559</v>
      </c>
      <c r="T7" s="40">
        <f t="shared" si="0"/>
        <v>12482532</v>
      </c>
      <c r="V7" s="35">
        <v>15000</v>
      </c>
      <c r="W7" s="35">
        <v>0</v>
      </c>
      <c r="X7" s="40">
        <f t="shared" si="1"/>
        <v>15000</v>
      </c>
      <c r="Z7" s="35">
        <v>0</v>
      </c>
      <c r="AA7" s="35">
        <v>1660</v>
      </c>
      <c r="AB7" s="35">
        <v>10720</v>
      </c>
      <c r="AC7" s="35">
        <v>0</v>
      </c>
      <c r="AD7" s="35">
        <v>0</v>
      </c>
      <c r="AE7" s="35">
        <v>4893</v>
      </c>
      <c r="AF7" s="35">
        <v>285721</v>
      </c>
      <c r="AG7" s="35">
        <v>9920</v>
      </c>
      <c r="AH7" s="35">
        <v>0</v>
      </c>
      <c r="AI7" s="35">
        <v>880</v>
      </c>
      <c r="AJ7" s="35">
        <v>22000</v>
      </c>
      <c r="AK7" s="35">
        <v>0</v>
      </c>
      <c r="AL7" s="35">
        <v>0</v>
      </c>
      <c r="AM7" s="35">
        <v>0</v>
      </c>
      <c r="AN7" s="40">
        <f t="shared" si="2"/>
        <v>335794</v>
      </c>
      <c r="AP7" s="35">
        <v>0</v>
      </c>
      <c r="AQ7" s="35">
        <v>0</v>
      </c>
      <c r="AR7" s="35">
        <v>167250</v>
      </c>
      <c r="AS7" s="35">
        <v>106320</v>
      </c>
      <c r="AT7" s="35">
        <v>578263</v>
      </c>
      <c r="AU7" s="35">
        <v>10720</v>
      </c>
      <c r="AV7" s="40">
        <f t="shared" si="3"/>
        <v>862553</v>
      </c>
      <c r="AX7" s="40">
        <f t="shared" si="4"/>
        <v>13695879</v>
      </c>
    </row>
    <row r="8" spans="1:56" x14ac:dyDescent="0.2">
      <c r="A8" s="29">
        <v>1</v>
      </c>
      <c r="B8" s="29">
        <v>202301</v>
      </c>
      <c r="C8" s="29" t="s">
        <v>231</v>
      </c>
      <c r="D8" s="35">
        <v>0</v>
      </c>
      <c r="E8" s="35">
        <v>0</v>
      </c>
      <c r="F8" s="35">
        <v>0</v>
      </c>
      <c r="G8" s="35">
        <v>0</v>
      </c>
      <c r="H8" s="35">
        <v>0</v>
      </c>
      <c r="I8" s="35">
        <v>0</v>
      </c>
      <c r="J8" s="35">
        <v>0</v>
      </c>
      <c r="K8" s="35">
        <v>0</v>
      </c>
      <c r="L8" s="35">
        <v>0</v>
      </c>
      <c r="M8" s="35">
        <v>0</v>
      </c>
      <c r="N8" s="35">
        <v>0</v>
      </c>
      <c r="O8" s="35">
        <v>0</v>
      </c>
      <c r="P8" s="35">
        <v>0</v>
      </c>
      <c r="Q8" s="35">
        <v>0</v>
      </c>
      <c r="R8" s="35">
        <v>0</v>
      </c>
      <c r="S8" s="35">
        <v>0</v>
      </c>
      <c r="T8" s="40">
        <f t="shared" si="0"/>
        <v>0</v>
      </c>
      <c r="V8" s="35">
        <v>0</v>
      </c>
      <c r="W8" s="35">
        <v>0</v>
      </c>
      <c r="X8" s="40">
        <f t="shared" si="1"/>
        <v>0</v>
      </c>
      <c r="Z8" s="35">
        <v>0</v>
      </c>
      <c r="AA8" s="35">
        <v>0</v>
      </c>
      <c r="AB8" s="35">
        <v>0</v>
      </c>
      <c r="AC8" s="35">
        <v>0</v>
      </c>
      <c r="AD8" s="35">
        <v>0</v>
      </c>
      <c r="AE8" s="35">
        <v>0</v>
      </c>
      <c r="AF8" s="35">
        <v>0</v>
      </c>
      <c r="AG8" s="35">
        <v>0</v>
      </c>
      <c r="AH8" s="35">
        <v>0</v>
      </c>
      <c r="AI8" s="35">
        <v>0</v>
      </c>
      <c r="AJ8" s="35">
        <v>0</v>
      </c>
      <c r="AK8" s="35">
        <v>0</v>
      </c>
      <c r="AL8" s="35">
        <v>0</v>
      </c>
      <c r="AM8" s="35">
        <v>0</v>
      </c>
      <c r="AN8" s="40">
        <f t="shared" si="2"/>
        <v>0</v>
      </c>
      <c r="AP8" s="35">
        <v>0</v>
      </c>
      <c r="AQ8" s="35">
        <v>0</v>
      </c>
      <c r="AR8" s="35">
        <v>0</v>
      </c>
      <c r="AS8" s="35">
        <v>0</v>
      </c>
      <c r="AT8" s="35">
        <v>0</v>
      </c>
      <c r="AU8" s="35">
        <v>0</v>
      </c>
      <c r="AV8" s="40">
        <f t="shared" si="3"/>
        <v>0</v>
      </c>
      <c r="AX8" s="40">
        <f t="shared" si="4"/>
        <v>0</v>
      </c>
    </row>
    <row r="9" spans="1:56" x14ac:dyDescent="0.2">
      <c r="A9" s="29">
        <v>1</v>
      </c>
      <c r="B9" s="29">
        <v>202301</v>
      </c>
      <c r="C9" s="29">
        <v>7</v>
      </c>
      <c r="D9" s="35">
        <v>0</v>
      </c>
      <c r="E9" s="35">
        <v>7091</v>
      </c>
      <c r="F9" s="35">
        <v>0</v>
      </c>
      <c r="G9" s="35">
        <v>4164</v>
      </c>
      <c r="H9" s="35">
        <v>0</v>
      </c>
      <c r="I9" s="35">
        <v>10806</v>
      </c>
      <c r="J9" s="35">
        <v>7294</v>
      </c>
      <c r="K9" s="35">
        <v>17100</v>
      </c>
      <c r="L9" s="35">
        <v>27078</v>
      </c>
      <c r="M9" s="35">
        <v>195473</v>
      </c>
      <c r="N9" s="35">
        <v>1636</v>
      </c>
      <c r="O9" s="35">
        <v>177</v>
      </c>
      <c r="P9" s="35">
        <v>304</v>
      </c>
      <c r="Q9" s="35">
        <v>713</v>
      </c>
      <c r="R9" s="35">
        <v>259</v>
      </c>
      <c r="S9" s="35">
        <v>51808</v>
      </c>
      <c r="T9" s="40">
        <f t="shared" si="0"/>
        <v>323903</v>
      </c>
      <c r="V9" s="35">
        <v>3291</v>
      </c>
      <c r="W9" s="35">
        <v>78</v>
      </c>
      <c r="X9" s="40">
        <f t="shared" si="1"/>
        <v>3369</v>
      </c>
      <c r="Z9" s="35">
        <v>0</v>
      </c>
      <c r="AA9" s="35">
        <v>0</v>
      </c>
      <c r="AB9" s="35">
        <v>285</v>
      </c>
      <c r="AC9" s="35">
        <v>444</v>
      </c>
      <c r="AD9" s="35">
        <v>296</v>
      </c>
      <c r="AE9" s="35">
        <v>69</v>
      </c>
      <c r="AF9" s="35">
        <v>7146</v>
      </c>
      <c r="AG9" s="35">
        <v>834</v>
      </c>
      <c r="AH9" s="35">
        <v>444</v>
      </c>
      <c r="AI9" s="35">
        <v>0</v>
      </c>
      <c r="AJ9" s="35">
        <v>0</v>
      </c>
      <c r="AK9" s="35">
        <v>56</v>
      </c>
      <c r="AL9" s="35">
        <v>646</v>
      </c>
      <c r="AM9" s="35">
        <v>0</v>
      </c>
      <c r="AN9" s="40">
        <f t="shared" si="2"/>
        <v>10220</v>
      </c>
      <c r="AP9" s="35">
        <v>429</v>
      </c>
      <c r="AQ9" s="35">
        <v>208</v>
      </c>
      <c r="AR9" s="35">
        <v>39</v>
      </c>
      <c r="AS9" s="35">
        <v>97</v>
      </c>
      <c r="AT9" s="35">
        <v>305</v>
      </c>
      <c r="AU9" s="35">
        <v>0</v>
      </c>
      <c r="AV9" s="40">
        <f t="shared" si="3"/>
        <v>1078</v>
      </c>
      <c r="AX9" s="40">
        <f t="shared" si="4"/>
        <v>338570</v>
      </c>
    </row>
    <row r="10" spans="1:56" x14ac:dyDescent="0.2">
      <c r="A10" s="29">
        <v>1</v>
      </c>
      <c r="B10" s="29">
        <v>202301</v>
      </c>
      <c r="C10" s="29">
        <v>8</v>
      </c>
      <c r="D10" s="35">
        <v>0</v>
      </c>
      <c r="E10" s="35">
        <v>0</v>
      </c>
      <c r="F10" s="35">
        <v>0</v>
      </c>
      <c r="G10" s="35">
        <v>0</v>
      </c>
      <c r="H10" s="35">
        <v>0</v>
      </c>
      <c r="I10" s="35">
        <v>258900</v>
      </c>
      <c r="J10" s="35">
        <v>654880</v>
      </c>
      <c r="K10" s="35">
        <v>0</v>
      </c>
      <c r="L10" s="35">
        <v>1040400</v>
      </c>
      <c r="M10" s="35">
        <v>39595657</v>
      </c>
      <c r="N10" s="35">
        <v>0</v>
      </c>
      <c r="O10" s="35">
        <v>0</v>
      </c>
      <c r="P10" s="35">
        <v>0</v>
      </c>
      <c r="Q10" s="35">
        <v>463500</v>
      </c>
      <c r="R10" s="35">
        <v>0</v>
      </c>
      <c r="S10" s="35">
        <v>8812600</v>
      </c>
      <c r="T10" s="40">
        <f t="shared" si="0"/>
        <v>50825937</v>
      </c>
      <c r="V10" s="35">
        <v>0</v>
      </c>
      <c r="W10" s="35">
        <v>0</v>
      </c>
      <c r="X10" s="40">
        <f t="shared" si="1"/>
        <v>0</v>
      </c>
      <c r="Z10" s="35">
        <v>795600</v>
      </c>
      <c r="AA10" s="35">
        <v>0</v>
      </c>
      <c r="AB10" s="35">
        <v>2325600</v>
      </c>
      <c r="AC10" s="35">
        <v>0</v>
      </c>
      <c r="AD10" s="35">
        <v>0</v>
      </c>
      <c r="AE10" s="35">
        <v>1681200</v>
      </c>
      <c r="AF10" s="35">
        <v>1814146</v>
      </c>
      <c r="AG10" s="35">
        <v>0</v>
      </c>
      <c r="AH10" s="35">
        <v>0</v>
      </c>
      <c r="AI10" s="35">
        <v>0</v>
      </c>
      <c r="AJ10" s="35">
        <v>0</v>
      </c>
      <c r="AK10" s="35">
        <v>0</v>
      </c>
      <c r="AL10" s="35">
        <v>0</v>
      </c>
      <c r="AM10" s="35">
        <v>0</v>
      </c>
      <c r="AN10" s="40">
        <f t="shared" si="2"/>
        <v>6616546</v>
      </c>
      <c r="AP10" s="35">
        <v>0</v>
      </c>
      <c r="AQ10" s="35">
        <v>0</v>
      </c>
      <c r="AR10" s="35">
        <v>0</v>
      </c>
      <c r="AS10" s="35">
        <v>0</v>
      </c>
      <c r="AT10" s="35">
        <v>525100</v>
      </c>
      <c r="AU10" s="35">
        <v>0</v>
      </c>
      <c r="AV10" s="40">
        <f t="shared" si="3"/>
        <v>525100</v>
      </c>
      <c r="AX10" s="40">
        <f t="shared" si="4"/>
        <v>57967583</v>
      </c>
    </row>
    <row r="11" spans="1:56" x14ac:dyDescent="0.2">
      <c r="A11" s="29">
        <v>1</v>
      </c>
      <c r="B11" s="29">
        <v>202301</v>
      </c>
      <c r="C11" s="29">
        <v>9</v>
      </c>
      <c r="D11" s="35">
        <v>0</v>
      </c>
      <c r="E11" s="35">
        <v>0</v>
      </c>
      <c r="F11" s="35">
        <v>0</v>
      </c>
      <c r="G11" s="35">
        <v>600000</v>
      </c>
      <c r="H11" s="35">
        <v>0</v>
      </c>
      <c r="I11" s="35">
        <v>0</v>
      </c>
      <c r="J11" s="35">
        <v>0</v>
      </c>
      <c r="K11" s="35">
        <v>0</v>
      </c>
      <c r="L11" s="35">
        <v>0</v>
      </c>
      <c r="M11" s="35">
        <v>14750758</v>
      </c>
      <c r="N11" s="35">
        <v>0</v>
      </c>
      <c r="O11" s="35">
        <v>0</v>
      </c>
      <c r="P11" s="35">
        <v>0</v>
      </c>
      <c r="Q11" s="35">
        <v>0</v>
      </c>
      <c r="R11" s="35">
        <v>0</v>
      </c>
      <c r="S11" s="35">
        <v>21419600</v>
      </c>
      <c r="T11" s="40">
        <f t="shared" si="0"/>
        <v>36770358</v>
      </c>
      <c r="V11" s="35">
        <v>1702928</v>
      </c>
      <c r="W11" s="35">
        <v>0</v>
      </c>
      <c r="X11" s="40">
        <f t="shared" si="1"/>
        <v>1702928</v>
      </c>
      <c r="Z11" s="35">
        <v>0</v>
      </c>
      <c r="AA11" s="35">
        <v>0</v>
      </c>
      <c r="AB11" s="35">
        <v>0</v>
      </c>
      <c r="AC11" s="35">
        <v>0</v>
      </c>
      <c r="AD11" s="35">
        <v>0</v>
      </c>
      <c r="AE11" s="35">
        <v>0</v>
      </c>
      <c r="AF11" s="35">
        <v>1533000</v>
      </c>
      <c r="AG11" s="35">
        <v>0</v>
      </c>
      <c r="AH11" s="35">
        <v>0</v>
      </c>
      <c r="AI11" s="35">
        <v>0</v>
      </c>
      <c r="AJ11" s="35">
        <v>0</v>
      </c>
      <c r="AK11" s="35">
        <v>32880</v>
      </c>
      <c r="AL11" s="35">
        <v>0</v>
      </c>
      <c r="AM11" s="35">
        <v>0</v>
      </c>
      <c r="AN11" s="40">
        <f t="shared" si="2"/>
        <v>1565880</v>
      </c>
      <c r="AP11" s="35">
        <v>0</v>
      </c>
      <c r="AQ11" s="35">
        <v>0</v>
      </c>
      <c r="AR11" s="35">
        <v>0</v>
      </c>
      <c r="AS11" s="35">
        <v>0</v>
      </c>
      <c r="AT11" s="35">
        <v>0</v>
      </c>
      <c r="AU11" s="35">
        <v>0</v>
      </c>
      <c r="AV11" s="40">
        <f t="shared" si="3"/>
        <v>0</v>
      </c>
      <c r="AX11" s="40">
        <f t="shared" si="4"/>
        <v>40039166</v>
      </c>
    </row>
    <row r="12" spans="1:56" x14ac:dyDescent="0.2">
      <c r="A12" s="29">
        <v>1</v>
      </c>
      <c r="B12" s="29">
        <v>202301</v>
      </c>
      <c r="C12" s="29" t="s">
        <v>234</v>
      </c>
      <c r="D12" s="35">
        <v>0</v>
      </c>
      <c r="E12" s="35">
        <v>0</v>
      </c>
      <c r="F12" s="35">
        <v>0</v>
      </c>
      <c r="G12" s="35">
        <v>0</v>
      </c>
      <c r="H12" s="35">
        <v>0</v>
      </c>
      <c r="I12" s="35">
        <v>0</v>
      </c>
      <c r="J12" s="35">
        <v>0</v>
      </c>
      <c r="K12" s="35">
        <v>0</v>
      </c>
      <c r="L12" s="35">
        <v>0</v>
      </c>
      <c r="M12" s="35">
        <v>266400</v>
      </c>
      <c r="N12" s="35">
        <v>0</v>
      </c>
      <c r="O12" s="35">
        <v>0</v>
      </c>
      <c r="P12" s="35">
        <v>0</v>
      </c>
      <c r="Q12" s="35">
        <v>0</v>
      </c>
      <c r="R12" s="35">
        <v>0</v>
      </c>
      <c r="S12" s="35">
        <v>0</v>
      </c>
      <c r="T12" s="40">
        <f t="shared" si="0"/>
        <v>266400</v>
      </c>
      <c r="V12" s="35">
        <v>0</v>
      </c>
      <c r="W12" s="35">
        <v>0</v>
      </c>
      <c r="X12" s="40">
        <f t="shared" si="1"/>
        <v>0</v>
      </c>
      <c r="Z12" s="35">
        <v>0</v>
      </c>
      <c r="AA12" s="35">
        <v>0</v>
      </c>
      <c r="AB12" s="35">
        <v>0</v>
      </c>
      <c r="AC12" s="35">
        <v>0</v>
      </c>
      <c r="AD12" s="35">
        <v>0</v>
      </c>
      <c r="AE12" s="35">
        <v>0</v>
      </c>
      <c r="AF12" s="35">
        <v>0</v>
      </c>
      <c r="AG12" s="35">
        <v>0</v>
      </c>
      <c r="AH12" s="35">
        <v>0</v>
      </c>
      <c r="AI12" s="35">
        <v>0</v>
      </c>
      <c r="AJ12" s="35">
        <v>0</v>
      </c>
      <c r="AK12" s="35">
        <v>0</v>
      </c>
      <c r="AL12" s="35">
        <v>0</v>
      </c>
      <c r="AM12" s="35">
        <v>0</v>
      </c>
      <c r="AN12" s="40">
        <f t="shared" si="2"/>
        <v>0</v>
      </c>
      <c r="AP12" s="35">
        <v>0</v>
      </c>
      <c r="AQ12" s="35">
        <v>0</v>
      </c>
      <c r="AR12" s="35">
        <v>0</v>
      </c>
      <c r="AS12" s="35">
        <v>0</v>
      </c>
      <c r="AT12" s="35">
        <v>0</v>
      </c>
      <c r="AU12" s="35">
        <v>0</v>
      </c>
      <c r="AV12" s="40">
        <f t="shared" si="3"/>
        <v>0</v>
      </c>
      <c r="AX12" s="40">
        <f t="shared" si="4"/>
        <v>266400</v>
      </c>
    </row>
    <row r="13" spans="1:56" x14ac:dyDescent="0.2">
      <c r="A13" s="29">
        <v>1</v>
      </c>
      <c r="B13" s="29">
        <v>202301</v>
      </c>
      <c r="C13" s="29" t="s">
        <v>235</v>
      </c>
      <c r="D13" s="35">
        <v>0</v>
      </c>
      <c r="E13" s="35">
        <v>0</v>
      </c>
      <c r="F13" s="35">
        <v>0</v>
      </c>
      <c r="G13" s="35">
        <v>0</v>
      </c>
      <c r="H13" s="35">
        <v>0</v>
      </c>
      <c r="I13" s="35">
        <v>0</v>
      </c>
      <c r="J13" s="35">
        <v>0</v>
      </c>
      <c r="K13" s="35">
        <v>0</v>
      </c>
      <c r="L13" s="35">
        <v>0</v>
      </c>
      <c r="M13" s="35">
        <v>129267</v>
      </c>
      <c r="N13" s="35">
        <v>0</v>
      </c>
      <c r="O13" s="35">
        <v>0</v>
      </c>
      <c r="P13" s="35">
        <v>0</v>
      </c>
      <c r="Q13" s="35">
        <v>0</v>
      </c>
      <c r="R13" s="35">
        <v>0</v>
      </c>
      <c r="S13" s="35">
        <v>1464272</v>
      </c>
      <c r="T13" s="40">
        <f t="shared" si="0"/>
        <v>1593539</v>
      </c>
      <c r="V13" s="35">
        <v>0</v>
      </c>
      <c r="W13" s="35">
        <v>0</v>
      </c>
      <c r="X13" s="40">
        <f t="shared" si="1"/>
        <v>0</v>
      </c>
      <c r="Z13" s="35">
        <v>0</v>
      </c>
      <c r="AA13" s="35">
        <v>0</v>
      </c>
      <c r="AB13" s="35">
        <v>23370400</v>
      </c>
      <c r="AC13" s="35">
        <v>0</v>
      </c>
      <c r="AD13" s="35">
        <v>0</v>
      </c>
      <c r="AE13" s="35">
        <v>0</v>
      </c>
      <c r="AF13" s="35">
        <v>0</v>
      </c>
      <c r="AG13" s="35">
        <v>0</v>
      </c>
      <c r="AH13" s="35">
        <v>0</v>
      </c>
      <c r="AI13" s="35">
        <v>0</v>
      </c>
      <c r="AJ13" s="35">
        <v>0</v>
      </c>
      <c r="AK13" s="35">
        <v>0</v>
      </c>
      <c r="AL13" s="35">
        <v>0</v>
      </c>
      <c r="AM13" s="35">
        <v>0</v>
      </c>
      <c r="AN13" s="40">
        <f t="shared" si="2"/>
        <v>23370400</v>
      </c>
      <c r="AP13" s="35">
        <v>0</v>
      </c>
      <c r="AQ13" s="35">
        <v>0</v>
      </c>
      <c r="AR13" s="35">
        <v>0</v>
      </c>
      <c r="AS13" s="35">
        <v>0</v>
      </c>
      <c r="AT13" s="35">
        <v>0</v>
      </c>
      <c r="AU13" s="35">
        <v>0</v>
      </c>
      <c r="AV13" s="40">
        <f t="shared" si="3"/>
        <v>0</v>
      </c>
      <c r="AX13" s="40">
        <f t="shared" si="4"/>
        <v>24963939</v>
      </c>
    </row>
    <row r="14" spans="1:56" x14ac:dyDescent="0.2">
      <c r="A14" s="29">
        <v>1</v>
      </c>
      <c r="B14" s="29">
        <v>202301</v>
      </c>
      <c r="C14" s="29">
        <v>10</v>
      </c>
      <c r="D14" s="35">
        <v>0</v>
      </c>
      <c r="E14" s="35">
        <v>2347</v>
      </c>
      <c r="F14" s="35">
        <v>0</v>
      </c>
      <c r="G14" s="35">
        <v>0</v>
      </c>
      <c r="H14" s="35">
        <v>0</v>
      </c>
      <c r="I14" s="35">
        <v>30580</v>
      </c>
      <c r="J14" s="35">
        <v>548</v>
      </c>
      <c r="K14" s="35">
        <v>0</v>
      </c>
      <c r="L14" s="35">
        <v>0</v>
      </c>
      <c r="M14" s="35">
        <v>12355</v>
      </c>
      <c r="N14" s="35">
        <v>1558</v>
      </c>
      <c r="O14" s="35">
        <v>0</v>
      </c>
      <c r="P14" s="35">
        <v>7109</v>
      </c>
      <c r="Q14" s="35">
        <v>1800</v>
      </c>
      <c r="R14" s="35">
        <v>7124</v>
      </c>
      <c r="S14" s="35">
        <v>643</v>
      </c>
      <c r="T14" s="40">
        <f t="shared" si="0"/>
        <v>64064</v>
      </c>
      <c r="V14" s="35">
        <v>10878</v>
      </c>
      <c r="W14" s="35">
        <v>22200</v>
      </c>
      <c r="X14" s="40">
        <f t="shared" si="1"/>
        <v>33078</v>
      </c>
      <c r="Z14" s="35">
        <v>0</v>
      </c>
      <c r="AA14" s="35">
        <v>0</v>
      </c>
      <c r="AB14" s="35">
        <v>0</v>
      </c>
      <c r="AC14" s="35">
        <v>0</v>
      </c>
      <c r="AD14" s="35">
        <v>0</v>
      </c>
      <c r="AE14" s="35">
        <v>0</v>
      </c>
      <c r="AF14" s="35">
        <v>0</v>
      </c>
      <c r="AG14" s="35">
        <v>27040</v>
      </c>
      <c r="AH14" s="35">
        <v>0</v>
      </c>
      <c r="AI14" s="35">
        <v>0</v>
      </c>
      <c r="AJ14" s="35">
        <v>0</v>
      </c>
      <c r="AK14" s="35">
        <v>1537</v>
      </c>
      <c r="AL14" s="35">
        <v>0</v>
      </c>
      <c r="AM14" s="35">
        <v>0</v>
      </c>
      <c r="AN14" s="40">
        <f t="shared" si="2"/>
        <v>28577</v>
      </c>
      <c r="AP14" s="35">
        <v>3129</v>
      </c>
      <c r="AQ14" s="35">
        <v>0</v>
      </c>
      <c r="AR14" s="35">
        <v>0</v>
      </c>
      <c r="AS14" s="35">
        <v>805</v>
      </c>
      <c r="AT14" s="35">
        <v>0</v>
      </c>
      <c r="AU14" s="35">
        <v>6480</v>
      </c>
      <c r="AV14" s="40">
        <f t="shared" si="3"/>
        <v>10414</v>
      </c>
      <c r="AX14" s="40">
        <f t="shared" si="4"/>
        <v>136133</v>
      </c>
    </row>
    <row r="15" spans="1:56" x14ac:dyDescent="0.2">
      <c r="A15" s="29">
        <v>1</v>
      </c>
      <c r="B15" s="29">
        <v>202301</v>
      </c>
      <c r="C15" s="29">
        <v>11</v>
      </c>
      <c r="D15" s="35">
        <v>0</v>
      </c>
      <c r="E15" s="35">
        <v>0</v>
      </c>
      <c r="F15" s="35">
        <v>44</v>
      </c>
      <c r="G15" s="35">
        <v>28321</v>
      </c>
      <c r="H15" s="35">
        <v>0</v>
      </c>
      <c r="I15" s="35">
        <v>23121</v>
      </c>
      <c r="J15" s="35">
        <v>0</v>
      </c>
      <c r="K15" s="35">
        <v>0</v>
      </c>
      <c r="L15" s="35">
        <v>0</v>
      </c>
      <c r="M15" s="35">
        <v>4515</v>
      </c>
      <c r="N15" s="35">
        <v>2673</v>
      </c>
      <c r="O15" s="35">
        <v>499</v>
      </c>
      <c r="P15" s="35">
        <v>1561</v>
      </c>
      <c r="Q15" s="35">
        <v>2548</v>
      </c>
      <c r="R15" s="35">
        <v>117</v>
      </c>
      <c r="S15" s="35">
        <v>1140</v>
      </c>
      <c r="T15" s="40">
        <f t="shared" si="0"/>
        <v>64539</v>
      </c>
      <c r="V15" s="35">
        <v>24352</v>
      </c>
      <c r="W15" s="35">
        <v>0</v>
      </c>
      <c r="X15" s="40">
        <f t="shared" si="1"/>
        <v>24352</v>
      </c>
      <c r="Z15" s="35">
        <v>0</v>
      </c>
      <c r="AA15" s="35">
        <v>0</v>
      </c>
      <c r="AB15" s="35">
        <v>0</v>
      </c>
      <c r="AC15" s="35">
        <v>0</v>
      </c>
      <c r="AD15" s="35">
        <v>0</v>
      </c>
      <c r="AE15" s="35">
        <v>0</v>
      </c>
      <c r="AF15" s="35">
        <v>5555</v>
      </c>
      <c r="AG15" s="35">
        <v>0</v>
      </c>
      <c r="AH15" s="35">
        <v>1184</v>
      </c>
      <c r="AI15" s="35">
        <v>0</v>
      </c>
      <c r="AJ15" s="35">
        <v>0</v>
      </c>
      <c r="AK15" s="35">
        <v>0</v>
      </c>
      <c r="AL15" s="35">
        <v>0</v>
      </c>
      <c r="AM15" s="35">
        <v>0</v>
      </c>
      <c r="AN15" s="40">
        <f t="shared" si="2"/>
        <v>6739</v>
      </c>
      <c r="AP15" s="35">
        <v>0</v>
      </c>
      <c r="AQ15" s="35">
        <v>0</v>
      </c>
      <c r="AR15" s="35">
        <v>0</v>
      </c>
      <c r="AS15" s="35">
        <v>0</v>
      </c>
      <c r="AT15" s="35">
        <v>0</v>
      </c>
      <c r="AU15" s="35">
        <v>0</v>
      </c>
      <c r="AV15" s="40">
        <f t="shared" si="3"/>
        <v>0</v>
      </c>
      <c r="AX15" s="40">
        <f t="shared" si="4"/>
        <v>95630</v>
      </c>
    </row>
    <row r="16" spans="1:56" x14ac:dyDescent="0.2">
      <c r="A16" s="29">
        <v>1</v>
      </c>
      <c r="B16" s="29">
        <v>202301</v>
      </c>
      <c r="C16" s="29">
        <v>12</v>
      </c>
      <c r="D16" s="35">
        <v>0</v>
      </c>
      <c r="E16" s="35">
        <v>0</v>
      </c>
      <c r="F16" s="35">
        <v>0</v>
      </c>
      <c r="G16" s="35">
        <v>14471</v>
      </c>
      <c r="H16" s="35">
        <v>0</v>
      </c>
      <c r="I16" s="35">
        <v>10745</v>
      </c>
      <c r="J16" s="35">
        <v>0</v>
      </c>
      <c r="K16" s="35">
        <v>46668</v>
      </c>
      <c r="L16" s="35">
        <v>156</v>
      </c>
      <c r="M16" s="35">
        <v>981628</v>
      </c>
      <c r="N16" s="35">
        <v>1291</v>
      </c>
      <c r="O16" s="35">
        <v>0</v>
      </c>
      <c r="P16" s="35">
        <v>0</v>
      </c>
      <c r="Q16" s="35">
        <v>18939</v>
      </c>
      <c r="R16" s="35">
        <v>0</v>
      </c>
      <c r="S16" s="35">
        <v>754</v>
      </c>
      <c r="T16" s="40">
        <f t="shared" si="0"/>
        <v>1074652</v>
      </c>
      <c r="V16" s="35">
        <v>4401</v>
      </c>
      <c r="W16" s="35">
        <v>0</v>
      </c>
      <c r="X16" s="40">
        <f t="shared" si="1"/>
        <v>4401</v>
      </c>
      <c r="Z16" s="35">
        <v>0</v>
      </c>
      <c r="AA16" s="35">
        <v>0</v>
      </c>
      <c r="AB16" s="35">
        <v>0</v>
      </c>
      <c r="AC16" s="35">
        <v>0</v>
      </c>
      <c r="AD16" s="35">
        <v>0</v>
      </c>
      <c r="AE16" s="35">
        <v>0</v>
      </c>
      <c r="AF16" s="35">
        <v>54908</v>
      </c>
      <c r="AG16" s="35">
        <v>0</v>
      </c>
      <c r="AH16" s="35">
        <v>0</v>
      </c>
      <c r="AI16" s="35">
        <v>308</v>
      </c>
      <c r="AJ16" s="35">
        <v>0</v>
      </c>
      <c r="AK16" s="35">
        <v>0</v>
      </c>
      <c r="AL16" s="35">
        <v>35122</v>
      </c>
      <c r="AM16" s="35">
        <v>0</v>
      </c>
      <c r="AN16" s="40">
        <f t="shared" si="2"/>
        <v>90338</v>
      </c>
      <c r="AP16" s="35">
        <v>0</v>
      </c>
      <c r="AQ16" s="35">
        <v>0</v>
      </c>
      <c r="AR16" s="35">
        <v>543</v>
      </c>
      <c r="AS16" s="35">
        <v>0</v>
      </c>
      <c r="AT16" s="35">
        <v>276</v>
      </c>
      <c r="AU16" s="35">
        <v>0</v>
      </c>
      <c r="AV16" s="40">
        <f t="shared" si="3"/>
        <v>819</v>
      </c>
      <c r="AX16" s="40">
        <f t="shared" si="4"/>
        <v>1170210</v>
      </c>
    </row>
    <row r="17" spans="1:50" x14ac:dyDescent="0.2">
      <c r="A17" s="29">
        <v>1</v>
      </c>
      <c r="B17" s="29">
        <v>202301</v>
      </c>
      <c r="C17" s="29">
        <v>15</v>
      </c>
      <c r="D17" s="35">
        <v>0</v>
      </c>
      <c r="E17" s="35">
        <v>5843</v>
      </c>
      <c r="F17" s="35">
        <v>0</v>
      </c>
      <c r="G17" s="35">
        <v>19596</v>
      </c>
      <c r="H17" s="35">
        <v>0</v>
      </c>
      <c r="I17" s="35">
        <v>9086</v>
      </c>
      <c r="J17" s="35">
        <v>9938</v>
      </c>
      <c r="K17" s="35">
        <v>44361</v>
      </c>
      <c r="L17" s="35">
        <v>24477</v>
      </c>
      <c r="M17" s="35">
        <v>572781</v>
      </c>
      <c r="N17" s="35">
        <v>1021</v>
      </c>
      <c r="O17" s="35">
        <v>0</v>
      </c>
      <c r="P17" s="35">
        <v>645</v>
      </c>
      <c r="Q17" s="35">
        <v>18320</v>
      </c>
      <c r="R17" s="35">
        <v>0</v>
      </c>
      <c r="S17" s="35">
        <v>51242</v>
      </c>
      <c r="T17" s="40">
        <f t="shared" si="0"/>
        <v>757310</v>
      </c>
      <c r="V17" s="35">
        <v>2240</v>
      </c>
      <c r="W17" s="35">
        <v>0</v>
      </c>
      <c r="X17" s="40">
        <f t="shared" si="1"/>
        <v>2240</v>
      </c>
      <c r="Z17" s="35">
        <v>0</v>
      </c>
      <c r="AA17" s="35">
        <v>4028</v>
      </c>
      <c r="AB17" s="35">
        <v>2632</v>
      </c>
      <c r="AC17" s="35">
        <v>0</v>
      </c>
      <c r="AD17" s="35">
        <v>0</v>
      </c>
      <c r="AE17" s="35">
        <v>710</v>
      </c>
      <c r="AF17" s="35">
        <v>44249</v>
      </c>
      <c r="AG17" s="35">
        <v>2067</v>
      </c>
      <c r="AH17" s="35">
        <v>0</v>
      </c>
      <c r="AI17" s="35">
        <v>0</v>
      </c>
      <c r="AJ17" s="35">
        <v>0</v>
      </c>
      <c r="AK17" s="35">
        <v>606</v>
      </c>
      <c r="AL17" s="35">
        <v>1608</v>
      </c>
      <c r="AM17" s="35">
        <v>0</v>
      </c>
      <c r="AN17" s="40">
        <f t="shared" si="2"/>
        <v>55900</v>
      </c>
      <c r="AP17" s="35">
        <v>213</v>
      </c>
      <c r="AQ17" s="35">
        <v>0</v>
      </c>
      <c r="AR17" s="35">
        <v>769</v>
      </c>
      <c r="AS17" s="35">
        <v>0</v>
      </c>
      <c r="AT17" s="35">
        <v>6226</v>
      </c>
      <c r="AU17" s="35">
        <v>0</v>
      </c>
      <c r="AV17" s="40">
        <f t="shared" si="3"/>
        <v>7208</v>
      </c>
      <c r="AX17" s="40">
        <f t="shared" si="4"/>
        <v>822658</v>
      </c>
    </row>
    <row r="18" spans="1:50" x14ac:dyDescent="0.2">
      <c r="A18" s="29">
        <v>1</v>
      </c>
      <c r="B18" s="29">
        <v>202301</v>
      </c>
      <c r="C18" s="29">
        <v>21</v>
      </c>
      <c r="D18" s="35">
        <v>0</v>
      </c>
      <c r="E18" s="35">
        <v>0</v>
      </c>
      <c r="F18" s="35">
        <v>0</v>
      </c>
      <c r="G18" s="35">
        <v>0</v>
      </c>
      <c r="H18" s="35">
        <v>0</v>
      </c>
      <c r="I18" s="35">
        <v>0</v>
      </c>
      <c r="J18" s="35">
        <v>0</v>
      </c>
      <c r="K18" s="35">
        <v>0</v>
      </c>
      <c r="L18" s="35">
        <v>0</v>
      </c>
      <c r="M18" s="35">
        <v>0</v>
      </c>
      <c r="N18" s="35">
        <v>0</v>
      </c>
      <c r="O18" s="35">
        <v>0</v>
      </c>
      <c r="P18" s="35">
        <v>0</v>
      </c>
      <c r="Q18" s="35">
        <v>0</v>
      </c>
      <c r="R18" s="35">
        <v>0</v>
      </c>
      <c r="S18" s="35">
        <v>0</v>
      </c>
      <c r="T18" s="40">
        <f t="shared" si="0"/>
        <v>0</v>
      </c>
      <c r="V18" s="35">
        <v>0</v>
      </c>
      <c r="W18" s="35">
        <v>0</v>
      </c>
      <c r="X18" s="40">
        <f t="shared" si="1"/>
        <v>0</v>
      </c>
      <c r="Z18" s="35">
        <v>0</v>
      </c>
      <c r="AA18" s="35">
        <v>0</v>
      </c>
      <c r="AB18" s="35">
        <v>0</v>
      </c>
      <c r="AC18" s="35">
        <v>0</v>
      </c>
      <c r="AD18" s="35">
        <v>0</v>
      </c>
      <c r="AE18" s="35">
        <v>0</v>
      </c>
      <c r="AF18" s="35">
        <v>0</v>
      </c>
      <c r="AG18" s="35">
        <v>0</v>
      </c>
      <c r="AH18" s="35">
        <v>0</v>
      </c>
      <c r="AI18" s="35">
        <v>0</v>
      </c>
      <c r="AJ18" s="35">
        <v>0</v>
      </c>
      <c r="AK18" s="35">
        <v>0</v>
      </c>
      <c r="AL18" s="35">
        <v>0</v>
      </c>
      <c r="AM18" s="35">
        <v>0</v>
      </c>
      <c r="AN18" s="40">
        <f t="shared" si="2"/>
        <v>0</v>
      </c>
      <c r="AP18" s="35">
        <v>0</v>
      </c>
      <c r="AQ18" s="35">
        <v>0</v>
      </c>
      <c r="AR18" s="35">
        <v>0</v>
      </c>
      <c r="AS18" s="35">
        <v>0</v>
      </c>
      <c r="AT18" s="35">
        <v>0</v>
      </c>
      <c r="AU18" s="35">
        <v>0</v>
      </c>
      <c r="AV18" s="40">
        <f t="shared" si="3"/>
        <v>0</v>
      </c>
      <c r="AX18" s="40">
        <f t="shared" si="4"/>
        <v>0</v>
      </c>
    </row>
    <row r="19" spans="1:50" x14ac:dyDescent="0.2">
      <c r="A19" s="29">
        <v>1</v>
      </c>
      <c r="B19" s="29">
        <v>202301</v>
      </c>
      <c r="C19" s="29">
        <v>23</v>
      </c>
      <c r="D19" s="35">
        <v>6354</v>
      </c>
      <c r="E19" s="35">
        <v>812053</v>
      </c>
      <c r="F19" s="35">
        <v>90726</v>
      </c>
      <c r="G19" s="35">
        <v>1242589</v>
      </c>
      <c r="H19" s="35">
        <v>26714</v>
      </c>
      <c r="I19" s="35">
        <v>1297049</v>
      </c>
      <c r="J19" s="35">
        <v>528707</v>
      </c>
      <c r="K19" s="35">
        <v>2332175</v>
      </c>
      <c r="L19" s="35">
        <v>2684549</v>
      </c>
      <c r="M19" s="35">
        <v>17827841</v>
      </c>
      <c r="N19" s="35">
        <v>301605</v>
      </c>
      <c r="O19" s="35">
        <v>56699</v>
      </c>
      <c r="P19" s="35">
        <v>107118</v>
      </c>
      <c r="Q19" s="35">
        <v>4024037</v>
      </c>
      <c r="R19" s="35">
        <v>388886</v>
      </c>
      <c r="S19" s="35">
        <v>5756647</v>
      </c>
      <c r="T19" s="40">
        <f t="shared" si="0"/>
        <v>37483749</v>
      </c>
      <c r="V19" s="35">
        <v>794100</v>
      </c>
      <c r="W19" s="35">
        <v>18006</v>
      </c>
      <c r="X19" s="40">
        <f t="shared" si="1"/>
        <v>812106</v>
      </c>
      <c r="Z19" s="35">
        <v>2038</v>
      </c>
      <c r="AA19" s="35">
        <v>9215</v>
      </c>
      <c r="AB19" s="35">
        <v>85997</v>
      </c>
      <c r="AC19" s="35">
        <v>36058</v>
      </c>
      <c r="AD19" s="35">
        <v>7375</v>
      </c>
      <c r="AE19" s="35">
        <v>84627</v>
      </c>
      <c r="AF19" s="35">
        <v>549123</v>
      </c>
      <c r="AG19" s="35">
        <v>96673</v>
      </c>
      <c r="AH19" s="35">
        <v>21589</v>
      </c>
      <c r="AI19" s="35">
        <v>15046</v>
      </c>
      <c r="AJ19" s="35">
        <v>46262</v>
      </c>
      <c r="AK19" s="35">
        <v>117307</v>
      </c>
      <c r="AL19" s="35">
        <v>130300</v>
      </c>
      <c r="AM19" s="35">
        <v>0</v>
      </c>
      <c r="AN19" s="40">
        <f t="shared" si="2"/>
        <v>1201610</v>
      </c>
      <c r="AP19" s="35">
        <v>190460</v>
      </c>
      <c r="AQ19" s="35">
        <v>25434</v>
      </c>
      <c r="AR19" s="35">
        <v>627022</v>
      </c>
      <c r="AS19" s="35">
        <v>22157</v>
      </c>
      <c r="AT19" s="35">
        <v>2351172</v>
      </c>
      <c r="AU19" s="35">
        <v>1895</v>
      </c>
      <c r="AV19" s="40">
        <f t="shared" si="3"/>
        <v>3218140</v>
      </c>
      <c r="AX19" s="40">
        <f t="shared" si="4"/>
        <v>42715605</v>
      </c>
    </row>
    <row r="20" spans="1:50" x14ac:dyDescent="0.2">
      <c r="A20" s="29">
        <v>1</v>
      </c>
      <c r="B20" s="29">
        <v>202301</v>
      </c>
      <c r="C20" s="29">
        <v>31</v>
      </c>
      <c r="D20" s="35">
        <v>0</v>
      </c>
      <c r="E20" s="35">
        <v>0</v>
      </c>
      <c r="F20" s="35">
        <v>0</v>
      </c>
      <c r="G20" s="35">
        <v>0</v>
      </c>
      <c r="H20" s="35">
        <v>0</v>
      </c>
      <c r="I20" s="35">
        <v>0</v>
      </c>
      <c r="J20" s="35">
        <v>0</v>
      </c>
      <c r="K20" s="35">
        <v>0</v>
      </c>
      <c r="L20" s="35">
        <v>0</v>
      </c>
      <c r="M20" s="35">
        <v>348000</v>
      </c>
      <c r="N20" s="35">
        <v>0</v>
      </c>
      <c r="O20" s="35">
        <v>0</v>
      </c>
      <c r="P20" s="35">
        <v>0</v>
      </c>
      <c r="Q20" s="35">
        <v>0</v>
      </c>
      <c r="R20" s="35">
        <v>0</v>
      </c>
      <c r="S20" s="35">
        <v>0</v>
      </c>
      <c r="T20" s="40">
        <f t="shared" si="0"/>
        <v>348000</v>
      </c>
      <c r="V20" s="35">
        <v>0</v>
      </c>
      <c r="W20" s="35">
        <v>0</v>
      </c>
      <c r="X20" s="40">
        <f t="shared" si="1"/>
        <v>0</v>
      </c>
      <c r="Z20" s="35">
        <v>1144800</v>
      </c>
      <c r="AA20" s="35">
        <v>0</v>
      </c>
      <c r="AB20" s="35">
        <v>0</v>
      </c>
      <c r="AC20" s="35">
        <v>0</v>
      </c>
      <c r="AD20" s="35">
        <v>0</v>
      </c>
      <c r="AE20" s="35">
        <v>0</v>
      </c>
      <c r="AF20" s="35">
        <v>0</v>
      </c>
      <c r="AG20" s="35">
        <v>0</v>
      </c>
      <c r="AH20" s="35">
        <v>0</v>
      </c>
      <c r="AI20" s="35">
        <v>0</v>
      </c>
      <c r="AJ20" s="35">
        <v>0</v>
      </c>
      <c r="AK20" s="35">
        <v>0</v>
      </c>
      <c r="AL20" s="35">
        <v>0</v>
      </c>
      <c r="AM20" s="35">
        <v>0</v>
      </c>
      <c r="AN20" s="40">
        <f t="shared" si="2"/>
        <v>1144800</v>
      </c>
      <c r="AP20" s="35">
        <v>0</v>
      </c>
      <c r="AQ20" s="35">
        <v>0</v>
      </c>
      <c r="AR20" s="35">
        <v>0</v>
      </c>
      <c r="AS20" s="35">
        <v>0</v>
      </c>
      <c r="AT20" s="35">
        <v>0</v>
      </c>
      <c r="AU20" s="35">
        <v>0</v>
      </c>
      <c r="AV20" s="40">
        <f t="shared" si="3"/>
        <v>0</v>
      </c>
      <c r="AX20" s="40">
        <f t="shared" si="4"/>
        <v>1492800</v>
      </c>
    </row>
    <row r="21" spans="1:50" x14ac:dyDescent="0.2">
      <c r="A21" s="29">
        <v>1</v>
      </c>
      <c r="B21" s="29">
        <v>202301</v>
      </c>
      <c r="C21" s="29">
        <v>32</v>
      </c>
      <c r="D21" s="35">
        <v>0</v>
      </c>
      <c r="E21" s="35">
        <v>0</v>
      </c>
      <c r="F21" s="35">
        <v>0</v>
      </c>
      <c r="G21" s="35">
        <v>0</v>
      </c>
      <c r="H21" s="35">
        <v>0</v>
      </c>
      <c r="I21" s="35">
        <v>0</v>
      </c>
      <c r="J21" s="35">
        <v>0</v>
      </c>
      <c r="K21" s="35">
        <v>0</v>
      </c>
      <c r="L21" s="35">
        <v>0</v>
      </c>
      <c r="M21" s="35">
        <v>13238743</v>
      </c>
      <c r="N21" s="35">
        <v>0</v>
      </c>
      <c r="O21" s="35">
        <v>0</v>
      </c>
      <c r="P21" s="35">
        <v>0</v>
      </c>
      <c r="Q21" s="35">
        <v>0</v>
      </c>
      <c r="R21" s="35">
        <v>0</v>
      </c>
      <c r="S21" s="35">
        <v>0</v>
      </c>
      <c r="T21" s="40">
        <f t="shared" si="0"/>
        <v>13238743</v>
      </c>
      <c r="V21" s="35">
        <v>0</v>
      </c>
      <c r="W21" s="35">
        <v>0</v>
      </c>
      <c r="X21" s="40">
        <f t="shared" si="1"/>
        <v>0</v>
      </c>
      <c r="Z21" s="35">
        <v>0</v>
      </c>
      <c r="AA21" s="35">
        <v>0</v>
      </c>
      <c r="AB21" s="35">
        <v>0</v>
      </c>
      <c r="AC21" s="35">
        <v>0</v>
      </c>
      <c r="AD21" s="35">
        <v>0</v>
      </c>
      <c r="AE21" s="35">
        <v>0</v>
      </c>
      <c r="AF21" s="35">
        <v>0</v>
      </c>
      <c r="AG21" s="35">
        <v>0</v>
      </c>
      <c r="AH21" s="35">
        <v>0</v>
      </c>
      <c r="AI21" s="35">
        <v>0</v>
      </c>
      <c r="AJ21" s="35">
        <v>0</v>
      </c>
      <c r="AK21" s="35">
        <v>0</v>
      </c>
      <c r="AL21" s="35">
        <v>0</v>
      </c>
      <c r="AM21" s="35">
        <v>0</v>
      </c>
      <c r="AN21" s="40">
        <f t="shared" si="2"/>
        <v>0</v>
      </c>
      <c r="AP21" s="35">
        <v>0</v>
      </c>
      <c r="AQ21" s="35">
        <v>0</v>
      </c>
      <c r="AR21" s="35">
        <v>0</v>
      </c>
      <c r="AS21" s="35">
        <v>0</v>
      </c>
      <c r="AT21" s="35">
        <v>0</v>
      </c>
      <c r="AU21" s="35">
        <v>0</v>
      </c>
      <c r="AV21" s="40">
        <f t="shared" si="3"/>
        <v>0</v>
      </c>
      <c r="AX21" s="40">
        <f t="shared" si="4"/>
        <v>13238743</v>
      </c>
    </row>
    <row r="22" spans="1:50" x14ac:dyDescent="0.2">
      <c r="A22" s="29">
        <v>2</v>
      </c>
      <c r="B22" s="29">
        <v>202302</v>
      </c>
      <c r="C22" s="29">
        <v>1</v>
      </c>
      <c r="D22" s="35">
        <v>244477</v>
      </c>
      <c r="E22" s="35">
        <v>1698895</v>
      </c>
      <c r="F22" s="35">
        <v>521864</v>
      </c>
      <c r="G22" s="35">
        <v>10373681</v>
      </c>
      <c r="H22" s="35">
        <v>709865</v>
      </c>
      <c r="I22" s="35">
        <v>10279316</v>
      </c>
      <c r="J22" s="35">
        <v>6574620</v>
      </c>
      <c r="K22" s="35">
        <v>7697022</v>
      </c>
      <c r="L22" s="35">
        <v>15132153</v>
      </c>
      <c r="M22" s="35">
        <v>48661561</v>
      </c>
      <c r="N22" s="35">
        <v>742523</v>
      </c>
      <c r="O22" s="35">
        <v>689476</v>
      </c>
      <c r="P22" s="35">
        <v>783360</v>
      </c>
      <c r="Q22" s="35">
        <v>16788249</v>
      </c>
      <c r="R22" s="35">
        <v>465422</v>
      </c>
      <c r="S22" s="35">
        <v>20379567</v>
      </c>
      <c r="T22" s="40">
        <f t="shared" si="0"/>
        <v>141742051</v>
      </c>
      <c r="V22" s="35">
        <v>1967475</v>
      </c>
      <c r="W22" s="35">
        <v>26592</v>
      </c>
      <c r="X22" s="40">
        <f>SUM(V22:W22)</f>
        <v>1994067</v>
      </c>
      <c r="Z22" s="35">
        <v>16025</v>
      </c>
      <c r="AA22" s="35">
        <v>9484</v>
      </c>
      <c r="AB22" s="35">
        <v>756914</v>
      </c>
      <c r="AC22" s="35">
        <v>247629</v>
      </c>
      <c r="AD22" s="35">
        <v>71791</v>
      </c>
      <c r="AE22" s="35">
        <v>375712</v>
      </c>
      <c r="AF22" s="35">
        <v>1356907</v>
      </c>
      <c r="AG22" s="35">
        <v>2023069</v>
      </c>
      <c r="AH22" s="35">
        <v>8814</v>
      </c>
      <c r="AI22" s="35">
        <v>531262</v>
      </c>
      <c r="AJ22" s="35">
        <v>49402</v>
      </c>
      <c r="AK22" s="35">
        <v>946639</v>
      </c>
      <c r="AL22" s="35">
        <v>178797</v>
      </c>
      <c r="AM22" s="35">
        <v>0</v>
      </c>
      <c r="AN22" s="40">
        <f>SUM(Z22:AM22)</f>
        <v>6572445</v>
      </c>
      <c r="AO22" s="35"/>
      <c r="AP22" s="35">
        <v>1215318</v>
      </c>
      <c r="AQ22" s="35">
        <v>224290</v>
      </c>
      <c r="AR22" s="35">
        <v>6690111</v>
      </c>
      <c r="AS22" s="35">
        <v>126862</v>
      </c>
      <c r="AT22" s="35">
        <v>10164339</v>
      </c>
      <c r="AU22" s="35">
        <v>63167</v>
      </c>
      <c r="AV22" s="40">
        <f>SUM(AP22:AU22)</f>
        <v>18484087</v>
      </c>
      <c r="AX22" s="40">
        <f t="shared" si="4"/>
        <v>168792650</v>
      </c>
    </row>
    <row r="23" spans="1:50" x14ac:dyDescent="0.2">
      <c r="A23" s="29">
        <v>2</v>
      </c>
      <c r="B23" s="29">
        <v>202302</v>
      </c>
      <c r="C23" s="29">
        <v>2</v>
      </c>
      <c r="D23" s="35">
        <v>4</v>
      </c>
      <c r="E23" s="35">
        <v>0</v>
      </c>
      <c r="F23" s="35">
        <v>0</v>
      </c>
      <c r="G23" s="35">
        <v>24891</v>
      </c>
      <c r="H23" s="35">
        <v>4948</v>
      </c>
      <c r="I23" s="35">
        <v>19775</v>
      </c>
      <c r="J23" s="35">
        <v>2317</v>
      </c>
      <c r="K23" s="35">
        <v>6147</v>
      </c>
      <c r="L23" s="35">
        <v>42518</v>
      </c>
      <c r="M23" s="35">
        <v>98751</v>
      </c>
      <c r="N23" s="35">
        <v>929</v>
      </c>
      <c r="O23" s="35">
        <v>0</v>
      </c>
      <c r="P23" s="35">
        <v>2566</v>
      </c>
      <c r="Q23" s="35">
        <v>24054</v>
      </c>
      <c r="R23" s="35">
        <v>0</v>
      </c>
      <c r="S23" s="35">
        <v>25446</v>
      </c>
      <c r="T23" s="40">
        <f t="shared" si="0"/>
        <v>252346</v>
      </c>
      <c r="V23" s="35">
        <v>436</v>
      </c>
      <c r="W23" s="35">
        <v>0</v>
      </c>
      <c r="X23" s="40">
        <f t="shared" ref="X23:X40" si="5">SUM(V23:W23)</f>
        <v>436</v>
      </c>
      <c r="Z23" s="35">
        <v>0</v>
      </c>
      <c r="AA23" s="35">
        <v>0</v>
      </c>
      <c r="AB23" s="35">
        <v>1452</v>
      </c>
      <c r="AC23" s="35">
        <v>943</v>
      </c>
      <c r="AD23" s="35">
        <v>565</v>
      </c>
      <c r="AE23" s="35">
        <v>485</v>
      </c>
      <c r="AF23" s="35">
        <v>1517</v>
      </c>
      <c r="AG23" s="35">
        <v>3287</v>
      </c>
      <c r="AH23" s="35">
        <v>0</v>
      </c>
      <c r="AI23" s="35">
        <v>388</v>
      </c>
      <c r="AJ23" s="35">
        <v>0</v>
      </c>
      <c r="AK23" s="35">
        <v>1291</v>
      </c>
      <c r="AL23" s="35">
        <v>0</v>
      </c>
      <c r="AM23" s="35">
        <v>0</v>
      </c>
      <c r="AN23" s="40">
        <f t="shared" ref="AN23:AN40" si="6">SUM(Z23:AM23)</f>
        <v>9928</v>
      </c>
      <c r="AP23" s="35">
        <v>1714</v>
      </c>
      <c r="AQ23" s="35">
        <v>0</v>
      </c>
      <c r="AR23" s="35">
        <v>24611</v>
      </c>
      <c r="AS23" s="35">
        <v>0</v>
      </c>
      <c r="AT23" s="35">
        <v>54848</v>
      </c>
      <c r="AU23" s="35">
        <v>0</v>
      </c>
      <c r="AV23" s="40">
        <f t="shared" ref="AV23:AV40" si="7">SUM(AP23:AU23)</f>
        <v>81173</v>
      </c>
      <c r="AX23" s="40">
        <f t="shared" si="4"/>
        <v>343883</v>
      </c>
    </row>
    <row r="24" spans="1:50" x14ac:dyDescent="0.2">
      <c r="A24" s="29">
        <v>2</v>
      </c>
      <c r="B24" s="29">
        <v>202302</v>
      </c>
      <c r="C24" s="29">
        <v>3</v>
      </c>
      <c r="D24" s="35">
        <v>2087</v>
      </c>
      <c r="E24" s="35">
        <v>78001</v>
      </c>
      <c r="F24" s="35">
        <v>0</v>
      </c>
      <c r="G24" s="35">
        <v>78369</v>
      </c>
      <c r="H24" s="35">
        <v>0</v>
      </c>
      <c r="I24" s="35">
        <v>64384</v>
      </c>
      <c r="J24" s="35">
        <v>224972</v>
      </c>
      <c r="K24" s="35">
        <v>316569</v>
      </c>
      <c r="L24" s="35">
        <v>257401</v>
      </c>
      <c r="M24" s="35">
        <v>1441789</v>
      </c>
      <c r="N24" s="35">
        <v>1746</v>
      </c>
      <c r="O24" s="35">
        <v>1744</v>
      </c>
      <c r="P24" s="35">
        <v>4790</v>
      </c>
      <c r="Q24" s="35">
        <v>11254</v>
      </c>
      <c r="R24" s="35">
        <v>2932</v>
      </c>
      <c r="S24" s="35">
        <v>1017942</v>
      </c>
      <c r="T24" s="40">
        <f t="shared" si="0"/>
        <v>3503980</v>
      </c>
      <c r="V24" s="35">
        <v>42812</v>
      </c>
      <c r="W24" s="35">
        <v>1751</v>
      </c>
      <c r="X24" s="40">
        <f t="shared" si="5"/>
        <v>44563</v>
      </c>
      <c r="Z24" s="35">
        <v>0</v>
      </c>
      <c r="AA24" s="35">
        <v>0</v>
      </c>
      <c r="AB24" s="35">
        <v>19896</v>
      </c>
      <c r="AC24" s="35">
        <v>20664</v>
      </c>
      <c r="AD24" s="35">
        <v>2867</v>
      </c>
      <c r="AE24" s="35">
        <v>5740</v>
      </c>
      <c r="AF24" s="35">
        <v>73181</v>
      </c>
      <c r="AG24" s="35">
        <v>10998</v>
      </c>
      <c r="AH24" s="35">
        <v>0</v>
      </c>
      <c r="AI24" s="35">
        <v>4995</v>
      </c>
      <c r="AJ24" s="35">
        <v>934</v>
      </c>
      <c r="AK24" s="35">
        <v>7954</v>
      </c>
      <c r="AL24" s="35">
        <v>6768</v>
      </c>
      <c r="AM24" s="35">
        <v>0</v>
      </c>
      <c r="AN24" s="40">
        <f t="shared" si="6"/>
        <v>153997</v>
      </c>
      <c r="AP24" s="35">
        <v>3704</v>
      </c>
      <c r="AQ24" s="35">
        <v>1969</v>
      </c>
      <c r="AR24" s="35">
        <v>0</v>
      </c>
      <c r="AS24" s="35">
        <v>0</v>
      </c>
      <c r="AT24" s="35">
        <v>3753</v>
      </c>
      <c r="AU24" s="35">
        <v>0</v>
      </c>
      <c r="AV24" s="40">
        <f t="shared" si="7"/>
        <v>9426</v>
      </c>
      <c r="AX24" s="40">
        <f t="shared" si="4"/>
        <v>3711966</v>
      </c>
    </row>
    <row r="25" spans="1:50" x14ac:dyDescent="0.2">
      <c r="A25" s="29">
        <v>2</v>
      </c>
      <c r="B25" s="29">
        <v>202302</v>
      </c>
      <c r="C25" s="29">
        <v>6</v>
      </c>
      <c r="D25" s="35">
        <v>2025</v>
      </c>
      <c r="E25" s="35">
        <v>2569012</v>
      </c>
      <c r="F25" s="35">
        <v>608541</v>
      </c>
      <c r="G25" s="35">
        <v>4416471</v>
      </c>
      <c r="H25" s="35">
        <v>0</v>
      </c>
      <c r="I25" s="35">
        <v>2454643</v>
      </c>
      <c r="J25" s="35">
        <v>2174292</v>
      </c>
      <c r="K25" s="35">
        <v>7454883</v>
      </c>
      <c r="L25" s="35">
        <v>7679756</v>
      </c>
      <c r="M25" s="35">
        <v>114588349</v>
      </c>
      <c r="N25" s="35">
        <v>303728</v>
      </c>
      <c r="O25" s="35">
        <v>44604</v>
      </c>
      <c r="P25" s="35">
        <v>146169</v>
      </c>
      <c r="Q25" s="35">
        <v>9814832</v>
      </c>
      <c r="R25" s="35">
        <v>764383</v>
      </c>
      <c r="S25" s="35">
        <v>23709878</v>
      </c>
      <c r="T25" s="40">
        <f t="shared" si="0"/>
        <v>176731566</v>
      </c>
      <c r="V25" s="35">
        <v>849667</v>
      </c>
      <c r="W25" s="35">
        <v>7220</v>
      </c>
      <c r="X25" s="40">
        <f t="shared" si="5"/>
        <v>856887</v>
      </c>
      <c r="Z25" s="35">
        <v>0</v>
      </c>
      <c r="AA25" s="35">
        <v>44731</v>
      </c>
      <c r="AB25" s="35">
        <v>878090</v>
      </c>
      <c r="AC25" s="35">
        <v>68435</v>
      </c>
      <c r="AD25" s="35">
        <v>54720</v>
      </c>
      <c r="AE25" s="35">
        <v>383344</v>
      </c>
      <c r="AF25" s="35">
        <v>2543307</v>
      </c>
      <c r="AG25" s="35">
        <v>589107</v>
      </c>
      <c r="AH25" s="35">
        <v>34400</v>
      </c>
      <c r="AI25" s="35">
        <v>23100</v>
      </c>
      <c r="AJ25" s="35">
        <v>94920</v>
      </c>
      <c r="AK25" s="35">
        <v>116318</v>
      </c>
      <c r="AL25" s="35">
        <v>241749</v>
      </c>
      <c r="AM25" s="35">
        <v>0</v>
      </c>
      <c r="AN25" s="40">
        <f t="shared" si="6"/>
        <v>5072221</v>
      </c>
      <c r="AP25" s="35">
        <v>336965</v>
      </c>
      <c r="AQ25" s="35">
        <v>0</v>
      </c>
      <c r="AR25" s="35">
        <v>924431</v>
      </c>
      <c r="AS25" s="35">
        <v>0</v>
      </c>
      <c r="AT25" s="35">
        <v>3616093</v>
      </c>
      <c r="AU25" s="35">
        <v>0</v>
      </c>
      <c r="AV25" s="40">
        <f t="shared" si="7"/>
        <v>4877489</v>
      </c>
      <c r="AX25" s="40">
        <f t="shared" si="4"/>
        <v>187538163</v>
      </c>
    </row>
    <row r="26" spans="1:50" x14ac:dyDescent="0.2">
      <c r="A26" s="29">
        <v>2</v>
      </c>
      <c r="B26" s="29">
        <v>202302</v>
      </c>
      <c r="C26" s="29" t="s">
        <v>230</v>
      </c>
      <c r="D26" s="35">
        <v>0</v>
      </c>
      <c r="E26" s="35">
        <v>32896</v>
      </c>
      <c r="F26" s="35">
        <v>0</v>
      </c>
      <c r="G26" s="35">
        <v>547230</v>
      </c>
      <c r="H26" s="35">
        <v>11553</v>
      </c>
      <c r="I26" s="35">
        <v>123220</v>
      </c>
      <c r="J26" s="35">
        <v>171160</v>
      </c>
      <c r="K26" s="35">
        <v>829617</v>
      </c>
      <c r="L26" s="35">
        <v>274840</v>
      </c>
      <c r="M26" s="35">
        <v>6042939</v>
      </c>
      <c r="N26" s="35">
        <v>4240</v>
      </c>
      <c r="O26" s="35">
        <v>8240</v>
      </c>
      <c r="P26" s="35">
        <v>4480</v>
      </c>
      <c r="Q26" s="35">
        <v>1232915</v>
      </c>
      <c r="R26" s="35">
        <v>20400</v>
      </c>
      <c r="S26" s="35">
        <v>1221737</v>
      </c>
      <c r="T26" s="40">
        <f t="shared" si="0"/>
        <v>10525467</v>
      </c>
      <c r="V26" s="35">
        <v>19240</v>
      </c>
      <c r="W26" s="35">
        <v>0</v>
      </c>
      <c r="X26" s="40">
        <f t="shared" si="5"/>
        <v>19240</v>
      </c>
      <c r="Z26" s="35">
        <v>0</v>
      </c>
      <c r="AA26" s="35">
        <v>15165</v>
      </c>
      <c r="AB26" s="35">
        <v>13280</v>
      </c>
      <c r="AC26" s="35">
        <v>0</v>
      </c>
      <c r="AD26" s="35">
        <v>0</v>
      </c>
      <c r="AE26" s="35">
        <v>4323</v>
      </c>
      <c r="AF26" s="35">
        <v>283953</v>
      </c>
      <c r="AG26" s="35">
        <v>9200</v>
      </c>
      <c r="AH26" s="35">
        <v>0</v>
      </c>
      <c r="AI26" s="35">
        <v>880</v>
      </c>
      <c r="AJ26" s="35">
        <v>18720</v>
      </c>
      <c r="AK26" s="35">
        <v>0</v>
      </c>
      <c r="AL26" s="35">
        <v>0</v>
      </c>
      <c r="AM26" s="35">
        <v>0</v>
      </c>
      <c r="AN26" s="40">
        <f t="shared" si="6"/>
        <v>345521</v>
      </c>
      <c r="AP26" s="35">
        <v>0</v>
      </c>
      <c r="AQ26" s="35">
        <v>0</v>
      </c>
      <c r="AR26" s="35">
        <v>68168</v>
      </c>
      <c r="AS26" s="35">
        <v>95160</v>
      </c>
      <c r="AT26" s="35">
        <v>299060</v>
      </c>
      <c r="AU26" s="35">
        <v>7440</v>
      </c>
      <c r="AV26" s="40">
        <f t="shared" si="7"/>
        <v>469828</v>
      </c>
      <c r="AX26" s="40">
        <f t="shared" si="4"/>
        <v>11360056</v>
      </c>
    </row>
    <row r="27" spans="1:50" x14ac:dyDescent="0.2">
      <c r="A27" s="29">
        <v>2</v>
      </c>
      <c r="B27" s="29">
        <v>202302</v>
      </c>
      <c r="C27" s="29" t="s">
        <v>231</v>
      </c>
      <c r="D27" s="35">
        <v>0</v>
      </c>
      <c r="E27" s="35">
        <v>0</v>
      </c>
      <c r="F27" s="35">
        <v>0</v>
      </c>
      <c r="G27" s="35">
        <v>0</v>
      </c>
      <c r="H27" s="35">
        <v>0</v>
      </c>
      <c r="I27" s="35">
        <v>0</v>
      </c>
      <c r="J27" s="35">
        <v>0</v>
      </c>
      <c r="K27" s="35">
        <v>0</v>
      </c>
      <c r="L27" s="35">
        <v>0</v>
      </c>
      <c r="M27" s="35">
        <v>0</v>
      </c>
      <c r="N27" s="35">
        <v>0</v>
      </c>
      <c r="O27" s="35">
        <v>0</v>
      </c>
      <c r="P27" s="35">
        <v>0</v>
      </c>
      <c r="Q27" s="35">
        <v>0</v>
      </c>
      <c r="R27" s="35">
        <v>0</v>
      </c>
      <c r="S27" s="35">
        <v>0</v>
      </c>
      <c r="T27" s="40">
        <f t="shared" si="0"/>
        <v>0</v>
      </c>
      <c r="V27" s="35">
        <v>0</v>
      </c>
      <c r="W27" s="35">
        <v>0</v>
      </c>
      <c r="X27" s="40">
        <f t="shared" si="5"/>
        <v>0</v>
      </c>
      <c r="Z27" s="35">
        <v>0</v>
      </c>
      <c r="AA27" s="35">
        <v>0</v>
      </c>
      <c r="AB27" s="35">
        <v>0</v>
      </c>
      <c r="AC27" s="35">
        <v>0</v>
      </c>
      <c r="AD27" s="35">
        <v>0</v>
      </c>
      <c r="AE27" s="35">
        <v>0</v>
      </c>
      <c r="AF27" s="35">
        <v>0</v>
      </c>
      <c r="AG27" s="35">
        <v>0</v>
      </c>
      <c r="AH27" s="35">
        <v>0</v>
      </c>
      <c r="AI27" s="35">
        <v>0</v>
      </c>
      <c r="AJ27" s="35">
        <v>0</v>
      </c>
      <c r="AK27" s="35">
        <v>0</v>
      </c>
      <c r="AL27" s="35">
        <v>0</v>
      </c>
      <c r="AM27" s="35">
        <v>0</v>
      </c>
      <c r="AN27" s="40">
        <f t="shared" si="6"/>
        <v>0</v>
      </c>
      <c r="AP27" s="35">
        <v>0</v>
      </c>
      <c r="AQ27" s="35">
        <v>0</v>
      </c>
      <c r="AR27" s="35">
        <v>0</v>
      </c>
      <c r="AS27" s="35">
        <v>0</v>
      </c>
      <c r="AT27" s="35">
        <v>0</v>
      </c>
      <c r="AU27" s="35">
        <v>0</v>
      </c>
      <c r="AV27" s="40">
        <f t="shared" si="7"/>
        <v>0</v>
      </c>
      <c r="AX27" s="40">
        <f t="shared" si="4"/>
        <v>0</v>
      </c>
    </row>
    <row r="28" spans="1:50" x14ac:dyDescent="0.2">
      <c r="A28" s="29">
        <v>2</v>
      </c>
      <c r="B28" s="29">
        <v>202302</v>
      </c>
      <c r="C28" s="29">
        <v>7</v>
      </c>
      <c r="D28" s="35">
        <v>0</v>
      </c>
      <c r="E28" s="35">
        <v>7285</v>
      </c>
      <c r="F28" s="35">
        <v>0</v>
      </c>
      <c r="G28" s="35">
        <v>4147</v>
      </c>
      <c r="H28" s="35">
        <v>0</v>
      </c>
      <c r="I28" s="35">
        <v>10533</v>
      </c>
      <c r="J28" s="35">
        <v>7109</v>
      </c>
      <c r="K28" s="35">
        <v>17393</v>
      </c>
      <c r="L28" s="35">
        <v>27986</v>
      </c>
      <c r="M28" s="35">
        <v>203252</v>
      </c>
      <c r="N28" s="35">
        <v>1764</v>
      </c>
      <c r="O28" s="35">
        <v>177</v>
      </c>
      <c r="P28" s="35">
        <v>304</v>
      </c>
      <c r="Q28" s="35">
        <v>713</v>
      </c>
      <c r="R28" s="35">
        <v>259</v>
      </c>
      <c r="S28" s="35">
        <v>52668</v>
      </c>
      <c r="T28" s="40">
        <f t="shared" si="0"/>
        <v>333590</v>
      </c>
      <c r="V28" s="35">
        <v>3570</v>
      </c>
      <c r="W28" s="35">
        <v>78</v>
      </c>
      <c r="X28" s="40">
        <f t="shared" si="5"/>
        <v>3648</v>
      </c>
      <c r="Z28" s="35">
        <v>0</v>
      </c>
      <c r="AA28" s="35">
        <v>0</v>
      </c>
      <c r="AB28" s="35">
        <v>285</v>
      </c>
      <c r="AC28" s="35">
        <v>444</v>
      </c>
      <c r="AD28" s="35">
        <v>296</v>
      </c>
      <c r="AE28" s="35">
        <v>69</v>
      </c>
      <c r="AF28" s="35">
        <v>6666</v>
      </c>
      <c r="AG28" s="35">
        <v>829</v>
      </c>
      <c r="AH28" s="35">
        <v>444</v>
      </c>
      <c r="AI28" s="35">
        <v>0</v>
      </c>
      <c r="AJ28" s="35">
        <v>0</v>
      </c>
      <c r="AK28" s="35">
        <v>56</v>
      </c>
      <c r="AL28" s="35">
        <v>646</v>
      </c>
      <c r="AM28" s="35">
        <v>0</v>
      </c>
      <c r="AN28" s="40">
        <f t="shared" si="6"/>
        <v>9735</v>
      </c>
      <c r="AP28" s="35">
        <v>427</v>
      </c>
      <c r="AQ28" s="35">
        <v>208</v>
      </c>
      <c r="AR28" s="35">
        <v>39</v>
      </c>
      <c r="AS28" s="35">
        <v>97</v>
      </c>
      <c r="AT28" s="35">
        <v>305</v>
      </c>
      <c r="AU28" s="35">
        <v>0</v>
      </c>
      <c r="AV28" s="40">
        <f t="shared" si="7"/>
        <v>1076</v>
      </c>
      <c r="AX28" s="40">
        <f t="shared" si="4"/>
        <v>348049</v>
      </c>
    </row>
    <row r="29" spans="1:50" x14ac:dyDescent="0.2">
      <c r="A29" s="29">
        <v>2</v>
      </c>
      <c r="B29" s="29">
        <v>202302</v>
      </c>
      <c r="C29" s="29">
        <v>8</v>
      </c>
      <c r="D29" s="35">
        <v>0</v>
      </c>
      <c r="E29" s="35">
        <v>0</v>
      </c>
      <c r="F29" s="35">
        <v>0</v>
      </c>
      <c r="G29" s="35">
        <v>0</v>
      </c>
      <c r="H29" s="35">
        <v>0</v>
      </c>
      <c r="I29" s="35">
        <v>246900</v>
      </c>
      <c r="J29" s="35">
        <v>586560</v>
      </c>
      <c r="K29" s="35">
        <v>0</v>
      </c>
      <c r="L29" s="35">
        <v>936000</v>
      </c>
      <c r="M29" s="35">
        <v>40306751</v>
      </c>
      <c r="N29" s="35">
        <v>0</v>
      </c>
      <c r="O29" s="35">
        <v>0</v>
      </c>
      <c r="P29" s="35">
        <v>0</v>
      </c>
      <c r="Q29" s="35">
        <v>14100</v>
      </c>
      <c r="R29" s="35">
        <v>0</v>
      </c>
      <c r="S29" s="35">
        <v>8827200</v>
      </c>
      <c r="T29" s="40">
        <f t="shared" si="0"/>
        <v>50917511</v>
      </c>
      <c r="V29" s="35">
        <v>0</v>
      </c>
      <c r="W29" s="35">
        <v>0</v>
      </c>
      <c r="X29" s="40">
        <f t="shared" si="5"/>
        <v>0</v>
      </c>
      <c r="Z29" s="35">
        <v>720000</v>
      </c>
      <c r="AA29" s="35">
        <v>0</v>
      </c>
      <c r="AB29" s="35">
        <v>262800</v>
      </c>
      <c r="AC29" s="35">
        <v>0</v>
      </c>
      <c r="AD29" s="35">
        <v>0</v>
      </c>
      <c r="AE29" s="35">
        <v>1404000</v>
      </c>
      <c r="AF29" s="35">
        <v>607846</v>
      </c>
      <c r="AG29" s="35">
        <v>0</v>
      </c>
      <c r="AH29" s="35">
        <v>0</v>
      </c>
      <c r="AI29" s="35">
        <v>0</v>
      </c>
      <c r="AJ29" s="35">
        <v>0</v>
      </c>
      <c r="AK29" s="35">
        <v>0</v>
      </c>
      <c r="AL29" s="35">
        <v>0</v>
      </c>
      <c r="AM29" s="35">
        <v>0</v>
      </c>
      <c r="AN29" s="40">
        <f t="shared" si="6"/>
        <v>2994646</v>
      </c>
      <c r="AP29" s="35">
        <v>0</v>
      </c>
      <c r="AQ29" s="35">
        <v>0</v>
      </c>
      <c r="AR29" s="35">
        <v>0</v>
      </c>
      <c r="AS29" s="35">
        <v>0</v>
      </c>
      <c r="AT29" s="35">
        <v>585700</v>
      </c>
      <c r="AU29" s="35">
        <v>0</v>
      </c>
      <c r="AV29" s="40">
        <f t="shared" si="7"/>
        <v>585700</v>
      </c>
      <c r="AX29" s="40">
        <f t="shared" si="4"/>
        <v>54497857</v>
      </c>
    </row>
    <row r="30" spans="1:50" x14ac:dyDescent="0.2">
      <c r="A30" s="29">
        <v>2</v>
      </c>
      <c r="B30" s="29">
        <v>202302</v>
      </c>
      <c r="C30" s="29">
        <v>9</v>
      </c>
      <c r="D30" s="35">
        <v>0</v>
      </c>
      <c r="E30" s="35">
        <v>0</v>
      </c>
      <c r="F30" s="35">
        <v>0</v>
      </c>
      <c r="G30" s="35">
        <v>588000</v>
      </c>
      <c r="H30" s="35">
        <v>0</v>
      </c>
      <c r="I30" s="35">
        <v>0</v>
      </c>
      <c r="J30" s="35">
        <v>0</v>
      </c>
      <c r="K30" s="35">
        <v>0</v>
      </c>
      <c r="L30" s="35">
        <v>0</v>
      </c>
      <c r="M30" s="35">
        <v>13190236</v>
      </c>
      <c r="N30" s="35">
        <v>0</v>
      </c>
      <c r="O30" s="35">
        <v>0</v>
      </c>
      <c r="P30" s="35">
        <v>0</v>
      </c>
      <c r="Q30" s="35">
        <v>0</v>
      </c>
      <c r="R30" s="35">
        <v>0</v>
      </c>
      <c r="S30" s="35">
        <v>21670800</v>
      </c>
      <c r="T30" s="40">
        <f t="shared" si="0"/>
        <v>35449036</v>
      </c>
      <c r="V30" s="35">
        <v>2229790</v>
      </c>
      <c r="W30" s="35">
        <v>0</v>
      </c>
      <c r="X30" s="40">
        <f t="shared" si="5"/>
        <v>2229790</v>
      </c>
      <c r="Z30" s="35">
        <v>0</v>
      </c>
      <c r="AA30" s="35">
        <v>0</v>
      </c>
      <c r="AB30" s="35">
        <v>0</v>
      </c>
      <c r="AC30" s="35">
        <v>0</v>
      </c>
      <c r="AD30" s="35">
        <v>0</v>
      </c>
      <c r="AE30" s="35">
        <v>0</v>
      </c>
      <c r="AF30" s="35">
        <v>1358000</v>
      </c>
      <c r="AG30" s="35">
        <v>0</v>
      </c>
      <c r="AH30" s="35">
        <v>0</v>
      </c>
      <c r="AI30" s="35">
        <v>0</v>
      </c>
      <c r="AJ30" s="35">
        <v>0</v>
      </c>
      <c r="AK30" s="35">
        <v>0</v>
      </c>
      <c r="AL30" s="35">
        <v>0</v>
      </c>
      <c r="AM30" s="35">
        <v>0</v>
      </c>
      <c r="AN30" s="40">
        <f t="shared" si="6"/>
        <v>1358000</v>
      </c>
      <c r="AP30" s="35">
        <v>0</v>
      </c>
      <c r="AQ30" s="35">
        <v>0</v>
      </c>
      <c r="AR30" s="35">
        <v>0</v>
      </c>
      <c r="AS30" s="35">
        <v>0</v>
      </c>
      <c r="AT30" s="35">
        <v>0</v>
      </c>
      <c r="AU30" s="35">
        <v>0</v>
      </c>
      <c r="AV30" s="40">
        <f t="shared" si="7"/>
        <v>0</v>
      </c>
      <c r="AX30" s="40">
        <f t="shared" si="4"/>
        <v>39036826</v>
      </c>
    </row>
    <row r="31" spans="1:50" x14ac:dyDescent="0.2">
      <c r="A31" s="29">
        <v>2</v>
      </c>
      <c r="B31" s="29">
        <v>202302</v>
      </c>
      <c r="C31" s="29" t="s">
        <v>234</v>
      </c>
      <c r="D31" s="35">
        <v>0</v>
      </c>
      <c r="E31" s="35">
        <v>0</v>
      </c>
      <c r="F31" s="35">
        <v>0</v>
      </c>
      <c r="G31" s="35">
        <v>0</v>
      </c>
      <c r="H31" s="35">
        <v>0</v>
      </c>
      <c r="I31" s="35">
        <v>0</v>
      </c>
      <c r="J31" s="35">
        <v>0</v>
      </c>
      <c r="K31" s="35">
        <v>0</v>
      </c>
      <c r="L31" s="35">
        <v>0</v>
      </c>
      <c r="M31" s="35">
        <v>334800</v>
      </c>
      <c r="N31" s="35">
        <v>0</v>
      </c>
      <c r="O31" s="35">
        <v>0</v>
      </c>
      <c r="P31" s="35">
        <v>0</v>
      </c>
      <c r="Q31" s="35">
        <v>0</v>
      </c>
      <c r="R31" s="35">
        <v>0</v>
      </c>
      <c r="S31" s="35">
        <v>0</v>
      </c>
      <c r="T31" s="40">
        <f t="shared" si="0"/>
        <v>334800</v>
      </c>
      <c r="V31" s="35">
        <v>0</v>
      </c>
      <c r="W31" s="35">
        <v>0</v>
      </c>
      <c r="X31" s="40">
        <f t="shared" si="5"/>
        <v>0</v>
      </c>
      <c r="Z31" s="35">
        <v>0</v>
      </c>
      <c r="AA31" s="35">
        <v>0</v>
      </c>
      <c r="AB31" s="35">
        <v>0</v>
      </c>
      <c r="AC31" s="35">
        <v>0</v>
      </c>
      <c r="AD31" s="35">
        <v>0</v>
      </c>
      <c r="AE31" s="35">
        <v>0</v>
      </c>
      <c r="AF31" s="35">
        <v>0</v>
      </c>
      <c r="AG31" s="35">
        <v>0</v>
      </c>
      <c r="AH31" s="35">
        <v>0</v>
      </c>
      <c r="AI31" s="35">
        <v>0</v>
      </c>
      <c r="AJ31" s="35">
        <v>0</v>
      </c>
      <c r="AK31" s="35">
        <v>0</v>
      </c>
      <c r="AL31" s="35">
        <v>0</v>
      </c>
      <c r="AM31" s="35">
        <v>0</v>
      </c>
      <c r="AN31" s="40">
        <f t="shared" si="6"/>
        <v>0</v>
      </c>
      <c r="AP31" s="35">
        <v>0</v>
      </c>
      <c r="AQ31" s="35">
        <v>0</v>
      </c>
      <c r="AR31" s="35">
        <v>0</v>
      </c>
      <c r="AS31" s="35">
        <v>0</v>
      </c>
      <c r="AT31" s="35">
        <v>0</v>
      </c>
      <c r="AU31" s="35">
        <v>0</v>
      </c>
      <c r="AV31" s="40">
        <f t="shared" si="7"/>
        <v>0</v>
      </c>
      <c r="AX31" s="40">
        <f t="shared" si="4"/>
        <v>334800</v>
      </c>
    </row>
    <row r="32" spans="1:50" x14ac:dyDescent="0.2">
      <c r="A32" s="29">
        <v>2</v>
      </c>
      <c r="B32" s="29">
        <v>202302</v>
      </c>
      <c r="C32" s="29" t="s">
        <v>235</v>
      </c>
      <c r="D32" s="35">
        <v>0</v>
      </c>
      <c r="E32" s="35">
        <v>0</v>
      </c>
      <c r="F32" s="35">
        <v>0</v>
      </c>
      <c r="G32" s="35">
        <v>0</v>
      </c>
      <c r="H32" s="35">
        <v>0</v>
      </c>
      <c r="I32" s="35">
        <v>0</v>
      </c>
      <c r="J32" s="35">
        <v>0</v>
      </c>
      <c r="K32" s="35">
        <v>0</v>
      </c>
      <c r="L32" s="35">
        <v>0</v>
      </c>
      <c r="M32" s="35">
        <v>136314</v>
      </c>
      <c r="N32" s="35">
        <v>0</v>
      </c>
      <c r="O32" s="35">
        <v>0</v>
      </c>
      <c r="P32" s="35">
        <v>0</v>
      </c>
      <c r="Q32" s="35">
        <v>0</v>
      </c>
      <c r="R32" s="35">
        <v>0</v>
      </c>
      <c r="S32" s="35">
        <v>1393037</v>
      </c>
      <c r="T32" s="40">
        <f t="shared" si="0"/>
        <v>1529351</v>
      </c>
      <c r="V32" s="35">
        <v>0</v>
      </c>
      <c r="W32" s="35">
        <v>0</v>
      </c>
      <c r="X32" s="40">
        <f t="shared" si="5"/>
        <v>0</v>
      </c>
      <c r="Z32" s="35">
        <v>0</v>
      </c>
      <c r="AA32" s="35">
        <v>0</v>
      </c>
      <c r="AB32" s="35">
        <v>23555200</v>
      </c>
      <c r="AC32" s="35">
        <v>0</v>
      </c>
      <c r="AD32" s="35">
        <v>0</v>
      </c>
      <c r="AE32" s="35">
        <v>0</v>
      </c>
      <c r="AF32" s="35">
        <v>0</v>
      </c>
      <c r="AG32" s="35">
        <v>0</v>
      </c>
      <c r="AH32" s="35">
        <v>0</v>
      </c>
      <c r="AI32" s="35">
        <v>0</v>
      </c>
      <c r="AJ32" s="35">
        <v>0</v>
      </c>
      <c r="AK32" s="35">
        <v>0</v>
      </c>
      <c r="AL32" s="35">
        <v>0</v>
      </c>
      <c r="AM32" s="35">
        <v>0</v>
      </c>
      <c r="AN32" s="40">
        <f t="shared" si="6"/>
        <v>23555200</v>
      </c>
      <c r="AP32" s="35">
        <v>0</v>
      </c>
      <c r="AQ32" s="35">
        <v>0</v>
      </c>
      <c r="AR32" s="35">
        <v>0</v>
      </c>
      <c r="AS32" s="35">
        <v>0</v>
      </c>
      <c r="AT32" s="35">
        <v>0</v>
      </c>
      <c r="AU32" s="35">
        <v>0</v>
      </c>
      <c r="AV32" s="40">
        <f t="shared" si="7"/>
        <v>0</v>
      </c>
      <c r="AX32" s="40">
        <f t="shared" si="4"/>
        <v>25084551</v>
      </c>
    </row>
    <row r="33" spans="1:50" x14ac:dyDescent="0.2">
      <c r="A33" s="29">
        <v>2</v>
      </c>
      <c r="B33" s="29">
        <v>202302</v>
      </c>
      <c r="C33" s="29">
        <v>10</v>
      </c>
      <c r="D33" s="35">
        <v>0</v>
      </c>
      <c r="E33" s="35">
        <v>1048</v>
      </c>
      <c r="F33" s="35">
        <v>0</v>
      </c>
      <c r="G33" s="35">
        <v>0</v>
      </c>
      <c r="H33" s="35">
        <v>0</v>
      </c>
      <c r="I33" s="35">
        <v>4402</v>
      </c>
      <c r="J33" s="35">
        <v>463</v>
      </c>
      <c r="K33" s="35">
        <v>0</v>
      </c>
      <c r="L33" s="35">
        <v>0</v>
      </c>
      <c r="M33" s="35">
        <v>17442</v>
      </c>
      <c r="N33" s="35">
        <v>2638</v>
      </c>
      <c r="O33" s="35">
        <v>0</v>
      </c>
      <c r="P33" s="35">
        <v>8848</v>
      </c>
      <c r="Q33" s="35">
        <v>0</v>
      </c>
      <c r="R33" s="35">
        <v>8074</v>
      </c>
      <c r="S33" s="35">
        <v>1389</v>
      </c>
      <c r="T33" s="40">
        <f t="shared" si="0"/>
        <v>44304</v>
      </c>
      <c r="V33" s="35">
        <v>2033</v>
      </c>
      <c r="W33" s="35">
        <v>14400</v>
      </c>
      <c r="X33" s="40">
        <f t="shared" si="5"/>
        <v>16433</v>
      </c>
      <c r="Z33" s="35">
        <v>0</v>
      </c>
      <c r="AA33" s="35">
        <v>0</v>
      </c>
      <c r="AB33" s="35">
        <v>0</v>
      </c>
      <c r="AC33" s="35">
        <v>0</v>
      </c>
      <c r="AD33" s="35">
        <v>0</v>
      </c>
      <c r="AE33" s="35">
        <v>0</v>
      </c>
      <c r="AF33" s="35">
        <v>580</v>
      </c>
      <c r="AG33" s="35">
        <v>48800</v>
      </c>
      <c r="AH33" s="35">
        <v>0</v>
      </c>
      <c r="AI33" s="35">
        <v>0</v>
      </c>
      <c r="AJ33" s="35">
        <v>0</v>
      </c>
      <c r="AK33" s="35">
        <v>1338</v>
      </c>
      <c r="AL33" s="35">
        <v>0</v>
      </c>
      <c r="AM33" s="35">
        <v>0</v>
      </c>
      <c r="AN33" s="40">
        <f t="shared" si="6"/>
        <v>50718</v>
      </c>
      <c r="AP33" s="35">
        <v>2923</v>
      </c>
      <c r="AQ33" s="35">
        <v>0</v>
      </c>
      <c r="AR33" s="35">
        <v>0</v>
      </c>
      <c r="AS33" s="35">
        <v>658</v>
      </c>
      <c r="AT33" s="35">
        <v>0</v>
      </c>
      <c r="AU33" s="35">
        <v>5560</v>
      </c>
      <c r="AV33" s="40">
        <f t="shared" si="7"/>
        <v>9141</v>
      </c>
      <c r="AX33" s="40">
        <f t="shared" si="4"/>
        <v>120596</v>
      </c>
    </row>
    <row r="34" spans="1:50" x14ac:dyDescent="0.2">
      <c r="A34" s="29">
        <v>2</v>
      </c>
      <c r="B34" s="29">
        <v>202302</v>
      </c>
      <c r="C34" s="29">
        <v>11</v>
      </c>
      <c r="D34" s="35">
        <v>0</v>
      </c>
      <c r="E34" s="35">
        <v>0</v>
      </c>
      <c r="F34" s="35">
        <v>44</v>
      </c>
      <c r="G34" s="35">
        <v>28274</v>
      </c>
      <c r="H34" s="35">
        <v>0</v>
      </c>
      <c r="I34" s="35">
        <v>23109</v>
      </c>
      <c r="J34" s="35">
        <v>0</v>
      </c>
      <c r="K34" s="35">
        <v>0</v>
      </c>
      <c r="L34" s="35">
        <v>0</v>
      </c>
      <c r="M34" s="35">
        <v>4515</v>
      </c>
      <c r="N34" s="35">
        <v>5346</v>
      </c>
      <c r="O34" s="35">
        <v>499</v>
      </c>
      <c r="P34" s="35">
        <v>1561</v>
      </c>
      <c r="Q34" s="35">
        <v>0</v>
      </c>
      <c r="R34" s="35">
        <v>117</v>
      </c>
      <c r="S34" s="35">
        <v>118108</v>
      </c>
      <c r="T34" s="40">
        <f t="shared" si="0"/>
        <v>181573</v>
      </c>
      <c r="V34" s="35">
        <v>46183</v>
      </c>
      <c r="W34" s="35">
        <v>0</v>
      </c>
      <c r="X34" s="40">
        <f t="shared" si="5"/>
        <v>46183</v>
      </c>
      <c r="Z34" s="35">
        <v>0</v>
      </c>
      <c r="AA34" s="35">
        <v>0</v>
      </c>
      <c r="AB34" s="35">
        <v>0</v>
      </c>
      <c r="AC34" s="35">
        <v>0</v>
      </c>
      <c r="AD34" s="35">
        <v>0</v>
      </c>
      <c r="AE34" s="35">
        <v>0</v>
      </c>
      <c r="AF34" s="35">
        <v>5555</v>
      </c>
      <c r="AG34" s="35">
        <v>0</v>
      </c>
      <c r="AH34" s="35">
        <v>1184</v>
      </c>
      <c r="AI34" s="35">
        <v>0</v>
      </c>
      <c r="AJ34" s="35">
        <v>0</v>
      </c>
      <c r="AK34" s="35">
        <v>0</v>
      </c>
      <c r="AL34" s="35">
        <v>0</v>
      </c>
      <c r="AM34" s="35">
        <v>0</v>
      </c>
      <c r="AN34" s="40">
        <f t="shared" si="6"/>
        <v>6739</v>
      </c>
      <c r="AP34" s="35">
        <v>0</v>
      </c>
      <c r="AQ34" s="35">
        <v>0</v>
      </c>
      <c r="AR34" s="35">
        <v>0</v>
      </c>
      <c r="AS34" s="35">
        <v>0</v>
      </c>
      <c r="AT34" s="35">
        <v>0</v>
      </c>
      <c r="AU34" s="35">
        <v>0</v>
      </c>
      <c r="AV34" s="40">
        <f t="shared" si="7"/>
        <v>0</v>
      </c>
      <c r="AX34" s="40">
        <f t="shared" si="4"/>
        <v>234495</v>
      </c>
    </row>
    <row r="35" spans="1:50" x14ac:dyDescent="0.2">
      <c r="A35" s="29">
        <v>2</v>
      </c>
      <c r="B35" s="29">
        <v>202302</v>
      </c>
      <c r="C35" s="29">
        <v>12</v>
      </c>
      <c r="D35" s="35">
        <v>0</v>
      </c>
      <c r="E35" s="35">
        <v>0</v>
      </c>
      <c r="F35" s="35">
        <v>0</v>
      </c>
      <c r="G35" s="35">
        <v>14471</v>
      </c>
      <c r="H35" s="35">
        <v>0</v>
      </c>
      <c r="I35" s="35">
        <v>10745</v>
      </c>
      <c r="J35" s="35">
        <v>0</v>
      </c>
      <c r="K35" s="35">
        <v>46668</v>
      </c>
      <c r="L35" s="35">
        <v>156</v>
      </c>
      <c r="M35" s="35">
        <v>978914</v>
      </c>
      <c r="N35" s="35">
        <v>2582</v>
      </c>
      <c r="O35" s="35">
        <v>0</v>
      </c>
      <c r="P35" s="35">
        <v>0</v>
      </c>
      <c r="Q35" s="35">
        <v>1617</v>
      </c>
      <c r="R35" s="35">
        <v>0</v>
      </c>
      <c r="S35" s="35">
        <v>58321</v>
      </c>
      <c r="T35" s="40">
        <f t="shared" si="0"/>
        <v>1113474</v>
      </c>
      <c r="V35" s="35">
        <v>6878</v>
      </c>
      <c r="W35" s="35">
        <v>0</v>
      </c>
      <c r="X35" s="40">
        <f t="shared" si="5"/>
        <v>6878</v>
      </c>
      <c r="Z35" s="35">
        <v>0</v>
      </c>
      <c r="AA35" s="35">
        <v>0</v>
      </c>
      <c r="AB35" s="35">
        <v>0</v>
      </c>
      <c r="AC35" s="35">
        <v>0</v>
      </c>
      <c r="AD35" s="35">
        <v>0</v>
      </c>
      <c r="AE35" s="35">
        <v>0</v>
      </c>
      <c r="AF35" s="35">
        <v>55152</v>
      </c>
      <c r="AG35" s="35">
        <v>0</v>
      </c>
      <c r="AH35" s="35">
        <v>0</v>
      </c>
      <c r="AI35" s="35">
        <v>308</v>
      </c>
      <c r="AJ35" s="35">
        <v>0</v>
      </c>
      <c r="AK35" s="35">
        <v>0</v>
      </c>
      <c r="AL35" s="35">
        <v>35122</v>
      </c>
      <c r="AM35" s="35">
        <v>0</v>
      </c>
      <c r="AN35" s="40">
        <f t="shared" si="6"/>
        <v>90582</v>
      </c>
      <c r="AP35" s="35">
        <v>0</v>
      </c>
      <c r="AQ35" s="35">
        <v>0</v>
      </c>
      <c r="AR35" s="35">
        <v>543</v>
      </c>
      <c r="AS35" s="35">
        <v>0</v>
      </c>
      <c r="AT35" s="35">
        <v>276</v>
      </c>
      <c r="AU35" s="35">
        <v>0</v>
      </c>
      <c r="AV35" s="40">
        <f t="shared" si="7"/>
        <v>819</v>
      </c>
      <c r="AX35" s="40">
        <f t="shared" si="4"/>
        <v>1211753</v>
      </c>
    </row>
    <row r="36" spans="1:50" x14ac:dyDescent="0.2">
      <c r="A36" s="29">
        <v>2</v>
      </c>
      <c r="B36" s="29">
        <v>202302</v>
      </c>
      <c r="C36" s="29">
        <v>15</v>
      </c>
      <c r="D36" s="35">
        <v>0</v>
      </c>
      <c r="E36" s="35">
        <v>2848</v>
      </c>
      <c r="F36" s="35">
        <v>0</v>
      </c>
      <c r="G36" s="35">
        <v>14239</v>
      </c>
      <c r="H36" s="35">
        <v>0</v>
      </c>
      <c r="I36" s="35">
        <v>5752</v>
      </c>
      <c r="J36" s="35">
        <v>6322</v>
      </c>
      <c r="K36" s="35">
        <v>28217</v>
      </c>
      <c r="L36" s="35">
        <v>15037</v>
      </c>
      <c r="M36" s="35">
        <v>524125</v>
      </c>
      <c r="N36" s="35">
        <v>675</v>
      </c>
      <c r="O36" s="35">
        <v>0</v>
      </c>
      <c r="P36" s="35">
        <v>580</v>
      </c>
      <c r="Q36" s="35">
        <v>15765</v>
      </c>
      <c r="R36" s="35">
        <v>0</v>
      </c>
      <c r="S36" s="35">
        <v>50754</v>
      </c>
      <c r="T36" s="40">
        <f t="shared" si="0"/>
        <v>664314</v>
      </c>
      <c r="V36" s="35">
        <v>2518</v>
      </c>
      <c r="W36" s="35">
        <v>0</v>
      </c>
      <c r="X36" s="40">
        <f t="shared" si="5"/>
        <v>2518</v>
      </c>
      <c r="Z36" s="35">
        <v>0</v>
      </c>
      <c r="AA36" s="35">
        <v>3985</v>
      </c>
      <c r="AB36" s="35">
        <v>1050</v>
      </c>
      <c r="AC36" s="35">
        <v>0</v>
      </c>
      <c r="AD36" s="35">
        <v>0</v>
      </c>
      <c r="AE36" s="35">
        <v>481</v>
      </c>
      <c r="AF36" s="35">
        <v>33067</v>
      </c>
      <c r="AG36" s="35">
        <v>1868</v>
      </c>
      <c r="AH36" s="35">
        <v>0</v>
      </c>
      <c r="AI36" s="35">
        <v>0</v>
      </c>
      <c r="AJ36" s="35">
        <v>0</v>
      </c>
      <c r="AK36" s="35">
        <v>578</v>
      </c>
      <c r="AL36" s="35">
        <v>147</v>
      </c>
      <c r="AM36" s="35">
        <v>0</v>
      </c>
      <c r="AN36" s="40">
        <f t="shared" si="6"/>
        <v>41176</v>
      </c>
      <c r="AP36" s="35">
        <v>0</v>
      </c>
      <c r="AQ36" s="35">
        <v>0</v>
      </c>
      <c r="AR36" s="35">
        <v>754</v>
      </c>
      <c r="AS36" s="35">
        <v>0</v>
      </c>
      <c r="AT36" s="35">
        <v>4694</v>
      </c>
      <c r="AU36" s="35">
        <v>0</v>
      </c>
      <c r="AV36" s="40">
        <f t="shared" si="7"/>
        <v>5448</v>
      </c>
      <c r="AX36" s="40">
        <f t="shared" si="4"/>
        <v>713456</v>
      </c>
    </row>
    <row r="37" spans="1:50" x14ac:dyDescent="0.2">
      <c r="A37" s="29">
        <v>2</v>
      </c>
      <c r="B37" s="29">
        <v>202302</v>
      </c>
      <c r="C37" s="29">
        <v>21</v>
      </c>
      <c r="D37" s="35">
        <v>0</v>
      </c>
      <c r="E37" s="35">
        <v>0</v>
      </c>
      <c r="F37" s="35">
        <v>0</v>
      </c>
      <c r="G37" s="35">
        <v>0</v>
      </c>
      <c r="H37" s="35">
        <v>0</v>
      </c>
      <c r="I37" s="35">
        <v>0</v>
      </c>
      <c r="J37" s="35">
        <v>0</v>
      </c>
      <c r="K37" s="35">
        <v>0</v>
      </c>
      <c r="L37" s="35">
        <v>0</v>
      </c>
      <c r="M37" s="35">
        <v>0</v>
      </c>
      <c r="N37" s="35">
        <v>0</v>
      </c>
      <c r="O37" s="35">
        <v>0</v>
      </c>
      <c r="P37" s="35">
        <v>0</v>
      </c>
      <c r="Q37" s="35">
        <v>0</v>
      </c>
      <c r="R37" s="35">
        <v>0</v>
      </c>
      <c r="S37" s="35">
        <v>0</v>
      </c>
      <c r="T37" s="40">
        <f t="shared" si="0"/>
        <v>0</v>
      </c>
      <c r="V37" s="35">
        <v>0</v>
      </c>
      <c r="W37" s="35">
        <v>0</v>
      </c>
      <c r="X37" s="40">
        <f t="shared" si="5"/>
        <v>0</v>
      </c>
      <c r="Z37" s="35">
        <v>0</v>
      </c>
      <c r="AA37" s="35">
        <v>0</v>
      </c>
      <c r="AB37" s="35">
        <v>0</v>
      </c>
      <c r="AC37" s="35">
        <v>0</v>
      </c>
      <c r="AD37" s="35">
        <v>0</v>
      </c>
      <c r="AE37" s="35">
        <v>0</v>
      </c>
      <c r="AF37" s="35">
        <v>0</v>
      </c>
      <c r="AG37" s="35">
        <v>0</v>
      </c>
      <c r="AH37" s="35">
        <v>0</v>
      </c>
      <c r="AI37" s="35">
        <v>0</v>
      </c>
      <c r="AJ37" s="35">
        <v>0</v>
      </c>
      <c r="AK37" s="35">
        <v>0</v>
      </c>
      <c r="AL37" s="35">
        <v>0</v>
      </c>
      <c r="AM37" s="35">
        <v>0</v>
      </c>
      <c r="AN37" s="40">
        <f t="shared" si="6"/>
        <v>0</v>
      </c>
      <c r="AP37" s="35">
        <v>0</v>
      </c>
      <c r="AQ37" s="35">
        <v>0</v>
      </c>
      <c r="AR37" s="35">
        <v>0</v>
      </c>
      <c r="AS37" s="35">
        <v>0</v>
      </c>
      <c r="AT37" s="35">
        <v>0</v>
      </c>
      <c r="AU37" s="35">
        <v>0</v>
      </c>
      <c r="AV37" s="40">
        <f t="shared" si="7"/>
        <v>0</v>
      </c>
      <c r="AX37" s="40">
        <f t="shared" si="4"/>
        <v>0</v>
      </c>
    </row>
    <row r="38" spans="1:50" x14ac:dyDescent="0.2">
      <c r="A38" s="29">
        <v>2</v>
      </c>
      <c r="B38" s="29">
        <v>202302</v>
      </c>
      <c r="C38" s="29">
        <v>23</v>
      </c>
      <c r="D38" s="35">
        <v>6514</v>
      </c>
      <c r="E38" s="35">
        <v>795329</v>
      </c>
      <c r="F38" s="35">
        <v>93036</v>
      </c>
      <c r="G38" s="35">
        <v>1153822</v>
      </c>
      <c r="H38" s="35">
        <v>18162</v>
      </c>
      <c r="I38" s="35">
        <v>1221030</v>
      </c>
      <c r="J38" s="35">
        <v>515362</v>
      </c>
      <c r="K38" s="35">
        <v>2343498</v>
      </c>
      <c r="L38" s="35">
        <v>2548045</v>
      </c>
      <c r="M38" s="35">
        <v>16770622</v>
      </c>
      <c r="N38" s="35">
        <v>292942</v>
      </c>
      <c r="O38" s="35">
        <v>50219</v>
      </c>
      <c r="P38" s="35">
        <v>97909</v>
      </c>
      <c r="Q38" s="35">
        <v>3679230</v>
      </c>
      <c r="R38" s="35">
        <v>324786</v>
      </c>
      <c r="S38" s="35">
        <v>5649150</v>
      </c>
      <c r="T38" s="40">
        <f t="shared" si="0"/>
        <v>35559656</v>
      </c>
      <c r="V38" s="35">
        <v>754296</v>
      </c>
      <c r="W38" s="35">
        <v>15111</v>
      </c>
      <c r="X38" s="40">
        <f t="shared" si="5"/>
        <v>769407</v>
      </c>
      <c r="Z38" s="35">
        <v>1703</v>
      </c>
      <c r="AA38" s="35">
        <v>8256</v>
      </c>
      <c r="AB38" s="35">
        <v>73148</v>
      </c>
      <c r="AC38" s="35">
        <v>27650</v>
      </c>
      <c r="AD38" s="35">
        <v>6881</v>
      </c>
      <c r="AE38" s="35">
        <v>82437</v>
      </c>
      <c r="AF38" s="35">
        <v>661979</v>
      </c>
      <c r="AG38" s="35">
        <v>93017</v>
      </c>
      <c r="AH38" s="35">
        <v>26356</v>
      </c>
      <c r="AI38" s="35">
        <v>13843</v>
      </c>
      <c r="AJ38" s="35">
        <v>51695</v>
      </c>
      <c r="AK38" s="35">
        <v>113608</v>
      </c>
      <c r="AL38" s="35">
        <v>111734</v>
      </c>
      <c r="AM38" s="35">
        <v>0</v>
      </c>
      <c r="AN38" s="40">
        <f t="shared" si="6"/>
        <v>1272307</v>
      </c>
      <c r="AP38" s="35">
        <v>176276</v>
      </c>
      <c r="AQ38" s="35">
        <v>22977</v>
      </c>
      <c r="AR38" s="35">
        <v>574621</v>
      </c>
      <c r="AS38" s="35">
        <v>17956</v>
      </c>
      <c r="AT38" s="35">
        <v>2113729</v>
      </c>
      <c r="AU38" s="35">
        <v>1843</v>
      </c>
      <c r="AV38" s="40">
        <f t="shared" si="7"/>
        <v>2907402</v>
      </c>
      <c r="AX38" s="40">
        <f t="shared" si="4"/>
        <v>40508772</v>
      </c>
    </row>
    <row r="39" spans="1:50" x14ac:dyDescent="0.2">
      <c r="A39" s="29">
        <v>2</v>
      </c>
      <c r="B39" s="29">
        <v>202302</v>
      </c>
      <c r="C39" s="29">
        <v>31</v>
      </c>
      <c r="D39" s="35">
        <v>0</v>
      </c>
      <c r="E39" s="35">
        <v>0</v>
      </c>
      <c r="F39" s="35">
        <v>0</v>
      </c>
      <c r="G39" s="35">
        <v>0</v>
      </c>
      <c r="H39" s="35">
        <v>0</v>
      </c>
      <c r="I39" s="35">
        <v>0</v>
      </c>
      <c r="J39" s="35">
        <v>0</v>
      </c>
      <c r="K39" s="35">
        <v>0</v>
      </c>
      <c r="L39" s="35">
        <v>0</v>
      </c>
      <c r="M39" s="35">
        <v>11829943</v>
      </c>
      <c r="N39" s="35">
        <v>0</v>
      </c>
      <c r="O39" s="35">
        <v>0</v>
      </c>
      <c r="P39" s="35">
        <v>0</v>
      </c>
      <c r="Q39" s="35">
        <v>0</v>
      </c>
      <c r="R39" s="35">
        <v>0</v>
      </c>
      <c r="S39" s="35">
        <v>0</v>
      </c>
      <c r="T39" s="40">
        <f t="shared" si="0"/>
        <v>11829943</v>
      </c>
      <c r="V39" s="35">
        <v>0</v>
      </c>
      <c r="W39" s="35">
        <v>0</v>
      </c>
      <c r="X39" s="40">
        <f t="shared" si="5"/>
        <v>0</v>
      </c>
      <c r="Z39" s="35">
        <v>1077600</v>
      </c>
      <c r="AA39" s="35">
        <v>0</v>
      </c>
      <c r="AB39" s="35">
        <v>0</v>
      </c>
      <c r="AC39" s="35">
        <v>0</v>
      </c>
      <c r="AD39" s="35">
        <v>0</v>
      </c>
      <c r="AE39" s="35">
        <v>0</v>
      </c>
      <c r="AF39" s="35">
        <v>0</v>
      </c>
      <c r="AG39" s="35">
        <v>0</v>
      </c>
      <c r="AH39" s="35">
        <v>0</v>
      </c>
      <c r="AI39" s="35">
        <v>0</v>
      </c>
      <c r="AJ39" s="35">
        <v>0</v>
      </c>
      <c r="AK39" s="35">
        <v>0</v>
      </c>
      <c r="AL39" s="35">
        <v>0</v>
      </c>
      <c r="AM39" s="35">
        <v>0</v>
      </c>
      <c r="AN39" s="40">
        <f t="shared" si="6"/>
        <v>1077600</v>
      </c>
      <c r="AP39" s="35">
        <v>0</v>
      </c>
      <c r="AQ39" s="35">
        <v>0</v>
      </c>
      <c r="AR39" s="35">
        <v>0</v>
      </c>
      <c r="AS39" s="35">
        <v>0</v>
      </c>
      <c r="AT39" s="35">
        <v>0</v>
      </c>
      <c r="AU39" s="35">
        <v>0</v>
      </c>
      <c r="AV39" s="40">
        <f t="shared" si="7"/>
        <v>0</v>
      </c>
      <c r="AX39" s="40">
        <f t="shared" si="4"/>
        <v>12907543</v>
      </c>
    </row>
    <row r="40" spans="1:50" x14ac:dyDescent="0.2">
      <c r="A40" s="29">
        <v>2</v>
      </c>
      <c r="B40" s="29">
        <v>202302</v>
      </c>
      <c r="C40" s="29">
        <v>32</v>
      </c>
      <c r="D40" s="35">
        <v>0</v>
      </c>
      <c r="E40" s="35">
        <v>0</v>
      </c>
      <c r="F40" s="35">
        <v>0</v>
      </c>
      <c r="G40" s="35">
        <v>0</v>
      </c>
      <c r="H40" s="35">
        <v>0</v>
      </c>
      <c r="I40" s="35">
        <v>0</v>
      </c>
      <c r="J40" s="35">
        <v>0</v>
      </c>
      <c r="K40" s="35">
        <v>0</v>
      </c>
      <c r="L40" s="35">
        <v>0</v>
      </c>
      <c r="M40" s="35">
        <v>13444463</v>
      </c>
      <c r="N40" s="35">
        <v>0</v>
      </c>
      <c r="O40" s="35">
        <v>0</v>
      </c>
      <c r="P40" s="35">
        <v>0</v>
      </c>
      <c r="Q40" s="35">
        <v>0</v>
      </c>
      <c r="R40" s="35">
        <v>0</v>
      </c>
      <c r="S40" s="35">
        <v>0</v>
      </c>
      <c r="T40" s="40">
        <f t="shared" si="0"/>
        <v>13444463</v>
      </c>
      <c r="V40" s="35">
        <v>0</v>
      </c>
      <c r="W40" s="35">
        <v>0</v>
      </c>
      <c r="X40" s="40">
        <f t="shared" si="5"/>
        <v>0</v>
      </c>
      <c r="Z40" s="35">
        <v>0</v>
      </c>
      <c r="AA40" s="35">
        <v>0</v>
      </c>
      <c r="AB40" s="35">
        <v>0</v>
      </c>
      <c r="AC40" s="35">
        <v>0</v>
      </c>
      <c r="AD40" s="35">
        <v>0</v>
      </c>
      <c r="AE40" s="35">
        <v>0</v>
      </c>
      <c r="AF40" s="35">
        <v>0</v>
      </c>
      <c r="AG40" s="35">
        <v>0</v>
      </c>
      <c r="AH40" s="35">
        <v>0</v>
      </c>
      <c r="AI40" s="35">
        <v>0</v>
      </c>
      <c r="AJ40" s="35">
        <v>0</v>
      </c>
      <c r="AK40" s="35">
        <v>0</v>
      </c>
      <c r="AL40" s="35">
        <v>0</v>
      </c>
      <c r="AM40" s="35">
        <v>0</v>
      </c>
      <c r="AN40" s="40">
        <f t="shared" si="6"/>
        <v>0</v>
      </c>
      <c r="AP40" s="35">
        <v>0</v>
      </c>
      <c r="AQ40" s="35">
        <v>0</v>
      </c>
      <c r="AR40" s="35">
        <v>0</v>
      </c>
      <c r="AS40" s="35">
        <v>0</v>
      </c>
      <c r="AT40" s="35">
        <v>0</v>
      </c>
      <c r="AU40" s="35">
        <v>0</v>
      </c>
      <c r="AV40" s="40">
        <f t="shared" si="7"/>
        <v>0</v>
      </c>
      <c r="AX40" s="40">
        <f t="shared" si="4"/>
        <v>13444463</v>
      </c>
    </row>
    <row r="41" spans="1:50" x14ac:dyDescent="0.2">
      <c r="A41" s="29">
        <v>3</v>
      </c>
      <c r="B41" s="29">
        <v>202303</v>
      </c>
      <c r="C41" s="29">
        <v>1</v>
      </c>
      <c r="D41" s="35">
        <v>228704</v>
      </c>
      <c r="E41" s="35">
        <v>1530695</v>
      </c>
      <c r="F41" s="35">
        <v>487084</v>
      </c>
      <c r="G41" s="35">
        <v>9818430</v>
      </c>
      <c r="H41" s="35">
        <v>658338</v>
      </c>
      <c r="I41" s="35">
        <v>9518110</v>
      </c>
      <c r="J41" s="35">
        <v>6416444</v>
      </c>
      <c r="K41" s="35">
        <v>7265900</v>
      </c>
      <c r="L41" s="35">
        <v>14328695</v>
      </c>
      <c r="M41" s="35">
        <v>44318700</v>
      </c>
      <c r="N41" s="35">
        <v>677969</v>
      </c>
      <c r="O41" s="35">
        <v>640535</v>
      </c>
      <c r="P41" s="35">
        <v>789857</v>
      </c>
      <c r="Q41" s="35">
        <v>16867389</v>
      </c>
      <c r="R41" s="35">
        <v>437016</v>
      </c>
      <c r="S41" s="35">
        <v>17369592</v>
      </c>
      <c r="T41" s="40">
        <f t="shared" si="0"/>
        <v>131353458</v>
      </c>
      <c r="V41" s="35">
        <v>1697788</v>
      </c>
      <c r="W41" s="35">
        <v>19450</v>
      </c>
      <c r="X41" s="40">
        <f>SUM(V41:W41)</f>
        <v>1717238</v>
      </c>
      <c r="Z41" s="35">
        <v>15477</v>
      </c>
      <c r="AA41" s="35">
        <v>12722</v>
      </c>
      <c r="AB41" s="35">
        <v>687975</v>
      </c>
      <c r="AC41" s="35">
        <v>223863</v>
      </c>
      <c r="AD41" s="35">
        <v>70213</v>
      </c>
      <c r="AE41" s="35">
        <v>374537</v>
      </c>
      <c r="AF41" s="35">
        <v>1329881</v>
      </c>
      <c r="AG41" s="35">
        <v>1842568</v>
      </c>
      <c r="AH41" s="35">
        <v>10436</v>
      </c>
      <c r="AI41" s="35">
        <v>505793</v>
      </c>
      <c r="AJ41" s="35">
        <v>40493</v>
      </c>
      <c r="AK41" s="35">
        <v>918568</v>
      </c>
      <c r="AL41" s="35">
        <v>167577</v>
      </c>
      <c r="AM41" s="35">
        <v>0</v>
      </c>
      <c r="AN41" s="40">
        <f>SUM(Z41:AM41)</f>
        <v>6200103</v>
      </c>
      <c r="AO41" s="35"/>
      <c r="AP41" s="35">
        <v>1127031</v>
      </c>
      <c r="AQ41" s="35">
        <v>192839</v>
      </c>
      <c r="AR41" s="35">
        <v>6773257</v>
      </c>
      <c r="AS41" s="35">
        <v>129811</v>
      </c>
      <c r="AT41" s="35">
        <v>10166159</v>
      </c>
      <c r="AU41" s="35">
        <v>65706</v>
      </c>
      <c r="AV41" s="40">
        <f>SUM(AP41:AU41)</f>
        <v>18454803</v>
      </c>
      <c r="AX41" s="40">
        <f t="shared" si="4"/>
        <v>157725602</v>
      </c>
    </row>
    <row r="42" spans="1:50" x14ac:dyDescent="0.2">
      <c r="A42" s="29">
        <v>3</v>
      </c>
      <c r="B42" s="29">
        <v>202303</v>
      </c>
      <c r="C42" s="29">
        <v>2</v>
      </c>
      <c r="D42" s="35">
        <v>3</v>
      </c>
      <c r="E42" s="35">
        <v>0</v>
      </c>
      <c r="F42" s="35">
        <v>0</v>
      </c>
      <c r="G42" s="35">
        <v>23213</v>
      </c>
      <c r="H42" s="35">
        <v>3463</v>
      </c>
      <c r="I42" s="35">
        <v>-45748</v>
      </c>
      <c r="J42" s="35">
        <v>2754</v>
      </c>
      <c r="K42" s="35">
        <v>6145</v>
      </c>
      <c r="L42" s="35">
        <v>33851</v>
      </c>
      <c r="M42" s="35">
        <v>94892</v>
      </c>
      <c r="N42" s="35">
        <v>1216</v>
      </c>
      <c r="O42" s="35">
        <v>0</v>
      </c>
      <c r="P42" s="35">
        <v>2537</v>
      </c>
      <c r="Q42" s="35">
        <v>25374</v>
      </c>
      <c r="R42" s="35">
        <v>0</v>
      </c>
      <c r="S42" s="35">
        <v>24826</v>
      </c>
      <c r="T42" s="40">
        <f t="shared" si="0"/>
        <v>172526</v>
      </c>
      <c r="V42" s="35">
        <v>278</v>
      </c>
      <c r="W42" s="35">
        <v>0</v>
      </c>
      <c r="X42" s="40">
        <f t="shared" ref="X42:X59" si="8">SUM(V42:W42)</f>
        <v>278</v>
      </c>
      <c r="Z42" s="35">
        <v>0</v>
      </c>
      <c r="AA42" s="35">
        <v>0</v>
      </c>
      <c r="AB42" s="35">
        <v>1219</v>
      </c>
      <c r="AC42" s="35">
        <v>801</v>
      </c>
      <c r="AD42" s="35">
        <v>451</v>
      </c>
      <c r="AE42" s="35">
        <v>529</v>
      </c>
      <c r="AF42" s="35">
        <v>1593</v>
      </c>
      <c r="AG42" s="35">
        <v>3886</v>
      </c>
      <c r="AH42" s="35">
        <v>0</v>
      </c>
      <c r="AI42" s="35">
        <v>368</v>
      </c>
      <c r="AJ42" s="35">
        <v>0</v>
      </c>
      <c r="AK42" s="35">
        <v>1305</v>
      </c>
      <c r="AL42" s="35">
        <v>0</v>
      </c>
      <c r="AM42" s="35">
        <v>0</v>
      </c>
      <c r="AN42" s="40">
        <f t="shared" ref="AN42:AN59" si="9">SUM(Z42:AM42)</f>
        <v>10152</v>
      </c>
      <c r="AP42" s="35">
        <v>1539</v>
      </c>
      <c r="AQ42" s="35">
        <v>0</v>
      </c>
      <c r="AR42" s="35">
        <v>14311</v>
      </c>
      <c r="AS42" s="35">
        <v>0</v>
      </c>
      <c r="AT42" s="35">
        <v>49273</v>
      </c>
      <c r="AU42" s="35">
        <v>0</v>
      </c>
      <c r="AV42" s="40">
        <f t="shared" ref="AV42:AV59" si="10">SUM(AP42:AU42)</f>
        <v>65123</v>
      </c>
      <c r="AX42" s="40">
        <f t="shared" si="4"/>
        <v>248079</v>
      </c>
    </row>
    <row r="43" spans="1:50" x14ac:dyDescent="0.2">
      <c r="A43" s="29">
        <v>3</v>
      </c>
      <c r="B43" s="29">
        <v>202303</v>
      </c>
      <c r="C43" s="29">
        <v>3</v>
      </c>
      <c r="D43" s="35">
        <v>2014</v>
      </c>
      <c r="E43" s="35">
        <v>66633</v>
      </c>
      <c r="F43" s="35">
        <v>0</v>
      </c>
      <c r="G43" s="35">
        <v>73197</v>
      </c>
      <c r="H43" s="35">
        <v>0</v>
      </c>
      <c r="I43" s="35">
        <v>57852</v>
      </c>
      <c r="J43" s="35">
        <v>223189</v>
      </c>
      <c r="K43" s="35">
        <v>305499</v>
      </c>
      <c r="L43" s="35">
        <v>273196</v>
      </c>
      <c r="M43" s="35">
        <v>1339634</v>
      </c>
      <c r="N43" s="35">
        <v>1411</v>
      </c>
      <c r="O43" s="35">
        <v>1690</v>
      </c>
      <c r="P43" s="35">
        <v>4956</v>
      </c>
      <c r="Q43" s="35">
        <v>12509</v>
      </c>
      <c r="R43" s="35">
        <v>2229</v>
      </c>
      <c r="S43" s="35">
        <v>931632</v>
      </c>
      <c r="T43" s="40">
        <f t="shared" si="0"/>
        <v>3295641</v>
      </c>
      <c r="V43" s="35">
        <v>35103</v>
      </c>
      <c r="W43" s="35">
        <v>1532</v>
      </c>
      <c r="X43" s="40">
        <f t="shared" si="8"/>
        <v>36635</v>
      </c>
      <c r="Z43" s="35">
        <v>0</v>
      </c>
      <c r="AA43" s="35">
        <v>0</v>
      </c>
      <c r="AB43" s="35">
        <v>17419</v>
      </c>
      <c r="AC43" s="35">
        <v>19936</v>
      </c>
      <c r="AD43" s="35">
        <v>2428</v>
      </c>
      <c r="AE43" s="35">
        <v>7662</v>
      </c>
      <c r="AF43" s="35">
        <v>74553</v>
      </c>
      <c r="AG43" s="35">
        <v>10627</v>
      </c>
      <c r="AH43" s="35">
        <v>0</v>
      </c>
      <c r="AI43" s="35">
        <v>4691</v>
      </c>
      <c r="AJ43" s="35">
        <v>955</v>
      </c>
      <c r="AK43" s="35">
        <v>7299</v>
      </c>
      <c r="AL43" s="35">
        <v>6552</v>
      </c>
      <c r="AM43" s="35">
        <v>0</v>
      </c>
      <c r="AN43" s="40">
        <f t="shared" si="9"/>
        <v>152122</v>
      </c>
      <c r="AP43" s="35">
        <v>2987</v>
      </c>
      <c r="AQ43" s="35">
        <v>1667</v>
      </c>
      <c r="AR43" s="35">
        <v>0</v>
      </c>
      <c r="AS43" s="35">
        <v>0</v>
      </c>
      <c r="AT43" s="35">
        <v>3455</v>
      </c>
      <c r="AU43" s="35">
        <v>0</v>
      </c>
      <c r="AV43" s="40">
        <f t="shared" si="10"/>
        <v>8109</v>
      </c>
      <c r="AX43" s="40">
        <f t="shared" si="4"/>
        <v>3492507</v>
      </c>
    </row>
    <row r="44" spans="1:50" x14ac:dyDescent="0.2">
      <c r="A44" s="29">
        <v>3</v>
      </c>
      <c r="B44" s="29">
        <v>202303</v>
      </c>
      <c r="C44" s="29">
        <v>6</v>
      </c>
      <c r="D44" s="35">
        <v>1837</v>
      </c>
      <c r="E44" s="35">
        <v>2222706</v>
      </c>
      <c r="F44" s="35">
        <v>471326</v>
      </c>
      <c r="G44" s="35">
        <v>4322111</v>
      </c>
      <c r="H44" s="35">
        <v>0</v>
      </c>
      <c r="I44" s="35">
        <v>1902405</v>
      </c>
      <c r="J44" s="35">
        <v>2080320</v>
      </c>
      <c r="K44" s="35">
        <v>6953781</v>
      </c>
      <c r="L44" s="35">
        <v>7735822</v>
      </c>
      <c r="M44" s="35">
        <v>110545022</v>
      </c>
      <c r="N44" s="35">
        <v>312465</v>
      </c>
      <c r="O44" s="35">
        <v>31388</v>
      </c>
      <c r="P44" s="35">
        <v>130570</v>
      </c>
      <c r="Q44" s="35">
        <v>11192187</v>
      </c>
      <c r="R44" s="35">
        <v>731203</v>
      </c>
      <c r="S44" s="35">
        <v>22917927</v>
      </c>
      <c r="T44" s="40">
        <f t="shared" si="0"/>
        <v>171551070</v>
      </c>
      <c r="V44" s="35">
        <v>782710</v>
      </c>
      <c r="W44" s="35">
        <v>5950</v>
      </c>
      <c r="X44" s="40">
        <f t="shared" si="8"/>
        <v>788660</v>
      </c>
      <c r="Z44" s="35">
        <v>0</v>
      </c>
      <c r="AA44" s="35">
        <v>42285</v>
      </c>
      <c r="AB44" s="35">
        <v>1003814</v>
      </c>
      <c r="AC44" s="35">
        <v>70917</v>
      </c>
      <c r="AD44" s="35">
        <v>62400</v>
      </c>
      <c r="AE44" s="35">
        <v>408902</v>
      </c>
      <c r="AF44" s="35">
        <v>2380796</v>
      </c>
      <c r="AG44" s="35">
        <v>581235</v>
      </c>
      <c r="AH44" s="35">
        <v>13720</v>
      </c>
      <c r="AI44" s="35">
        <v>18300</v>
      </c>
      <c r="AJ44" s="35">
        <v>102160</v>
      </c>
      <c r="AK44" s="35">
        <v>122958</v>
      </c>
      <c r="AL44" s="35">
        <v>196065</v>
      </c>
      <c r="AM44" s="35">
        <v>0</v>
      </c>
      <c r="AN44" s="40">
        <f t="shared" si="9"/>
        <v>5003552</v>
      </c>
      <c r="AP44" s="35">
        <v>327434</v>
      </c>
      <c r="AQ44" s="35">
        <v>0</v>
      </c>
      <c r="AR44" s="35">
        <v>960248</v>
      </c>
      <c r="AS44" s="35">
        <v>0</v>
      </c>
      <c r="AT44" s="35">
        <v>4353960</v>
      </c>
      <c r="AU44" s="35">
        <v>0</v>
      </c>
      <c r="AV44" s="40">
        <f t="shared" si="10"/>
        <v>5641642</v>
      </c>
      <c r="AX44" s="40">
        <f t="shared" si="4"/>
        <v>182984924</v>
      </c>
    </row>
    <row r="45" spans="1:50" x14ac:dyDescent="0.2">
      <c r="A45" s="29">
        <v>3</v>
      </c>
      <c r="B45" s="29">
        <v>202303</v>
      </c>
      <c r="C45" s="29" t="s">
        <v>230</v>
      </c>
      <c r="D45" s="35">
        <v>0</v>
      </c>
      <c r="E45" s="35">
        <v>31097</v>
      </c>
      <c r="F45" s="35">
        <v>0</v>
      </c>
      <c r="G45" s="35">
        <v>572419</v>
      </c>
      <c r="H45" s="35">
        <v>11274</v>
      </c>
      <c r="I45" s="35">
        <v>104860</v>
      </c>
      <c r="J45" s="35">
        <v>170080</v>
      </c>
      <c r="K45" s="35">
        <v>1109642</v>
      </c>
      <c r="L45" s="35">
        <v>271107</v>
      </c>
      <c r="M45" s="35">
        <v>6441245</v>
      </c>
      <c r="N45" s="35">
        <v>3600</v>
      </c>
      <c r="O45" s="35">
        <v>8720</v>
      </c>
      <c r="P45" s="35">
        <v>4280</v>
      </c>
      <c r="Q45" s="35">
        <v>1287764</v>
      </c>
      <c r="R45" s="35">
        <v>15320</v>
      </c>
      <c r="S45" s="35">
        <v>1251334</v>
      </c>
      <c r="T45" s="40">
        <f t="shared" si="0"/>
        <v>11282742</v>
      </c>
      <c r="V45" s="35">
        <v>7000</v>
      </c>
      <c r="W45" s="35">
        <v>0</v>
      </c>
      <c r="X45" s="40">
        <f t="shared" si="8"/>
        <v>7000</v>
      </c>
      <c r="Z45" s="35">
        <v>0</v>
      </c>
      <c r="AA45" s="35">
        <v>20068</v>
      </c>
      <c r="AB45" s="35">
        <v>10600</v>
      </c>
      <c r="AC45" s="35">
        <v>0</v>
      </c>
      <c r="AD45" s="35">
        <v>0</v>
      </c>
      <c r="AE45" s="35">
        <v>4619</v>
      </c>
      <c r="AF45" s="35">
        <v>195621</v>
      </c>
      <c r="AG45" s="35">
        <v>8640</v>
      </c>
      <c r="AH45" s="35">
        <v>0</v>
      </c>
      <c r="AI45" s="35">
        <v>1040</v>
      </c>
      <c r="AJ45" s="35">
        <v>18320</v>
      </c>
      <c r="AK45" s="35">
        <v>0</v>
      </c>
      <c r="AL45" s="35">
        <v>0</v>
      </c>
      <c r="AM45" s="35">
        <v>0</v>
      </c>
      <c r="AN45" s="40">
        <f t="shared" si="9"/>
        <v>258908</v>
      </c>
      <c r="AP45" s="35">
        <v>0</v>
      </c>
      <c r="AQ45" s="35">
        <v>0</v>
      </c>
      <c r="AR45" s="35">
        <v>284703</v>
      </c>
      <c r="AS45" s="35">
        <v>104400</v>
      </c>
      <c r="AT45" s="35">
        <v>408382</v>
      </c>
      <c r="AU45" s="35">
        <v>7400</v>
      </c>
      <c r="AV45" s="40">
        <f t="shared" si="10"/>
        <v>804885</v>
      </c>
      <c r="AX45" s="40">
        <f t="shared" si="4"/>
        <v>12353535</v>
      </c>
    </row>
    <row r="46" spans="1:50" x14ac:dyDescent="0.2">
      <c r="A46" s="29">
        <v>3</v>
      </c>
      <c r="B46" s="29">
        <v>202303</v>
      </c>
      <c r="C46" s="29" t="s">
        <v>231</v>
      </c>
      <c r="D46" s="35">
        <v>0</v>
      </c>
      <c r="E46" s="35">
        <v>0</v>
      </c>
      <c r="F46" s="35">
        <v>0</v>
      </c>
      <c r="G46" s="35">
        <v>0</v>
      </c>
      <c r="H46" s="35">
        <v>0</v>
      </c>
      <c r="I46" s="35">
        <v>0</v>
      </c>
      <c r="J46" s="35">
        <v>0</v>
      </c>
      <c r="K46" s="35">
        <v>0</v>
      </c>
      <c r="L46" s="35">
        <v>0</v>
      </c>
      <c r="M46" s="35">
        <v>0</v>
      </c>
      <c r="N46" s="35">
        <v>0</v>
      </c>
      <c r="O46" s="35">
        <v>0</v>
      </c>
      <c r="P46" s="35">
        <v>0</v>
      </c>
      <c r="Q46" s="35">
        <v>0</v>
      </c>
      <c r="R46" s="35">
        <v>0</v>
      </c>
      <c r="S46" s="35">
        <v>0</v>
      </c>
      <c r="T46" s="40">
        <f t="shared" si="0"/>
        <v>0</v>
      </c>
      <c r="V46" s="35">
        <v>0</v>
      </c>
      <c r="W46" s="35">
        <v>0</v>
      </c>
      <c r="X46" s="40">
        <f t="shared" si="8"/>
        <v>0</v>
      </c>
      <c r="Z46" s="35">
        <v>0</v>
      </c>
      <c r="AA46" s="35">
        <v>0</v>
      </c>
      <c r="AB46" s="35">
        <v>0</v>
      </c>
      <c r="AC46" s="35">
        <v>0</v>
      </c>
      <c r="AD46" s="35">
        <v>0</v>
      </c>
      <c r="AE46" s="35">
        <v>0</v>
      </c>
      <c r="AF46" s="35">
        <v>0</v>
      </c>
      <c r="AG46" s="35">
        <v>0</v>
      </c>
      <c r="AH46" s="35">
        <v>0</v>
      </c>
      <c r="AI46" s="35">
        <v>0</v>
      </c>
      <c r="AJ46" s="35">
        <v>0</v>
      </c>
      <c r="AK46" s="35">
        <v>0</v>
      </c>
      <c r="AL46" s="35">
        <v>0</v>
      </c>
      <c r="AM46" s="35">
        <v>0</v>
      </c>
      <c r="AN46" s="40">
        <f t="shared" si="9"/>
        <v>0</v>
      </c>
      <c r="AP46" s="35">
        <v>0</v>
      </c>
      <c r="AQ46" s="35">
        <v>0</v>
      </c>
      <c r="AR46" s="35">
        <v>0</v>
      </c>
      <c r="AS46" s="35">
        <v>0</v>
      </c>
      <c r="AT46" s="35">
        <v>0</v>
      </c>
      <c r="AU46" s="35">
        <v>0</v>
      </c>
      <c r="AV46" s="40">
        <f t="shared" si="10"/>
        <v>0</v>
      </c>
      <c r="AX46" s="40">
        <f t="shared" si="4"/>
        <v>0</v>
      </c>
    </row>
    <row r="47" spans="1:50" x14ac:dyDescent="0.2">
      <c r="A47" s="29">
        <v>3</v>
      </c>
      <c r="B47" s="29">
        <v>202303</v>
      </c>
      <c r="C47" s="29">
        <v>7</v>
      </c>
      <c r="D47" s="35">
        <v>0</v>
      </c>
      <c r="E47" s="35">
        <v>6607</v>
      </c>
      <c r="F47" s="35">
        <v>0</v>
      </c>
      <c r="G47" s="35">
        <v>4144</v>
      </c>
      <c r="H47" s="35">
        <v>0</v>
      </c>
      <c r="I47" s="35">
        <v>10408</v>
      </c>
      <c r="J47" s="35">
        <v>7392</v>
      </c>
      <c r="K47" s="35">
        <v>16999</v>
      </c>
      <c r="L47" s="35">
        <v>26557</v>
      </c>
      <c r="M47" s="35">
        <v>201811</v>
      </c>
      <c r="N47" s="35">
        <v>1636</v>
      </c>
      <c r="O47" s="35">
        <v>177</v>
      </c>
      <c r="P47" s="35">
        <v>304</v>
      </c>
      <c r="Q47" s="35">
        <v>709</v>
      </c>
      <c r="R47" s="35">
        <v>259</v>
      </c>
      <c r="S47" s="35">
        <v>49601</v>
      </c>
      <c r="T47" s="40">
        <f t="shared" si="0"/>
        <v>326604</v>
      </c>
      <c r="V47" s="35">
        <v>3113</v>
      </c>
      <c r="W47" s="35">
        <v>78</v>
      </c>
      <c r="X47" s="40">
        <f t="shared" si="8"/>
        <v>3191</v>
      </c>
      <c r="Z47" s="35">
        <v>0</v>
      </c>
      <c r="AA47" s="35">
        <v>0</v>
      </c>
      <c r="AB47" s="35">
        <v>285</v>
      </c>
      <c r="AC47" s="35">
        <v>444</v>
      </c>
      <c r="AD47" s="35">
        <v>296</v>
      </c>
      <c r="AE47" s="35">
        <v>69</v>
      </c>
      <c r="AF47" s="35">
        <v>7159</v>
      </c>
      <c r="AG47" s="35">
        <v>829</v>
      </c>
      <c r="AH47" s="35">
        <v>0</v>
      </c>
      <c r="AI47" s="35">
        <v>0</v>
      </c>
      <c r="AJ47" s="35">
        <v>0</v>
      </c>
      <c r="AK47" s="35">
        <v>56</v>
      </c>
      <c r="AL47" s="35">
        <v>646</v>
      </c>
      <c r="AM47" s="35">
        <v>0</v>
      </c>
      <c r="AN47" s="40">
        <f t="shared" si="9"/>
        <v>9784</v>
      </c>
      <c r="AP47" s="35">
        <v>427</v>
      </c>
      <c r="AQ47" s="35">
        <v>208</v>
      </c>
      <c r="AR47" s="35">
        <v>39</v>
      </c>
      <c r="AS47" s="35">
        <v>97</v>
      </c>
      <c r="AT47" s="35">
        <v>305</v>
      </c>
      <c r="AU47" s="35">
        <v>0</v>
      </c>
      <c r="AV47" s="40">
        <f t="shared" si="10"/>
        <v>1076</v>
      </c>
      <c r="AX47" s="40">
        <f t="shared" si="4"/>
        <v>340655</v>
      </c>
    </row>
    <row r="48" spans="1:50" x14ac:dyDescent="0.2">
      <c r="A48" s="29">
        <v>3</v>
      </c>
      <c r="B48" s="29">
        <v>202303</v>
      </c>
      <c r="C48" s="29">
        <v>8</v>
      </c>
      <c r="D48" s="35">
        <v>0</v>
      </c>
      <c r="E48" s="35">
        <v>0</v>
      </c>
      <c r="F48" s="35">
        <v>0</v>
      </c>
      <c r="G48" s="35">
        <v>0</v>
      </c>
      <c r="H48" s="35">
        <v>0</v>
      </c>
      <c r="I48" s="35">
        <v>239400</v>
      </c>
      <c r="J48" s="35">
        <v>476000</v>
      </c>
      <c r="K48" s="35">
        <v>0</v>
      </c>
      <c r="L48" s="35">
        <v>954000</v>
      </c>
      <c r="M48" s="35">
        <v>39537741</v>
      </c>
      <c r="N48" s="35">
        <v>0</v>
      </c>
      <c r="O48" s="35">
        <v>0</v>
      </c>
      <c r="P48" s="35">
        <v>0</v>
      </c>
      <c r="Q48" s="35">
        <v>8400</v>
      </c>
      <c r="R48" s="35">
        <v>0</v>
      </c>
      <c r="S48" s="35">
        <v>8546100</v>
      </c>
      <c r="T48" s="40">
        <f t="shared" si="0"/>
        <v>49761641</v>
      </c>
      <c r="V48" s="35">
        <v>0</v>
      </c>
      <c r="W48" s="35">
        <v>0</v>
      </c>
      <c r="X48" s="40">
        <f t="shared" si="8"/>
        <v>0</v>
      </c>
      <c r="Z48" s="35">
        <v>682200</v>
      </c>
      <c r="AA48" s="35">
        <v>0</v>
      </c>
      <c r="AB48" s="35">
        <v>219600</v>
      </c>
      <c r="AC48" s="35">
        <v>0</v>
      </c>
      <c r="AD48" s="35">
        <v>0</v>
      </c>
      <c r="AE48" s="35">
        <v>1425600</v>
      </c>
      <c r="AF48" s="35">
        <v>835200</v>
      </c>
      <c r="AG48" s="35">
        <v>0</v>
      </c>
      <c r="AH48" s="35">
        <v>0</v>
      </c>
      <c r="AI48" s="35">
        <v>0</v>
      </c>
      <c r="AJ48" s="35">
        <v>0</v>
      </c>
      <c r="AK48" s="35">
        <v>0</v>
      </c>
      <c r="AL48" s="35">
        <v>0</v>
      </c>
      <c r="AM48" s="35">
        <v>0</v>
      </c>
      <c r="AN48" s="40">
        <f t="shared" si="9"/>
        <v>3162600</v>
      </c>
      <c r="AP48" s="35">
        <v>0</v>
      </c>
      <c r="AQ48" s="35">
        <v>0</v>
      </c>
      <c r="AR48" s="35">
        <v>0</v>
      </c>
      <c r="AS48" s="35">
        <v>0</v>
      </c>
      <c r="AT48" s="35">
        <v>627100</v>
      </c>
      <c r="AU48" s="35">
        <v>0</v>
      </c>
      <c r="AV48" s="40">
        <f t="shared" si="10"/>
        <v>627100</v>
      </c>
      <c r="AX48" s="40">
        <f t="shared" si="4"/>
        <v>53551341</v>
      </c>
    </row>
    <row r="49" spans="1:50" x14ac:dyDescent="0.2">
      <c r="A49" s="29">
        <v>3</v>
      </c>
      <c r="B49" s="29">
        <v>202303</v>
      </c>
      <c r="C49" s="29">
        <v>9</v>
      </c>
      <c r="D49" s="35">
        <v>0</v>
      </c>
      <c r="E49" s="35">
        <v>0</v>
      </c>
      <c r="F49" s="35">
        <v>0</v>
      </c>
      <c r="G49" s="35">
        <v>580800</v>
      </c>
      <c r="H49" s="35">
        <v>0</v>
      </c>
      <c r="I49" s="35">
        <v>0</v>
      </c>
      <c r="J49" s="35">
        <v>0</v>
      </c>
      <c r="K49" s="35">
        <v>0</v>
      </c>
      <c r="L49" s="35">
        <v>0</v>
      </c>
      <c r="M49" s="35">
        <v>14879175</v>
      </c>
      <c r="N49" s="35">
        <v>0</v>
      </c>
      <c r="O49" s="35">
        <v>0</v>
      </c>
      <c r="P49" s="35">
        <v>0</v>
      </c>
      <c r="Q49" s="35">
        <v>0</v>
      </c>
      <c r="R49" s="35">
        <v>0</v>
      </c>
      <c r="S49" s="35">
        <v>20479200</v>
      </c>
      <c r="T49" s="40">
        <f t="shared" si="0"/>
        <v>35939175</v>
      </c>
      <c r="V49" s="35">
        <v>2250860</v>
      </c>
      <c r="W49" s="35">
        <v>0</v>
      </c>
      <c r="X49" s="40">
        <f t="shared" si="8"/>
        <v>2250860</v>
      </c>
      <c r="Z49" s="35">
        <v>0</v>
      </c>
      <c r="AA49" s="35">
        <v>0</v>
      </c>
      <c r="AB49" s="35">
        <v>0</v>
      </c>
      <c r="AC49" s="35">
        <v>0</v>
      </c>
      <c r="AD49" s="35">
        <v>0</v>
      </c>
      <c r="AE49" s="35">
        <v>0</v>
      </c>
      <c r="AF49" s="35">
        <v>1351000</v>
      </c>
      <c r="AG49" s="35">
        <v>0</v>
      </c>
      <c r="AH49" s="35">
        <v>0</v>
      </c>
      <c r="AI49" s="35">
        <v>0</v>
      </c>
      <c r="AJ49" s="35">
        <v>0</v>
      </c>
      <c r="AK49" s="35">
        <v>27360</v>
      </c>
      <c r="AL49" s="35">
        <v>0</v>
      </c>
      <c r="AM49" s="35">
        <v>0</v>
      </c>
      <c r="AN49" s="40">
        <f t="shared" si="9"/>
        <v>1378360</v>
      </c>
      <c r="AP49" s="35">
        <v>0</v>
      </c>
      <c r="AQ49" s="35">
        <v>0</v>
      </c>
      <c r="AR49" s="35">
        <v>0</v>
      </c>
      <c r="AS49" s="35">
        <v>0</v>
      </c>
      <c r="AT49" s="35">
        <v>0</v>
      </c>
      <c r="AU49" s="35">
        <v>0</v>
      </c>
      <c r="AV49" s="40">
        <f t="shared" si="10"/>
        <v>0</v>
      </c>
      <c r="AX49" s="40">
        <f t="shared" si="4"/>
        <v>39568395</v>
      </c>
    </row>
    <row r="50" spans="1:50" x14ac:dyDescent="0.2">
      <c r="A50" s="29">
        <v>3</v>
      </c>
      <c r="B50" s="29">
        <v>202303</v>
      </c>
      <c r="C50" s="29" t="s">
        <v>234</v>
      </c>
      <c r="D50" s="35">
        <v>0</v>
      </c>
      <c r="E50" s="35">
        <v>0</v>
      </c>
      <c r="F50" s="35">
        <v>0</v>
      </c>
      <c r="G50" s="35">
        <v>0</v>
      </c>
      <c r="H50" s="35">
        <v>0</v>
      </c>
      <c r="I50" s="35">
        <v>0</v>
      </c>
      <c r="J50" s="35">
        <v>0</v>
      </c>
      <c r="K50" s="35">
        <v>0</v>
      </c>
      <c r="L50" s="35">
        <v>0</v>
      </c>
      <c r="M50" s="35">
        <v>370800</v>
      </c>
      <c r="N50" s="35">
        <v>0</v>
      </c>
      <c r="O50" s="35">
        <v>0</v>
      </c>
      <c r="P50" s="35">
        <v>0</v>
      </c>
      <c r="Q50" s="35">
        <v>0</v>
      </c>
      <c r="R50" s="35">
        <v>0</v>
      </c>
      <c r="S50" s="35">
        <v>0</v>
      </c>
      <c r="T50" s="40">
        <f t="shared" si="0"/>
        <v>370800</v>
      </c>
      <c r="V50" s="35">
        <v>0</v>
      </c>
      <c r="W50" s="35">
        <v>0</v>
      </c>
      <c r="X50" s="40">
        <f t="shared" si="8"/>
        <v>0</v>
      </c>
      <c r="Z50" s="35">
        <v>0</v>
      </c>
      <c r="AA50" s="35">
        <v>0</v>
      </c>
      <c r="AB50" s="35">
        <v>0</v>
      </c>
      <c r="AC50" s="35">
        <v>0</v>
      </c>
      <c r="AD50" s="35">
        <v>0</v>
      </c>
      <c r="AE50" s="35">
        <v>0</v>
      </c>
      <c r="AF50" s="35">
        <v>0</v>
      </c>
      <c r="AG50" s="35">
        <v>0</v>
      </c>
      <c r="AH50" s="35">
        <v>0</v>
      </c>
      <c r="AI50" s="35">
        <v>0</v>
      </c>
      <c r="AJ50" s="35">
        <v>0</v>
      </c>
      <c r="AK50" s="35">
        <v>0</v>
      </c>
      <c r="AL50" s="35">
        <v>0</v>
      </c>
      <c r="AM50" s="35">
        <v>0</v>
      </c>
      <c r="AN50" s="40">
        <f t="shared" si="9"/>
        <v>0</v>
      </c>
      <c r="AP50" s="35">
        <v>0</v>
      </c>
      <c r="AQ50" s="35">
        <v>0</v>
      </c>
      <c r="AR50" s="35">
        <v>0</v>
      </c>
      <c r="AS50" s="35">
        <v>0</v>
      </c>
      <c r="AT50" s="35">
        <v>0</v>
      </c>
      <c r="AU50" s="35">
        <v>0</v>
      </c>
      <c r="AV50" s="40">
        <f t="shared" si="10"/>
        <v>0</v>
      </c>
      <c r="AX50" s="40">
        <f t="shared" si="4"/>
        <v>370800</v>
      </c>
    </row>
    <row r="51" spans="1:50" x14ac:dyDescent="0.2">
      <c r="A51" s="29">
        <v>3</v>
      </c>
      <c r="B51" s="29">
        <v>202303</v>
      </c>
      <c r="C51" s="29" t="s">
        <v>235</v>
      </c>
      <c r="D51" s="35">
        <v>0</v>
      </c>
      <c r="E51" s="35">
        <v>0</v>
      </c>
      <c r="F51" s="35">
        <v>0</v>
      </c>
      <c r="G51" s="35">
        <v>0</v>
      </c>
      <c r="H51" s="35">
        <v>0</v>
      </c>
      <c r="I51" s="35">
        <v>0</v>
      </c>
      <c r="J51" s="35">
        <v>0</v>
      </c>
      <c r="K51" s="35">
        <v>0</v>
      </c>
      <c r="L51" s="35">
        <v>0</v>
      </c>
      <c r="M51" s="35">
        <v>137820</v>
      </c>
      <c r="N51" s="35">
        <v>0</v>
      </c>
      <c r="O51" s="35">
        <v>0</v>
      </c>
      <c r="P51" s="35">
        <v>0</v>
      </c>
      <c r="Q51" s="35">
        <v>0</v>
      </c>
      <c r="R51" s="35">
        <v>0</v>
      </c>
      <c r="S51" s="35">
        <v>1383362</v>
      </c>
      <c r="T51" s="40">
        <f t="shared" si="0"/>
        <v>1521182</v>
      </c>
      <c r="V51" s="35">
        <v>0</v>
      </c>
      <c r="W51" s="35">
        <v>0</v>
      </c>
      <c r="X51" s="40">
        <f t="shared" si="8"/>
        <v>0</v>
      </c>
      <c r="Z51" s="35">
        <v>0</v>
      </c>
      <c r="AA51" s="35">
        <v>0</v>
      </c>
      <c r="AB51" s="35">
        <v>22314000</v>
      </c>
      <c r="AC51" s="35">
        <v>0</v>
      </c>
      <c r="AD51" s="35">
        <v>0</v>
      </c>
      <c r="AE51" s="35">
        <v>0</v>
      </c>
      <c r="AF51" s="35">
        <v>0</v>
      </c>
      <c r="AG51" s="35">
        <v>0</v>
      </c>
      <c r="AH51" s="35">
        <v>0</v>
      </c>
      <c r="AI51" s="35">
        <v>0</v>
      </c>
      <c r="AJ51" s="35">
        <v>0</v>
      </c>
      <c r="AK51" s="35">
        <v>0</v>
      </c>
      <c r="AL51" s="35">
        <v>0</v>
      </c>
      <c r="AM51" s="35">
        <v>0</v>
      </c>
      <c r="AN51" s="40">
        <f t="shared" si="9"/>
        <v>22314000</v>
      </c>
      <c r="AP51" s="35">
        <v>0</v>
      </c>
      <c r="AQ51" s="35">
        <v>0</v>
      </c>
      <c r="AR51" s="35">
        <v>0</v>
      </c>
      <c r="AS51" s="35">
        <v>0</v>
      </c>
      <c r="AT51" s="35">
        <v>0</v>
      </c>
      <c r="AU51" s="35">
        <v>0</v>
      </c>
      <c r="AV51" s="40">
        <f t="shared" si="10"/>
        <v>0</v>
      </c>
      <c r="AX51" s="40">
        <f t="shared" si="4"/>
        <v>23835182</v>
      </c>
    </row>
    <row r="52" spans="1:50" x14ac:dyDescent="0.2">
      <c r="A52" s="29">
        <v>3</v>
      </c>
      <c r="B52" s="29">
        <v>202303</v>
      </c>
      <c r="C52" s="29">
        <v>10</v>
      </c>
      <c r="D52" s="35">
        <v>0</v>
      </c>
      <c r="E52" s="35">
        <v>711</v>
      </c>
      <c r="F52" s="35">
        <v>0</v>
      </c>
      <c r="G52" s="35">
        <v>0</v>
      </c>
      <c r="H52" s="35">
        <v>0</v>
      </c>
      <c r="I52" s="35">
        <v>23298</v>
      </c>
      <c r="J52" s="35">
        <v>450</v>
      </c>
      <c r="K52" s="35">
        <v>0</v>
      </c>
      <c r="L52" s="35">
        <v>0</v>
      </c>
      <c r="M52" s="35">
        <v>5937</v>
      </c>
      <c r="N52" s="35">
        <v>1211</v>
      </c>
      <c r="O52" s="35">
        <v>0</v>
      </c>
      <c r="P52" s="35">
        <v>6689</v>
      </c>
      <c r="Q52" s="35">
        <v>3000</v>
      </c>
      <c r="R52" s="35">
        <v>8404</v>
      </c>
      <c r="S52" s="35">
        <v>3679</v>
      </c>
      <c r="T52" s="40">
        <f t="shared" si="0"/>
        <v>53379</v>
      </c>
      <c r="V52" s="35">
        <v>1589</v>
      </c>
      <c r="W52" s="35">
        <v>0</v>
      </c>
      <c r="X52" s="40">
        <f t="shared" si="8"/>
        <v>1589</v>
      </c>
      <c r="Z52" s="35">
        <v>0</v>
      </c>
      <c r="AA52" s="35">
        <v>0</v>
      </c>
      <c r="AB52" s="35">
        <v>0</v>
      </c>
      <c r="AC52" s="35">
        <v>0</v>
      </c>
      <c r="AD52" s="35">
        <v>0</v>
      </c>
      <c r="AE52" s="35">
        <v>0</v>
      </c>
      <c r="AF52" s="35">
        <v>232</v>
      </c>
      <c r="AG52" s="35">
        <v>320</v>
      </c>
      <c r="AH52" s="35">
        <v>0</v>
      </c>
      <c r="AI52" s="35">
        <v>0</v>
      </c>
      <c r="AJ52" s="35">
        <v>0</v>
      </c>
      <c r="AK52" s="35">
        <v>1303</v>
      </c>
      <c r="AL52" s="35">
        <v>0</v>
      </c>
      <c r="AM52" s="35">
        <v>0</v>
      </c>
      <c r="AN52" s="40">
        <f t="shared" si="9"/>
        <v>1855</v>
      </c>
      <c r="AP52" s="35">
        <v>3102</v>
      </c>
      <c r="AQ52" s="35">
        <v>0</v>
      </c>
      <c r="AR52" s="35">
        <v>0</v>
      </c>
      <c r="AS52" s="35">
        <v>658</v>
      </c>
      <c r="AT52" s="35">
        <v>0</v>
      </c>
      <c r="AU52" s="35">
        <v>3000</v>
      </c>
      <c r="AV52" s="40">
        <f t="shared" si="10"/>
        <v>6760</v>
      </c>
      <c r="AX52" s="40">
        <f t="shared" si="4"/>
        <v>63583</v>
      </c>
    </row>
    <row r="53" spans="1:50" x14ac:dyDescent="0.2">
      <c r="A53" s="29">
        <v>3</v>
      </c>
      <c r="B53" s="29">
        <v>202303</v>
      </c>
      <c r="C53" s="29">
        <v>11</v>
      </c>
      <c r="D53" s="35">
        <v>0</v>
      </c>
      <c r="E53" s="35">
        <v>0</v>
      </c>
      <c r="F53" s="35">
        <v>44</v>
      </c>
      <c r="G53" s="35">
        <v>28207</v>
      </c>
      <c r="H53" s="35">
        <v>0</v>
      </c>
      <c r="I53" s="35">
        <v>0</v>
      </c>
      <c r="J53" s="35">
        <v>0</v>
      </c>
      <c r="K53" s="35">
        <v>0</v>
      </c>
      <c r="L53" s="35">
        <v>0</v>
      </c>
      <c r="M53" s="35">
        <v>4515</v>
      </c>
      <c r="N53" s="35">
        <v>2673</v>
      </c>
      <c r="O53" s="35">
        <v>499</v>
      </c>
      <c r="P53" s="35">
        <v>1515</v>
      </c>
      <c r="Q53" s="35">
        <v>1274</v>
      </c>
      <c r="R53" s="35">
        <v>117</v>
      </c>
      <c r="S53" s="35">
        <v>117619</v>
      </c>
      <c r="T53" s="40">
        <f t="shared" si="0"/>
        <v>156463</v>
      </c>
      <c r="V53" s="35">
        <v>2521</v>
      </c>
      <c r="W53" s="35">
        <v>0</v>
      </c>
      <c r="X53" s="40">
        <f t="shared" si="8"/>
        <v>2521</v>
      </c>
      <c r="Z53" s="35">
        <v>0</v>
      </c>
      <c r="AA53" s="35">
        <v>0</v>
      </c>
      <c r="AB53" s="35">
        <v>0</v>
      </c>
      <c r="AC53" s="35">
        <v>0</v>
      </c>
      <c r="AD53" s="35">
        <v>0</v>
      </c>
      <c r="AE53" s="35">
        <v>0</v>
      </c>
      <c r="AF53" s="35">
        <v>5555</v>
      </c>
      <c r="AG53" s="35">
        <v>0</v>
      </c>
      <c r="AH53" s="35">
        <v>0</v>
      </c>
      <c r="AI53" s="35">
        <v>0</v>
      </c>
      <c r="AJ53" s="35">
        <v>0</v>
      </c>
      <c r="AK53" s="35">
        <v>0</v>
      </c>
      <c r="AL53" s="35">
        <v>0</v>
      </c>
      <c r="AM53" s="35">
        <v>0</v>
      </c>
      <c r="AN53" s="40">
        <f t="shared" si="9"/>
        <v>5555</v>
      </c>
      <c r="AP53" s="35">
        <v>0</v>
      </c>
      <c r="AQ53" s="35">
        <v>0</v>
      </c>
      <c r="AR53" s="35">
        <v>0</v>
      </c>
      <c r="AS53" s="35">
        <v>0</v>
      </c>
      <c r="AT53" s="35">
        <v>0</v>
      </c>
      <c r="AU53" s="35">
        <v>0</v>
      </c>
      <c r="AV53" s="40">
        <f t="shared" si="10"/>
        <v>0</v>
      </c>
      <c r="AX53" s="40">
        <f t="shared" si="4"/>
        <v>164539</v>
      </c>
    </row>
    <row r="54" spans="1:50" x14ac:dyDescent="0.2">
      <c r="A54" s="29">
        <v>3</v>
      </c>
      <c r="B54" s="29">
        <v>202303</v>
      </c>
      <c r="C54" s="29">
        <v>12</v>
      </c>
      <c r="D54" s="35">
        <v>0</v>
      </c>
      <c r="E54" s="35">
        <v>0</v>
      </c>
      <c r="F54" s="35">
        <v>0</v>
      </c>
      <c r="G54" s="35">
        <v>14471</v>
      </c>
      <c r="H54" s="35">
        <v>0</v>
      </c>
      <c r="I54" s="35">
        <v>104</v>
      </c>
      <c r="J54" s="35">
        <v>0</v>
      </c>
      <c r="K54" s="35">
        <v>46668</v>
      </c>
      <c r="L54" s="35">
        <v>156</v>
      </c>
      <c r="M54" s="35">
        <v>978824</v>
      </c>
      <c r="N54" s="35">
        <v>1291</v>
      </c>
      <c r="O54" s="35">
        <v>0</v>
      </c>
      <c r="P54" s="35">
        <v>0</v>
      </c>
      <c r="Q54" s="35">
        <v>10278</v>
      </c>
      <c r="R54" s="35">
        <v>0</v>
      </c>
      <c r="S54" s="35">
        <v>58321</v>
      </c>
      <c r="T54" s="40">
        <f t="shared" si="0"/>
        <v>1110113</v>
      </c>
      <c r="V54" s="35">
        <v>1924</v>
      </c>
      <c r="W54" s="35">
        <v>0</v>
      </c>
      <c r="X54" s="40">
        <f t="shared" si="8"/>
        <v>1924</v>
      </c>
      <c r="Z54" s="35">
        <v>0</v>
      </c>
      <c r="AA54" s="35">
        <v>0</v>
      </c>
      <c r="AB54" s="35">
        <v>0</v>
      </c>
      <c r="AC54" s="35">
        <v>0</v>
      </c>
      <c r="AD54" s="35">
        <v>0</v>
      </c>
      <c r="AE54" s="35">
        <v>0</v>
      </c>
      <c r="AF54" s="35">
        <v>55023</v>
      </c>
      <c r="AG54" s="35">
        <v>0</v>
      </c>
      <c r="AH54" s="35">
        <v>0</v>
      </c>
      <c r="AI54" s="35">
        <v>308</v>
      </c>
      <c r="AJ54" s="35">
        <v>0</v>
      </c>
      <c r="AK54" s="35">
        <v>0</v>
      </c>
      <c r="AL54" s="35">
        <v>35170</v>
      </c>
      <c r="AM54" s="35">
        <v>0</v>
      </c>
      <c r="AN54" s="40">
        <f t="shared" si="9"/>
        <v>90501</v>
      </c>
      <c r="AP54" s="35">
        <v>0</v>
      </c>
      <c r="AQ54" s="35">
        <v>0</v>
      </c>
      <c r="AR54" s="35">
        <v>543</v>
      </c>
      <c r="AS54" s="35">
        <v>0</v>
      </c>
      <c r="AT54" s="35">
        <v>276</v>
      </c>
      <c r="AU54" s="35">
        <v>0</v>
      </c>
      <c r="AV54" s="40">
        <f t="shared" si="10"/>
        <v>819</v>
      </c>
      <c r="AX54" s="40">
        <f t="shared" si="4"/>
        <v>1203357</v>
      </c>
    </row>
    <row r="55" spans="1:50" x14ac:dyDescent="0.2">
      <c r="A55" s="29">
        <v>3</v>
      </c>
      <c r="B55" s="29">
        <v>202303</v>
      </c>
      <c r="C55" s="29">
        <v>15</v>
      </c>
      <c r="D55" s="35">
        <v>0</v>
      </c>
      <c r="E55" s="35">
        <v>3335</v>
      </c>
      <c r="F55" s="35">
        <v>0</v>
      </c>
      <c r="G55" s="35">
        <v>14623</v>
      </c>
      <c r="H55" s="35">
        <v>0</v>
      </c>
      <c r="I55" s="35">
        <v>5777</v>
      </c>
      <c r="J55" s="35">
        <v>7000</v>
      </c>
      <c r="K55" s="35">
        <v>42366</v>
      </c>
      <c r="L55" s="35">
        <v>17811</v>
      </c>
      <c r="M55" s="35">
        <v>455816</v>
      </c>
      <c r="N55" s="35">
        <v>627</v>
      </c>
      <c r="O55" s="35">
        <v>0</v>
      </c>
      <c r="P55" s="35">
        <v>305</v>
      </c>
      <c r="Q55" s="35">
        <v>15480</v>
      </c>
      <c r="R55" s="35">
        <v>0</v>
      </c>
      <c r="S55" s="35">
        <v>53027</v>
      </c>
      <c r="T55" s="40">
        <f t="shared" si="0"/>
        <v>616167</v>
      </c>
      <c r="V55" s="35">
        <v>2408</v>
      </c>
      <c r="W55" s="35">
        <v>0</v>
      </c>
      <c r="X55" s="40">
        <f t="shared" si="8"/>
        <v>2408</v>
      </c>
      <c r="Z55" s="35">
        <v>0</v>
      </c>
      <c r="AA55" s="35">
        <v>3445</v>
      </c>
      <c r="AB55" s="35">
        <v>1660</v>
      </c>
      <c r="AC55" s="35">
        <v>0</v>
      </c>
      <c r="AD55" s="35">
        <v>0</v>
      </c>
      <c r="AE55" s="35">
        <v>111</v>
      </c>
      <c r="AF55" s="35">
        <v>34066</v>
      </c>
      <c r="AG55" s="35">
        <v>1477</v>
      </c>
      <c r="AH55" s="35">
        <v>0</v>
      </c>
      <c r="AI55" s="35">
        <v>0</v>
      </c>
      <c r="AJ55" s="35">
        <v>0</v>
      </c>
      <c r="AK55" s="35">
        <v>96</v>
      </c>
      <c r="AL55" s="35">
        <v>558</v>
      </c>
      <c r="AM55" s="35">
        <v>0</v>
      </c>
      <c r="AN55" s="40">
        <f t="shared" si="9"/>
        <v>41413</v>
      </c>
      <c r="AP55" s="35">
        <v>212</v>
      </c>
      <c r="AQ55" s="35">
        <v>0</v>
      </c>
      <c r="AR55" s="35">
        <v>0</v>
      </c>
      <c r="AS55" s="35">
        <v>0</v>
      </c>
      <c r="AT55" s="35">
        <v>4612</v>
      </c>
      <c r="AU55" s="35">
        <v>0</v>
      </c>
      <c r="AV55" s="40">
        <f t="shared" si="10"/>
        <v>4824</v>
      </c>
      <c r="AX55" s="40">
        <f t="shared" si="4"/>
        <v>664812</v>
      </c>
    </row>
    <row r="56" spans="1:50" x14ac:dyDescent="0.2">
      <c r="A56" s="29">
        <v>3</v>
      </c>
      <c r="B56" s="29">
        <v>202303</v>
      </c>
      <c r="C56" s="29">
        <v>21</v>
      </c>
      <c r="D56" s="35">
        <v>0</v>
      </c>
      <c r="E56" s="35">
        <v>0</v>
      </c>
      <c r="F56" s="35">
        <v>0</v>
      </c>
      <c r="G56" s="35">
        <v>0</v>
      </c>
      <c r="H56" s="35">
        <v>0</v>
      </c>
      <c r="I56" s="35">
        <v>0</v>
      </c>
      <c r="J56" s="35">
        <v>0</v>
      </c>
      <c r="K56" s="35">
        <v>0</v>
      </c>
      <c r="L56" s="35">
        <v>0</v>
      </c>
      <c r="M56" s="35">
        <v>0</v>
      </c>
      <c r="N56" s="35">
        <v>0</v>
      </c>
      <c r="O56" s="35">
        <v>0</v>
      </c>
      <c r="P56" s="35">
        <v>0</v>
      </c>
      <c r="Q56" s="35">
        <v>0</v>
      </c>
      <c r="R56" s="35">
        <v>0</v>
      </c>
      <c r="S56" s="35">
        <v>0</v>
      </c>
      <c r="T56" s="40">
        <f t="shared" si="0"/>
        <v>0</v>
      </c>
      <c r="V56" s="35">
        <v>0</v>
      </c>
      <c r="W56" s="35">
        <v>0</v>
      </c>
      <c r="X56" s="40">
        <f t="shared" si="8"/>
        <v>0</v>
      </c>
      <c r="Z56" s="35">
        <v>0</v>
      </c>
      <c r="AA56" s="35">
        <v>0</v>
      </c>
      <c r="AB56" s="35">
        <v>0</v>
      </c>
      <c r="AC56" s="35">
        <v>0</v>
      </c>
      <c r="AD56" s="35">
        <v>0</v>
      </c>
      <c r="AE56" s="35">
        <v>0</v>
      </c>
      <c r="AF56" s="35">
        <v>0</v>
      </c>
      <c r="AG56" s="35">
        <v>0</v>
      </c>
      <c r="AH56" s="35">
        <v>0</v>
      </c>
      <c r="AI56" s="35">
        <v>0</v>
      </c>
      <c r="AJ56" s="35">
        <v>0</v>
      </c>
      <c r="AK56" s="35">
        <v>0</v>
      </c>
      <c r="AL56" s="35">
        <v>0</v>
      </c>
      <c r="AM56" s="35">
        <v>0</v>
      </c>
      <c r="AN56" s="40">
        <f t="shared" si="9"/>
        <v>0</v>
      </c>
      <c r="AP56" s="35">
        <v>0</v>
      </c>
      <c r="AQ56" s="35">
        <v>0</v>
      </c>
      <c r="AR56" s="35">
        <v>0</v>
      </c>
      <c r="AS56" s="35">
        <v>0</v>
      </c>
      <c r="AT56" s="35">
        <v>0</v>
      </c>
      <c r="AU56" s="35">
        <v>0</v>
      </c>
      <c r="AV56" s="40">
        <f t="shared" si="10"/>
        <v>0</v>
      </c>
      <c r="AX56" s="40">
        <f t="shared" si="4"/>
        <v>0</v>
      </c>
    </row>
    <row r="57" spans="1:50" x14ac:dyDescent="0.2">
      <c r="A57" s="29">
        <v>3</v>
      </c>
      <c r="B57" s="29">
        <v>202303</v>
      </c>
      <c r="C57" s="29">
        <v>23</v>
      </c>
      <c r="D57" s="35">
        <v>6431</v>
      </c>
      <c r="E57" s="35">
        <v>806623</v>
      </c>
      <c r="F57" s="35">
        <v>67513</v>
      </c>
      <c r="G57" s="35">
        <v>1109275</v>
      </c>
      <c r="H57" s="35">
        <v>19385</v>
      </c>
      <c r="I57" s="35">
        <v>1120995</v>
      </c>
      <c r="J57" s="35">
        <v>477429</v>
      </c>
      <c r="K57" s="35">
        <v>2268111</v>
      </c>
      <c r="L57" s="35">
        <v>2520963</v>
      </c>
      <c r="M57" s="35">
        <v>16423443</v>
      </c>
      <c r="N57" s="35">
        <v>282322</v>
      </c>
      <c r="O57" s="35">
        <v>46697</v>
      </c>
      <c r="P57" s="35">
        <v>103114</v>
      </c>
      <c r="Q57" s="35">
        <v>3699656</v>
      </c>
      <c r="R57" s="35">
        <v>319018</v>
      </c>
      <c r="S57" s="35">
        <v>5361694</v>
      </c>
      <c r="T57" s="40">
        <f t="shared" si="0"/>
        <v>34632669</v>
      </c>
      <c r="V57" s="35">
        <v>671172</v>
      </c>
      <c r="W57" s="35">
        <v>12239</v>
      </c>
      <c r="X57" s="40">
        <f t="shared" si="8"/>
        <v>683411</v>
      </c>
      <c r="Z57" s="35">
        <v>1639</v>
      </c>
      <c r="AA57" s="35">
        <v>8454</v>
      </c>
      <c r="AB57" s="35">
        <v>69428</v>
      </c>
      <c r="AC57" s="35">
        <v>25004</v>
      </c>
      <c r="AD57" s="35">
        <v>4379</v>
      </c>
      <c r="AE57" s="35">
        <v>82651</v>
      </c>
      <c r="AF57" s="35">
        <v>532975</v>
      </c>
      <c r="AG57" s="35">
        <v>88864</v>
      </c>
      <c r="AH57" s="35">
        <v>13401</v>
      </c>
      <c r="AI57" s="35">
        <v>14266</v>
      </c>
      <c r="AJ57" s="35">
        <v>49205</v>
      </c>
      <c r="AK57" s="35">
        <v>192189</v>
      </c>
      <c r="AL57" s="35">
        <v>126854</v>
      </c>
      <c r="AM57" s="35">
        <v>0</v>
      </c>
      <c r="AN57" s="40">
        <f t="shared" si="9"/>
        <v>1209309</v>
      </c>
      <c r="AP57" s="35">
        <v>172930</v>
      </c>
      <c r="AQ57" s="35">
        <v>18866</v>
      </c>
      <c r="AR57" s="35">
        <v>572976</v>
      </c>
      <c r="AS57" s="35">
        <v>19583</v>
      </c>
      <c r="AT57" s="35">
        <v>2269927</v>
      </c>
      <c r="AU57" s="35">
        <v>1701</v>
      </c>
      <c r="AV57" s="40">
        <f t="shared" si="10"/>
        <v>3055983</v>
      </c>
      <c r="AX57" s="40">
        <f t="shared" si="4"/>
        <v>39581372</v>
      </c>
    </row>
    <row r="58" spans="1:50" x14ac:dyDescent="0.2">
      <c r="A58" s="29">
        <v>3</v>
      </c>
      <c r="B58" s="29">
        <v>202303</v>
      </c>
      <c r="C58" s="29">
        <v>31</v>
      </c>
      <c r="D58" s="35">
        <v>0</v>
      </c>
      <c r="E58" s="35">
        <v>0</v>
      </c>
      <c r="F58" s="35">
        <v>0</v>
      </c>
      <c r="G58" s="35">
        <v>0</v>
      </c>
      <c r="H58" s="35">
        <v>0</v>
      </c>
      <c r="I58" s="35">
        <v>0</v>
      </c>
      <c r="J58" s="35">
        <v>0</v>
      </c>
      <c r="K58" s="35">
        <v>0</v>
      </c>
      <c r="L58" s="35">
        <v>0</v>
      </c>
      <c r="M58" s="35">
        <v>6111000</v>
      </c>
      <c r="N58" s="35">
        <v>0</v>
      </c>
      <c r="O58" s="35">
        <v>0</v>
      </c>
      <c r="P58" s="35">
        <v>0</v>
      </c>
      <c r="Q58" s="35">
        <v>0</v>
      </c>
      <c r="R58" s="35">
        <v>0</v>
      </c>
      <c r="S58" s="35">
        <v>0</v>
      </c>
      <c r="T58" s="40">
        <f t="shared" si="0"/>
        <v>6111000</v>
      </c>
      <c r="V58" s="35">
        <v>0</v>
      </c>
      <c r="W58" s="35">
        <v>0</v>
      </c>
      <c r="X58" s="40">
        <f t="shared" si="8"/>
        <v>0</v>
      </c>
      <c r="Z58" s="35">
        <v>0</v>
      </c>
      <c r="AA58" s="35">
        <v>0</v>
      </c>
      <c r="AB58" s="35">
        <v>0</v>
      </c>
      <c r="AC58" s="35">
        <v>0</v>
      </c>
      <c r="AD58" s="35">
        <v>0</v>
      </c>
      <c r="AE58" s="35">
        <v>0</v>
      </c>
      <c r="AF58" s="35">
        <v>0</v>
      </c>
      <c r="AG58" s="35">
        <v>0</v>
      </c>
      <c r="AH58" s="35">
        <v>0</v>
      </c>
      <c r="AI58" s="35">
        <v>0</v>
      </c>
      <c r="AJ58" s="35">
        <v>0</v>
      </c>
      <c r="AK58" s="35">
        <v>0</v>
      </c>
      <c r="AL58" s="35">
        <v>0</v>
      </c>
      <c r="AM58" s="35">
        <v>0</v>
      </c>
      <c r="AN58" s="40">
        <f t="shared" si="9"/>
        <v>0</v>
      </c>
      <c r="AP58" s="35">
        <v>0</v>
      </c>
      <c r="AQ58" s="35">
        <v>0</v>
      </c>
      <c r="AR58" s="35">
        <v>0</v>
      </c>
      <c r="AS58" s="35">
        <v>0</v>
      </c>
      <c r="AT58" s="35">
        <v>0</v>
      </c>
      <c r="AU58" s="35">
        <v>0</v>
      </c>
      <c r="AV58" s="40">
        <f t="shared" si="10"/>
        <v>0</v>
      </c>
      <c r="AX58" s="40">
        <f t="shared" si="4"/>
        <v>6111000</v>
      </c>
    </row>
    <row r="59" spans="1:50" x14ac:dyDescent="0.2">
      <c r="A59" s="29">
        <v>3</v>
      </c>
      <c r="B59" s="29">
        <v>202303</v>
      </c>
      <c r="C59" s="29">
        <v>32</v>
      </c>
      <c r="D59" s="35">
        <v>0</v>
      </c>
      <c r="E59" s="35">
        <v>0</v>
      </c>
      <c r="F59" s="35">
        <v>0</v>
      </c>
      <c r="G59" s="35">
        <v>0</v>
      </c>
      <c r="H59" s="35">
        <v>0</v>
      </c>
      <c r="I59" s="35">
        <v>0</v>
      </c>
      <c r="J59" s="35">
        <v>0</v>
      </c>
      <c r="K59" s="35">
        <v>0</v>
      </c>
      <c r="L59" s="35">
        <v>0</v>
      </c>
      <c r="M59" s="35">
        <v>12332609</v>
      </c>
      <c r="N59" s="35">
        <v>0</v>
      </c>
      <c r="O59" s="35">
        <v>0</v>
      </c>
      <c r="P59" s="35">
        <v>0</v>
      </c>
      <c r="Q59" s="35">
        <v>0</v>
      </c>
      <c r="R59" s="35">
        <v>0</v>
      </c>
      <c r="S59" s="35">
        <v>0</v>
      </c>
      <c r="T59" s="40">
        <f t="shared" si="0"/>
        <v>12332609</v>
      </c>
      <c r="V59" s="35">
        <v>0</v>
      </c>
      <c r="W59" s="35">
        <v>0</v>
      </c>
      <c r="X59" s="40">
        <f t="shared" si="8"/>
        <v>0</v>
      </c>
      <c r="Z59" s="35">
        <v>0</v>
      </c>
      <c r="AA59" s="35">
        <v>0</v>
      </c>
      <c r="AB59" s="35">
        <v>0</v>
      </c>
      <c r="AC59" s="35">
        <v>0</v>
      </c>
      <c r="AD59" s="35">
        <v>0</v>
      </c>
      <c r="AE59" s="35">
        <v>0</v>
      </c>
      <c r="AF59" s="35">
        <v>0</v>
      </c>
      <c r="AG59" s="35">
        <v>0</v>
      </c>
      <c r="AH59" s="35">
        <v>0</v>
      </c>
      <c r="AI59" s="35">
        <v>0</v>
      </c>
      <c r="AJ59" s="35">
        <v>0</v>
      </c>
      <c r="AK59" s="35">
        <v>0</v>
      </c>
      <c r="AL59" s="35">
        <v>0</v>
      </c>
      <c r="AM59" s="35">
        <v>0</v>
      </c>
      <c r="AN59" s="40">
        <f t="shared" si="9"/>
        <v>0</v>
      </c>
      <c r="AP59" s="35">
        <v>0</v>
      </c>
      <c r="AQ59" s="35">
        <v>0</v>
      </c>
      <c r="AR59" s="35">
        <v>0</v>
      </c>
      <c r="AS59" s="35">
        <v>0</v>
      </c>
      <c r="AT59" s="35">
        <v>0</v>
      </c>
      <c r="AU59" s="35">
        <v>0</v>
      </c>
      <c r="AV59" s="40">
        <f t="shared" si="10"/>
        <v>0</v>
      </c>
      <c r="AX59" s="40">
        <f t="shared" si="4"/>
        <v>12332609</v>
      </c>
    </row>
    <row r="60" spans="1:50" x14ac:dyDescent="0.2">
      <c r="A60" s="29">
        <v>4</v>
      </c>
      <c r="B60" s="29">
        <v>202304</v>
      </c>
      <c r="C60" s="29">
        <v>1</v>
      </c>
      <c r="D60" s="35">
        <v>178526</v>
      </c>
      <c r="E60" s="35">
        <v>1387844</v>
      </c>
      <c r="F60" s="35">
        <v>431109</v>
      </c>
      <c r="G60" s="35">
        <v>8738144</v>
      </c>
      <c r="H60" s="35">
        <v>586245</v>
      </c>
      <c r="I60" s="35">
        <v>8265660</v>
      </c>
      <c r="J60" s="35">
        <v>5766068</v>
      </c>
      <c r="K60" s="35">
        <v>6469920</v>
      </c>
      <c r="L60" s="35">
        <v>12532637</v>
      </c>
      <c r="M60" s="35">
        <v>39067129</v>
      </c>
      <c r="N60" s="35">
        <v>608422</v>
      </c>
      <c r="O60" s="35">
        <v>589201</v>
      </c>
      <c r="P60" s="35">
        <v>620693</v>
      </c>
      <c r="Q60" s="35">
        <v>15034989</v>
      </c>
      <c r="R60" s="35">
        <v>304694</v>
      </c>
      <c r="S60" s="35">
        <v>15497270</v>
      </c>
      <c r="T60" s="40">
        <f t="shared" si="0"/>
        <v>116078551</v>
      </c>
      <c r="V60" s="35">
        <v>1545754</v>
      </c>
      <c r="W60" s="35">
        <v>17816</v>
      </c>
      <c r="X60" s="40">
        <f>SUM(V60:W60)</f>
        <v>1563570</v>
      </c>
      <c r="Z60" s="35">
        <v>13779</v>
      </c>
      <c r="AA60" s="35">
        <v>6730</v>
      </c>
      <c r="AB60" s="35">
        <v>616301</v>
      </c>
      <c r="AC60" s="35">
        <v>210799</v>
      </c>
      <c r="AD60" s="35">
        <v>58273</v>
      </c>
      <c r="AE60" s="35">
        <v>339142</v>
      </c>
      <c r="AF60" s="35">
        <v>1214515</v>
      </c>
      <c r="AG60" s="35">
        <v>1575162</v>
      </c>
      <c r="AH60" s="35">
        <v>7531</v>
      </c>
      <c r="AI60" s="35">
        <v>500610</v>
      </c>
      <c r="AJ60" s="35">
        <v>43249</v>
      </c>
      <c r="AK60" s="35">
        <v>852758</v>
      </c>
      <c r="AL60" s="35">
        <v>149350</v>
      </c>
      <c r="AM60" s="35">
        <v>0</v>
      </c>
      <c r="AN60" s="40">
        <f>SUM(Z60:AM60)</f>
        <v>5588199</v>
      </c>
      <c r="AO60" s="35"/>
      <c r="AP60" s="35">
        <v>1007611</v>
      </c>
      <c r="AQ60" s="35">
        <v>148119</v>
      </c>
      <c r="AR60" s="35">
        <v>6553724</v>
      </c>
      <c r="AS60" s="35">
        <v>120575</v>
      </c>
      <c r="AT60" s="35">
        <v>9556090</v>
      </c>
      <c r="AU60" s="35">
        <v>65594</v>
      </c>
      <c r="AV60" s="40">
        <f>SUM(AP60:AU60)</f>
        <v>17451713</v>
      </c>
      <c r="AX60" s="40">
        <f t="shared" si="4"/>
        <v>140682033</v>
      </c>
    </row>
    <row r="61" spans="1:50" x14ac:dyDescent="0.2">
      <c r="A61" s="29">
        <v>4</v>
      </c>
      <c r="B61" s="29">
        <v>202304</v>
      </c>
      <c r="C61" s="29">
        <v>2</v>
      </c>
      <c r="D61" s="35">
        <v>4</v>
      </c>
      <c r="E61" s="35">
        <v>0</v>
      </c>
      <c r="F61" s="35">
        <v>0</v>
      </c>
      <c r="G61" s="35">
        <v>27183</v>
      </c>
      <c r="H61" s="35">
        <v>1964</v>
      </c>
      <c r="I61" s="35">
        <v>15559</v>
      </c>
      <c r="J61" s="35">
        <v>2552</v>
      </c>
      <c r="K61" s="35">
        <v>5981</v>
      </c>
      <c r="L61" s="35">
        <v>38368</v>
      </c>
      <c r="M61" s="35">
        <v>85498</v>
      </c>
      <c r="N61" s="35">
        <v>885</v>
      </c>
      <c r="O61" s="35">
        <v>0</v>
      </c>
      <c r="P61" s="35">
        <v>2076</v>
      </c>
      <c r="Q61" s="35">
        <v>22217</v>
      </c>
      <c r="R61" s="35">
        <v>0</v>
      </c>
      <c r="S61" s="35">
        <v>22426</v>
      </c>
      <c r="T61" s="40">
        <f t="shared" si="0"/>
        <v>224713</v>
      </c>
      <c r="V61" s="35">
        <v>218</v>
      </c>
      <c r="W61" s="35">
        <v>0</v>
      </c>
      <c r="X61" s="40">
        <f t="shared" ref="X61:X78" si="11">SUM(V61:W61)</f>
        <v>218</v>
      </c>
      <c r="Z61" s="35">
        <v>0</v>
      </c>
      <c r="AA61" s="35">
        <v>0</v>
      </c>
      <c r="AB61" s="35">
        <v>1114</v>
      </c>
      <c r="AC61" s="35">
        <v>1061</v>
      </c>
      <c r="AD61" s="35">
        <v>717</v>
      </c>
      <c r="AE61" s="35">
        <v>452</v>
      </c>
      <c r="AF61" s="35">
        <v>1480</v>
      </c>
      <c r="AG61" s="35">
        <v>3569</v>
      </c>
      <c r="AH61" s="35">
        <v>0</v>
      </c>
      <c r="AI61" s="35">
        <v>375</v>
      </c>
      <c r="AJ61" s="35">
        <v>0</v>
      </c>
      <c r="AK61" s="35">
        <v>1652</v>
      </c>
      <c r="AL61" s="35">
        <v>0</v>
      </c>
      <c r="AM61" s="35">
        <v>0</v>
      </c>
      <c r="AN61" s="40">
        <f t="shared" ref="AN61:AN78" si="12">SUM(Z61:AM61)</f>
        <v>10420</v>
      </c>
      <c r="AP61" s="35">
        <v>1974</v>
      </c>
      <c r="AQ61" s="35">
        <v>0</v>
      </c>
      <c r="AR61" s="35">
        <v>26641</v>
      </c>
      <c r="AS61" s="35">
        <v>0</v>
      </c>
      <c r="AT61" s="35">
        <v>53558</v>
      </c>
      <c r="AU61" s="35">
        <v>0</v>
      </c>
      <c r="AV61" s="40">
        <f t="shared" ref="AV61:AV78" si="13">SUM(AP61:AU61)</f>
        <v>82173</v>
      </c>
      <c r="AX61" s="40">
        <f t="shared" si="4"/>
        <v>317524</v>
      </c>
    </row>
    <row r="62" spans="1:50" x14ac:dyDescent="0.2">
      <c r="A62" s="29">
        <v>4</v>
      </c>
      <c r="B62" s="29">
        <v>202304</v>
      </c>
      <c r="C62" s="29">
        <v>3</v>
      </c>
      <c r="D62" s="35">
        <v>1681</v>
      </c>
      <c r="E62" s="35">
        <v>59173</v>
      </c>
      <c r="F62" s="35">
        <v>0</v>
      </c>
      <c r="G62" s="35">
        <v>68812</v>
      </c>
      <c r="H62" s="35">
        <v>0</v>
      </c>
      <c r="I62" s="35">
        <v>53465</v>
      </c>
      <c r="J62" s="35">
        <v>207879</v>
      </c>
      <c r="K62" s="35">
        <v>272452</v>
      </c>
      <c r="L62" s="35">
        <v>259134</v>
      </c>
      <c r="M62" s="35">
        <v>1227771</v>
      </c>
      <c r="N62" s="35">
        <v>1254</v>
      </c>
      <c r="O62" s="35">
        <v>1581</v>
      </c>
      <c r="P62" s="35">
        <v>3472</v>
      </c>
      <c r="Q62" s="35">
        <v>11116</v>
      </c>
      <c r="R62" s="35">
        <v>1640</v>
      </c>
      <c r="S62" s="35">
        <v>840578</v>
      </c>
      <c r="T62" s="40">
        <f t="shared" si="0"/>
        <v>3010008</v>
      </c>
      <c r="V62" s="35">
        <v>31442</v>
      </c>
      <c r="W62" s="35">
        <v>1069</v>
      </c>
      <c r="X62" s="40">
        <f t="shared" si="11"/>
        <v>32511</v>
      </c>
      <c r="Z62" s="35">
        <v>0</v>
      </c>
      <c r="AA62" s="35">
        <v>0</v>
      </c>
      <c r="AB62" s="35">
        <v>15313</v>
      </c>
      <c r="AC62" s="35">
        <v>18919</v>
      </c>
      <c r="AD62" s="35">
        <v>2052</v>
      </c>
      <c r="AE62" s="35">
        <v>7646</v>
      </c>
      <c r="AF62" s="35">
        <v>65589</v>
      </c>
      <c r="AG62" s="35">
        <v>11525</v>
      </c>
      <c r="AH62" s="35">
        <v>0</v>
      </c>
      <c r="AI62" s="35">
        <v>5146</v>
      </c>
      <c r="AJ62" s="35">
        <v>1003</v>
      </c>
      <c r="AK62" s="35">
        <v>7932</v>
      </c>
      <c r="AL62" s="35">
        <v>4660</v>
      </c>
      <c r="AM62" s="35">
        <v>0</v>
      </c>
      <c r="AN62" s="40">
        <f t="shared" si="12"/>
        <v>139785</v>
      </c>
      <c r="AP62" s="35">
        <v>2375</v>
      </c>
      <c r="AQ62" s="35">
        <v>1017</v>
      </c>
      <c r="AR62" s="35">
        <v>0</v>
      </c>
      <c r="AS62" s="35">
        <v>0</v>
      </c>
      <c r="AT62" s="35">
        <v>3639</v>
      </c>
      <c r="AU62" s="35">
        <v>0</v>
      </c>
      <c r="AV62" s="40">
        <f t="shared" si="13"/>
        <v>7031</v>
      </c>
      <c r="AX62" s="40">
        <f t="shared" si="4"/>
        <v>3189335</v>
      </c>
    </row>
    <row r="63" spans="1:50" x14ac:dyDescent="0.2">
      <c r="A63" s="29">
        <v>4</v>
      </c>
      <c r="B63" s="29">
        <v>202304</v>
      </c>
      <c r="C63" s="29">
        <v>6</v>
      </c>
      <c r="D63" s="35">
        <v>1680</v>
      </c>
      <c r="E63" s="35">
        <v>2517844</v>
      </c>
      <c r="F63" s="35">
        <v>431529</v>
      </c>
      <c r="G63" s="35">
        <v>4539014</v>
      </c>
      <c r="H63" s="35">
        <v>0</v>
      </c>
      <c r="I63" s="35">
        <v>2529789</v>
      </c>
      <c r="J63" s="35">
        <v>1976547</v>
      </c>
      <c r="K63" s="35">
        <v>6430917</v>
      </c>
      <c r="L63" s="35">
        <v>7452656</v>
      </c>
      <c r="M63" s="35">
        <v>112696586</v>
      </c>
      <c r="N63" s="35">
        <v>348481</v>
      </c>
      <c r="O63" s="35">
        <v>27499</v>
      </c>
      <c r="P63" s="35">
        <v>144556</v>
      </c>
      <c r="Q63" s="35">
        <v>9039503</v>
      </c>
      <c r="R63" s="35">
        <v>576923</v>
      </c>
      <c r="S63" s="35">
        <v>21578321</v>
      </c>
      <c r="T63" s="40">
        <f t="shared" si="0"/>
        <v>170291845</v>
      </c>
      <c r="V63" s="35">
        <v>973515</v>
      </c>
      <c r="W63" s="35">
        <v>5807</v>
      </c>
      <c r="X63" s="40">
        <f t="shared" si="11"/>
        <v>979322</v>
      </c>
      <c r="Z63" s="35">
        <v>0</v>
      </c>
      <c r="AA63" s="35">
        <v>40535</v>
      </c>
      <c r="AB63" s="35">
        <v>492239</v>
      </c>
      <c r="AC63" s="35">
        <v>52360</v>
      </c>
      <c r="AD63" s="35">
        <v>50440</v>
      </c>
      <c r="AE63" s="35">
        <v>388203</v>
      </c>
      <c r="AF63" s="35">
        <v>2160032</v>
      </c>
      <c r="AG63" s="35">
        <v>564182</v>
      </c>
      <c r="AH63" s="35">
        <v>29120</v>
      </c>
      <c r="AI63" s="35">
        <v>63000</v>
      </c>
      <c r="AJ63" s="35">
        <v>79120</v>
      </c>
      <c r="AK63" s="35">
        <v>87155</v>
      </c>
      <c r="AL63" s="35">
        <v>242315</v>
      </c>
      <c r="AM63" s="35">
        <v>0</v>
      </c>
      <c r="AN63" s="40">
        <f t="shared" si="12"/>
        <v>4248701</v>
      </c>
      <c r="AP63" s="35">
        <v>327524</v>
      </c>
      <c r="AQ63" s="35">
        <v>0</v>
      </c>
      <c r="AR63" s="35">
        <v>958355</v>
      </c>
      <c r="AS63" s="35">
        <v>0</v>
      </c>
      <c r="AT63" s="35">
        <v>4090960</v>
      </c>
      <c r="AU63" s="35">
        <v>0</v>
      </c>
      <c r="AV63" s="40">
        <f t="shared" si="13"/>
        <v>5376839</v>
      </c>
      <c r="AX63" s="40">
        <f t="shared" si="4"/>
        <v>180896707</v>
      </c>
    </row>
    <row r="64" spans="1:50" x14ac:dyDescent="0.2">
      <c r="A64" s="29">
        <v>4</v>
      </c>
      <c r="B64" s="29">
        <v>202304</v>
      </c>
      <c r="C64" s="29" t="s">
        <v>230</v>
      </c>
      <c r="D64" s="35">
        <v>0</v>
      </c>
      <c r="E64" s="35">
        <v>34592</v>
      </c>
      <c r="F64" s="35">
        <v>0</v>
      </c>
      <c r="G64" s="35">
        <v>597307</v>
      </c>
      <c r="H64" s="35">
        <v>16108</v>
      </c>
      <c r="I64" s="35">
        <v>88700</v>
      </c>
      <c r="J64" s="35">
        <v>124920</v>
      </c>
      <c r="K64" s="35">
        <v>683857</v>
      </c>
      <c r="L64" s="35">
        <v>276028</v>
      </c>
      <c r="M64" s="35">
        <v>5922863</v>
      </c>
      <c r="N64" s="35">
        <v>3160</v>
      </c>
      <c r="O64" s="35">
        <v>8080</v>
      </c>
      <c r="P64" s="35">
        <v>3280</v>
      </c>
      <c r="Q64" s="35">
        <v>-168843</v>
      </c>
      <c r="R64" s="35">
        <v>8400</v>
      </c>
      <c r="S64" s="35">
        <v>1154404</v>
      </c>
      <c r="T64" s="40">
        <f t="shared" si="0"/>
        <v>8752856</v>
      </c>
      <c r="V64" s="35">
        <v>18440</v>
      </c>
      <c r="W64" s="35">
        <v>0</v>
      </c>
      <c r="X64" s="40">
        <f t="shared" si="11"/>
        <v>18440</v>
      </c>
      <c r="Z64" s="35">
        <v>0</v>
      </c>
      <c r="AA64" s="35">
        <v>2706</v>
      </c>
      <c r="AB64" s="35">
        <v>7680</v>
      </c>
      <c r="AC64" s="35">
        <v>0</v>
      </c>
      <c r="AD64" s="35">
        <v>0</v>
      </c>
      <c r="AE64" s="35">
        <v>3768</v>
      </c>
      <c r="AF64" s="35">
        <v>283655</v>
      </c>
      <c r="AG64" s="35">
        <v>7000</v>
      </c>
      <c r="AH64" s="35">
        <v>0</v>
      </c>
      <c r="AI64" s="35">
        <v>800</v>
      </c>
      <c r="AJ64" s="35">
        <v>17120</v>
      </c>
      <c r="AK64" s="35">
        <v>0</v>
      </c>
      <c r="AL64" s="35">
        <v>0</v>
      </c>
      <c r="AM64" s="35">
        <v>0</v>
      </c>
      <c r="AN64" s="40">
        <f t="shared" si="12"/>
        <v>322729</v>
      </c>
      <c r="AP64" s="35">
        <v>0</v>
      </c>
      <c r="AQ64" s="35">
        <v>0</v>
      </c>
      <c r="AR64" s="35">
        <v>46672</v>
      </c>
      <c r="AS64" s="35">
        <v>96480</v>
      </c>
      <c r="AT64" s="35">
        <v>1313728</v>
      </c>
      <c r="AU64" s="35">
        <v>10240</v>
      </c>
      <c r="AV64" s="40">
        <f t="shared" si="13"/>
        <v>1467120</v>
      </c>
      <c r="AX64" s="40">
        <f t="shared" si="4"/>
        <v>10561145</v>
      </c>
    </row>
    <row r="65" spans="1:50" x14ac:dyDescent="0.2">
      <c r="A65" s="29">
        <v>4</v>
      </c>
      <c r="B65" s="29">
        <v>202304</v>
      </c>
      <c r="C65" s="29" t="s">
        <v>231</v>
      </c>
      <c r="D65" s="35">
        <v>0</v>
      </c>
      <c r="E65" s="35">
        <v>0</v>
      </c>
      <c r="F65" s="35">
        <v>0</v>
      </c>
      <c r="G65" s="35">
        <v>0</v>
      </c>
      <c r="H65" s="35">
        <v>0</v>
      </c>
      <c r="I65" s="35">
        <v>0</v>
      </c>
      <c r="J65" s="35">
        <v>0</v>
      </c>
      <c r="K65" s="35">
        <v>0</v>
      </c>
      <c r="L65" s="35">
        <v>0</v>
      </c>
      <c r="M65" s="35">
        <v>0</v>
      </c>
      <c r="N65" s="35">
        <v>0</v>
      </c>
      <c r="O65" s="35">
        <v>0</v>
      </c>
      <c r="P65" s="35">
        <v>0</v>
      </c>
      <c r="Q65" s="35">
        <v>0</v>
      </c>
      <c r="R65" s="35">
        <v>0</v>
      </c>
      <c r="S65" s="35">
        <v>0</v>
      </c>
      <c r="T65" s="40">
        <f t="shared" si="0"/>
        <v>0</v>
      </c>
      <c r="V65" s="35">
        <v>0</v>
      </c>
      <c r="W65" s="35">
        <v>0</v>
      </c>
      <c r="X65" s="40">
        <f t="shared" si="11"/>
        <v>0</v>
      </c>
      <c r="Z65" s="35">
        <v>0</v>
      </c>
      <c r="AA65" s="35">
        <v>0</v>
      </c>
      <c r="AB65" s="35">
        <v>0</v>
      </c>
      <c r="AC65" s="35">
        <v>0</v>
      </c>
      <c r="AD65" s="35">
        <v>0</v>
      </c>
      <c r="AE65" s="35">
        <v>0</v>
      </c>
      <c r="AF65" s="35">
        <v>0</v>
      </c>
      <c r="AG65" s="35">
        <v>0</v>
      </c>
      <c r="AH65" s="35">
        <v>0</v>
      </c>
      <c r="AI65" s="35">
        <v>0</v>
      </c>
      <c r="AJ65" s="35">
        <v>0</v>
      </c>
      <c r="AK65" s="35">
        <v>0</v>
      </c>
      <c r="AL65" s="35">
        <v>0</v>
      </c>
      <c r="AM65" s="35">
        <v>0</v>
      </c>
      <c r="AN65" s="40">
        <f t="shared" si="12"/>
        <v>0</v>
      </c>
      <c r="AP65" s="35">
        <v>0</v>
      </c>
      <c r="AQ65" s="35">
        <v>0</v>
      </c>
      <c r="AR65" s="35">
        <v>0</v>
      </c>
      <c r="AS65" s="35">
        <v>0</v>
      </c>
      <c r="AT65" s="35">
        <v>0</v>
      </c>
      <c r="AU65" s="35">
        <v>0</v>
      </c>
      <c r="AV65" s="40">
        <f t="shared" si="13"/>
        <v>0</v>
      </c>
      <c r="AX65" s="40">
        <f t="shared" si="4"/>
        <v>0</v>
      </c>
    </row>
    <row r="66" spans="1:50" x14ac:dyDescent="0.2">
      <c r="A66" s="29">
        <v>4</v>
      </c>
      <c r="B66" s="29">
        <v>202304</v>
      </c>
      <c r="C66" s="29">
        <v>7</v>
      </c>
      <c r="D66" s="35">
        <v>0</v>
      </c>
      <c r="E66" s="35">
        <v>6970</v>
      </c>
      <c r="F66" s="35">
        <v>0</v>
      </c>
      <c r="G66" s="35">
        <v>4144</v>
      </c>
      <c r="H66" s="35">
        <v>0</v>
      </c>
      <c r="I66" s="35">
        <v>10462</v>
      </c>
      <c r="J66" s="35">
        <v>7096</v>
      </c>
      <c r="K66" s="35">
        <v>17029</v>
      </c>
      <c r="L66" s="35">
        <v>26566</v>
      </c>
      <c r="M66" s="35">
        <v>202656</v>
      </c>
      <c r="N66" s="35">
        <v>1636</v>
      </c>
      <c r="O66" s="35">
        <v>177</v>
      </c>
      <c r="P66" s="35">
        <v>304</v>
      </c>
      <c r="Q66" s="35">
        <v>709</v>
      </c>
      <c r="R66" s="35">
        <v>328</v>
      </c>
      <c r="S66" s="35">
        <v>48895</v>
      </c>
      <c r="T66" s="40">
        <f t="shared" si="0"/>
        <v>326972</v>
      </c>
      <c r="V66" s="35">
        <v>1688</v>
      </c>
      <c r="W66" s="35">
        <v>78</v>
      </c>
      <c r="X66" s="40">
        <f t="shared" si="11"/>
        <v>1766</v>
      </c>
      <c r="Z66" s="35">
        <v>0</v>
      </c>
      <c r="AA66" s="35">
        <v>0</v>
      </c>
      <c r="AB66" s="35">
        <v>285</v>
      </c>
      <c r="AC66" s="35">
        <v>444</v>
      </c>
      <c r="AD66" s="35">
        <v>296</v>
      </c>
      <c r="AE66" s="35">
        <v>69</v>
      </c>
      <c r="AF66" s="35">
        <v>7148</v>
      </c>
      <c r="AG66" s="35">
        <v>779</v>
      </c>
      <c r="AH66" s="35">
        <v>444</v>
      </c>
      <c r="AI66" s="35">
        <v>0</v>
      </c>
      <c r="AJ66" s="35">
        <v>0</v>
      </c>
      <c r="AK66" s="35">
        <v>56</v>
      </c>
      <c r="AL66" s="35">
        <v>646</v>
      </c>
      <c r="AM66" s="35">
        <v>0</v>
      </c>
      <c r="AN66" s="40">
        <f t="shared" si="12"/>
        <v>10167</v>
      </c>
      <c r="AP66" s="35">
        <v>427</v>
      </c>
      <c r="AQ66" s="35">
        <v>208</v>
      </c>
      <c r="AR66" s="35">
        <v>39</v>
      </c>
      <c r="AS66" s="35">
        <v>97</v>
      </c>
      <c r="AT66" s="35">
        <v>305</v>
      </c>
      <c r="AU66" s="35">
        <v>0</v>
      </c>
      <c r="AV66" s="40">
        <f t="shared" si="13"/>
        <v>1076</v>
      </c>
      <c r="AX66" s="40">
        <f t="shared" si="4"/>
        <v>339981</v>
      </c>
    </row>
    <row r="67" spans="1:50" x14ac:dyDescent="0.2">
      <c r="A67" s="29">
        <v>4</v>
      </c>
      <c r="B67" s="29">
        <v>202304</v>
      </c>
      <c r="C67" s="29">
        <v>8</v>
      </c>
      <c r="D67" s="35">
        <v>0</v>
      </c>
      <c r="E67" s="35">
        <v>0</v>
      </c>
      <c r="F67" s="35">
        <v>0</v>
      </c>
      <c r="G67" s="35">
        <v>0</v>
      </c>
      <c r="H67" s="35">
        <v>0</v>
      </c>
      <c r="I67" s="35">
        <v>232800</v>
      </c>
      <c r="J67" s="35">
        <v>481600</v>
      </c>
      <c r="K67" s="35">
        <v>0</v>
      </c>
      <c r="L67" s="35">
        <v>1000800</v>
      </c>
      <c r="M67" s="35">
        <v>41089306</v>
      </c>
      <c r="N67" s="35">
        <v>0</v>
      </c>
      <c r="O67" s="35">
        <v>0</v>
      </c>
      <c r="P67" s="35">
        <v>0</v>
      </c>
      <c r="Q67" s="35">
        <v>12900</v>
      </c>
      <c r="R67" s="35">
        <v>0</v>
      </c>
      <c r="S67" s="35">
        <v>8354000</v>
      </c>
      <c r="T67" s="40">
        <f t="shared" ref="T67:T130" si="14">SUM(D67:S67)</f>
        <v>51171406</v>
      </c>
      <c r="V67" s="35">
        <v>0</v>
      </c>
      <c r="W67" s="35">
        <v>0</v>
      </c>
      <c r="X67" s="40">
        <f t="shared" si="11"/>
        <v>0</v>
      </c>
      <c r="Z67" s="35">
        <v>658800</v>
      </c>
      <c r="AA67" s="35">
        <v>0</v>
      </c>
      <c r="AB67" s="35">
        <v>277200</v>
      </c>
      <c r="AC67" s="35">
        <v>0</v>
      </c>
      <c r="AD67" s="35">
        <v>0</v>
      </c>
      <c r="AE67" s="35">
        <v>1432800</v>
      </c>
      <c r="AF67" s="35">
        <v>844800</v>
      </c>
      <c r="AG67" s="35">
        <v>0</v>
      </c>
      <c r="AH67" s="35">
        <v>0</v>
      </c>
      <c r="AI67" s="35">
        <v>0</v>
      </c>
      <c r="AJ67" s="35">
        <v>0</v>
      </c>
      <c r="AK67" s="35">
        <v>0</v>
      </c>
      <c r="AL67" s="35">
        <v>0</v>
      </c>
      <c r="AM67" s="35">
        <v>0</v>
      </c>
      <c r="AN67" s="40">
        <f t="shared" si="12"/>
        <v>3213600</v>
      </c>
      <c r="AP67" s="35">
        <v>0</v>
      </c>
      <c r="AQ67" s="35">
        <v>0</v>
      </c>
      <c r="AR67" s="35">
        <v>0</v>
      </c>
      <c r="AS67" s="35">
        <v>0</v>
      </c>
      <c r="AT67" s="35">
        <v>574300</v>
      </c>
      <c r="AU67" s="35">
        <v>0</v>
      </c>
      <c r="AV67" s="40">
        <f t="shared" si="13"/>
        <v>574300</v>
      </c>
      <c r="AX67" s="40">
        <f t="shared" si="4"/>
        <v>54959306</v>
      </c>
    </row>
    <row r="68" spans="1:50" x14ac:dyDescent="0.2">
      <c r="A68" s="29">
        <v>4</v>
      </c>
      <c r="B68" s="29">
        <v>202304</v>
      </c>
      <c r="C68" s="29">
        <v>9</v>
      </c>
      <c r="D68" s="35">
        <v>0</v>
      </c>
      <c r="E68" s="35">
        <v>0</v>
      </c>
      <c r="F68" s="35">
        <v>0</v>
      </c>
      <c r="G68" s="35">
        <v>499200</v>
      </c>
      <c r="H68" s="35">
        <v>0</v>
      </c>
      <c r="I68" s="35">
        <v>0</v>
      </c>
      <c r="J68" s="35">
        <v>0</v>
      </c>
      <c r="K68" s="35">
        <v>0</v>
      </c>
      <c r="L68" s="35">
        <v>0</v>
      </c>
      <c r="M68" s="35">
        <v>15115421</v>
      </c>
      <c r="N68" s="35">
        <v>0</v>
      </c>
      <c r="O68" s="35">
        <v>0</v>
      </c>
      <c r="P68" s="35">
        <v>0</v>
      </c>
      <c r="Q68" s="35">
        <v>0</v>
      </c>
      <c r="R68" s="35">
        <v>0</v>
      </c>
      <c r="S68" s="35">
        <v>17872000</v>
      </c>
      <c r="T68" s="40">
        <f t="shared" si="14"/>
        <v>33486621</v>
      </c>
      <c r="V68" s="35">
        <v>1976772</v>
      </c>
      <c r="W68" s="35">
        <v>0</v>
      </c>
      <c r="X68" s="40">
        <f t="shared" si="11"/>
        <v>1976772</v>
      </c>
      <c r="Z68" s="35">
        <v>0</v>
      </c>
      <c r="AA68" s="35">
        <v>0</v>
      </c>
      <c r="AB68" s="35">
        <v>0</v>
      </c>
      <c r="AC68" s="35">
        <v>0</v>
      </c>
      <c r="AD68" s="35">
        <v>0</v>
      </c>
      <c r="AE68" s="35">
        <v>0</v>
      </c>
      <c r="AF68" s="35">
        <v>1337000</v>
      </c>
      <c r="AG68" s="35">
        <v>0</v>
      </c>
      <c r="AH68" s="35">
        <v>0</v>
      </c>
      <c r="AI68" s="35">
        <v>0</v>
      </c>
      <c r="AJ68" s="35">
        <v>0</v>
      </c>
      <c r="AK68" s="35">
        <v>33840</v>
      </c>
      <c r="AL68" s="35">
        <v>0</v>
      </c>
      <c r="AM68" s="35">
        <v>0</v>
      </c>
      <c r="AN68" s="40">
        <f t="shared" si="12"/>
        <v>1370840</v>
      </c>
      <c r="AP68" s="35">
        <v>0</v>
      </c>
      <c r="AQ68" s="35">
        <v>0</v>
      </c>
      <c r="AR68" s="35">
        <v>0</v>
      </c>
      <c r="AS68" s="35">
        <v>0</v>
      </c>
      <c r="AT68" s="35">
        <v>0</v>
      </c>
      <c r="AU68" s="35">
        <v>0</v>
      </c>
      <c r="AV68" s="40">
        <f t="shared" si="13"/>
        <v>0</v>
      </c>
      <c r="AX68" s="40">
        <f t="shared" ref="AX68:AX131" si="15">AV68+AN68+X68+T68</f>
        <v>36834233</v>
      </c>
    </row>
    <row r="69" spans="1:50" x14ac:dyDescent="0.2">
      <c r="A69" s="29">
        <v>4</v>
      </c>
      <c r="B69" s="29">
        <v>202304</v>
      </c>
      <c r="C69" s="29" t="s">
        <v>234</v>
      </c>
      <c r="D69" s="35">
        <v>0</v>
      </c>
      <c r="E69" s="35">
        <v>0</v>
      </c>
      <c r="F69" s="35">
        <v>0</v>
      </c>
      <c r="G69" s="35">
        <v>0</v>
      </c>
      <c r="H69" s="35">
        <v>0</v>
      </c>
      <c r="I69" s="35">
        <v>0</v>
      </c>
      <c r="J69" s="35">
        <v>0</v>
      </c>
      <c r="K69" s="35">
        <v>0</v>
      </c>
      <c r="L69" s="35">
        <v>0</v>
      </c>
      <c r="M69" s="35">
        <v>352800</v>
      </c>
      <c r="N69" s="35">
        <v>0</v>
      </c>
      <c r="O69" s="35">
        <v>0</v>
      </c>
      <c r="P69" s="35">
        <v>0</v>
      </c>
      <c r="Q69" s="35">
        <v>0</v>
      </c>
      <c r="R69" s="35">
        <v>0</v>
      </c>
      <c r="S69" s="35">
        <v>0</v>
      </c>
      <c r="T69" s="40">
        <f t="shared" si="14"/>
        <v>352800</v>
      </c>
      <c r="V69" s="35">
        <v>0</v>
      </c>
      <c r="W69" s="35">
        <v>0</v>
      </c>
      <c r="X69" s="40">
        <f t="shared" si="11"/>
        <v>0</v>
      </c>
      <c r="Z69" s="35">
        <v>0</v>
      </c>
      <c r="AA69" s="35">
        <v>0</v>
      </c>
      <c r="AB69" s="35">
        <v>0</v>
      </c>
      <c r="AC69" s="35">
        <v>0</v>
      </c>
      <c r="AD69" s="35">
        <v>0</v>
      </c>
      <c r="AE69" s="35">
        <v>0</v>
      </c>
      <c r="AF69" s="35">
        <v>0</v>
      </c>
      <c r="AG69" s="35">
        <v>0</v>
      </c>
      <c r="AH69" s="35">
        <v>0</v>
      </c>
      <c r="AI69" s="35">
        <v>0</v>
      </c>
      <c r="AJ69" s="35">
        <v>0</v>
      </c>
      <c r="AK69" s="35">
        <v>0</v>
      </c>
      <c r="AL69" s="35">
        <v>0</v>
      </c>
      <c r="AM69" s="35">
        <v>0</v>
      </c>
      <c r="AN69" s="40">
        <f t="shared" si="12"/>
        <v>0</v>
      </c>
      <c r="AP69" s="35">
        <v>0</v>
      </c>
      <c r="AQ69" s="35">
        <v>0</v>
      </c>
      <c r="AR69" s="35">
        <v>0</v>
      </c>
      <c r="AS69" s="35">
        <v>0</v>
      </c>
      <c r="AT69" s="35">
        <v>0</v>
      </c>
      <c r="AU69" s="35">
        <v>0</v>
      </c>
      <c r="AV69" s="40">
        <f t="shared" si="13"/>
        <v>0</v>
      </c>
      <c r="AX69" s="40">
        <f t="shared" si="15"/>
        <v>352800</v>
      </c>
    </row>
    <row r="70" spans="1:50" x14ac:dyDescent="0.2">
      <c r="A70" s="29">
        <v>4</v>
      </c>
      <c r="B70" s="29">
        <v>202304</v>
      </c>
      <c r="C70" s="29" t="s">
        <v>235</v>
      </c>
      <c r="D70" s="35">
        <v>0</v>
      </c>
      <c r="E70" s="35">
        <v>0</v>
      </c>
      <c r="F70" s="35">
        <v>0</v>
      </c>
      <c r="G70" s="35">
        <v>0</v>
      </c>
      <c r="H70" s="35">
        <v>0</v>
      </c>
      <c r="I70" s="35">
        <v>0</v>
      </c>
      <c r="J70" s="35">
        <v>0</v>
      </c>
      <c r="K70" s="35">
        <v>0</v>
      </c>
      <c r="L70" s="35">
        <v>0</v>
      </c>
      <c r="M70" s="35">
        <v>181817</v>
      </c>
      <c r="N70" s="35">
        <v>0</v>
      </c>
      <c r="O70" s="35">
        <v>0</v>
      </c>
      <c r="P70" s="35">
        <v>0</v>
      </c>
      <c r="Q70" s="35">
        <v>0</v>
      </c>
      <c r="R70" s="35">
        <v>0</v>
      </c>
      <c r="S70" s="35">
        <v>1340445</v>
      </c>
      <c r="T70" s="40">
        <f t="shared" si="14"/>
        <v>1522262</v>
      </c>
      <c r="V70" s="35">
        <v>0</v>
      </c>
      <c r="W70" s="35">
        <v>0</v>
      </c>
      <c r="X70" s="40">
        <f t="shared" si="11"/>
        <v>0</v>
      </c>
      <c r="Z70" s="35">
        <v>0</v>
      </c>
      <c r="AA70" s="35">
        <v>0</v>
      </c>
      <c r="AB70" s="35">
        <v>24856800</v>
      </c>
      <c r="AC70" s="35">
        <v>0</v>
      </c>
      <c r="AD70" s="35">
        <v>0</v>
      </c>
      <c r="AE70" s="35">
        <v>0</v>
      </c>
      <c r="AF70" s="35">
        <v>0</v>
      </c>
      <c r="AG70" s="35">
        <v>0</v>
      </c>
      <c r="AH70" s="35">
        <v>0</v>
      </c>
      <c r="AI70" s="35">
        <v>0</v>
      </c>
      <c r="AJ70" s="35">
        <v>0</v>
      </c>
      <c r="AK70" s="35">
        <v>0</v>
      </c>
      <c r="AL70" s="35">
        <v>0</v>
      </c>
      <c r="AM70" s="35">
        <v>0</v>
      </c>
      <c r="AN70" s="40">
        <f t="shared" si="12"/>
        <v>24856800</v>
      </c>
      <c r="AP70" s="35">
        <v>0</v>
      </c>
      <c r="AQ70" s="35">
        <v>0</v>
      </c>
      <c r="AR70" s="35">
        <v>0</v>
      </c>
      <c r="AS70" s="35">
        <v>0</v>
      </c>
      <c r="AT70" s="35">
        <v>0</v>
      </c>
      <c r="AU70" s="35">
        <v>0</v>
      </c>
      <c r="AV70" s="40">
        <f t="shared" si="13"/>
        <v>0</v>
      </c>
      <c r="AX70" s="40">
        <f t="shared" si="15"/>
        <v>26379062</v>
      </c>
    </row>
    <row r="71" spans="1:50" x14ac:dyDescent="0.2">
      <c r="A71" s="29">
        <v>4</v>
      </c>
      <c r="B71" s="29">
        <v>202304</v>
      </c>
      <c r="C71" s="29">
        <v>10</v>
      </c>
      <c r="D71" s="35">
        <v>0</v>
      </c>
      <c r="E71" s="35">
        <v>947</v>
      </c>
      <c r="F71" s="35">
        <v>0</v>
      </c>
      <c r="G71" s="35">
        <v>0</v>
      </c>
      <c r="H71" s="35">
        <v>0</v>
      </c>
      <c r="I71" s="35">
        <v>34858</v>
      </c>
      <c r="J71" s="35">
        <v>95</v>
      </c>
      <c r="K71" s="35">
        <v>0</v>
      </c>
      <c r="L71" s="35">
        <v>0</v>
      </c>
      <c r="M71" s="35">
        <v>5954</v>
      </c>
      <c r="N71" s="35">
        <v>879</v>
      </c>
      <c r="O71" s="35">
        <v>0</v>
      </c>
      <c r="P71" s="35">
        <v>5485</v>
      </c>
      <c r="Q71" s="35">
        <v>0</v>
      </c>
      <c r="R71" s="35">
        <v>12688</v>
      </c>
      <c r="S71" s="35">
        <v>4337</v>
      </c>
      <c r="T71" s="40">
        <f t="shared" si="14"/>
        <v>65243</v>
      </c>
      <c r="V71" s="35">
        <v>4496</v>
      </c>
      <c r="W71" s="35">
        <v>30298</v>
      </c>
      <c r="X71" s="40">
        <f t="shared" si="11"/>
        <v>34794</v>
      </c>
      <c r="Z71" s="35">
        <v>0</v>
      </c>
      <c r="AA71" s="35">
        <v>0</v>
      </c>
      <c r="AB71" s="35">
        <v>0</v>
      </c>
      <c r="AC71" s="35">
        <v>0</v>
      </c>
      <c r="AD71" s="35">
        <v>0</v>
      </c>
      <c r="AE71" s="35">
        <v>0</v>
      </c>
      <c r="AF71" s="35">
        <v>1130</v>
      </c>
      <c r="AG71" s="35">
        <v>280</v>
      </c>
      <c r="AH71" s="35">
        <v>0</v>
      </c>
      <c r="AI71" s="35">
        <v>0</v>
      </c>
      <c r="AJ71" s="35">
        <v>0</v>
      </c>
      <c r="AK71" s="35">
        <v>1362</v>
      </c>
      <c r="AL71" s="35">
        <v>0</v>
      </c>
      <c r="AM71" s="35">
        <v>0</v>
      </c>
      <c r="AN71" s="40">
        <f t="shared" si="12"/>
        <v>2772</v>
      </c>
      <c r="AP71" s="35">
        <v>2530</v>
      </c>
      <c r="AQ71" s="35">
        <v>0</v>
      </c>
      <c r="AR71" s="35">
        <v>0</v>
      </c>
      <c r="AS71" s="35">
        <v>613</v>
      </c>
      <c r="AT71" s="35">
        <v>0</v>
      </c>
      <c r="AU71" s="35">
        <v>3120</v>
      </c>
      <c r="AV71" s="40">
        <f t="shared" si="13"/>
        <v>6263</v>
      </c>
      <c r="AX71" s="40">
        <f t="shared" si="15"/>
        <v>109072</v>
      </c>
    </row>
    <row r="72" spans="1:50" x14ac:dyDescent="0.2">
      <c r="A72" s="29">
        <v>4</v>
      </c>
      <c r="B72" s="29">
        <v>202304</v>
      </c>
      <c r="C72" s="29">
        <v>11</v>
      </c>
      <c r="D72" s="35">
        <v>0</v>
      </c>
      <c r="E72" s="35">
        <v>0</v>
      </c>
      <c r="F72" s="35">
        <v>44</v>
      </c>
      <c r="G72" s="35">
        <v>28194</v>
      </c>
      <c r="H72" s="35">
        <v>0</v>
      </c>
      <c r="I72" s="35">
        <v>46218</v>
      </c>
      <c r="J72" s="35">
        <v>0</v>
      </c>
      <c r="K72" s="35">
        <v>0</v>
      </c>
      <c r="L72" s="35">
        <v>0</v>
      </c>
      <c r="M72" s="35">
        <v>4515</v>
      </c>
      <c r="N72" s="35">
        <v>2673</v>
      </c>
      <c r="O72" s="35">
        <v>499</v>
      </c>
      <c r="P72" s="35">
        <v>3018</v>
      </c>
      <c r="Q72" s="35">
        <v>1274</v>
      </c>
      <c r="R72" s="35">
        <v>117</v>
      </c>
      <c r="S72" s="35">
        <v>116803</v>
      </c>
      <c r="T72" s="40">
        <f t="shared" si="14"/>
        <v>203355</v>
      </c>
      <c r="V72" s="35">
        <v>24352</v>
      </c>
      <c r="W72" s="35">
        <v>0</v>
      </c>
      <c r="X72" s="40">
        <f t="shared" si="11"/>
        <v>24352</v>
      </c>
      <c r="Z72" s="35">
        <v>0</v>
      </c>
      <c r="AA72" s="35">
        <v>0</v>
      </c>
      <c r="AB72" s="35">
        <v>0</v>
      </c>
      <c r="AC72" s="35">
        <v>0</v>
      </c>
      <c r="AD72" s="35">
        <v>0</v>
      </c>
      <c r="AE72" s="35">
        <v>0</v>
      </c>
      <c r="AF72" s="35">
        <v>5555</v>
      </c>
      <c r="AG72" s="35">
        <v>0</v>
      </c>
      <c r="AH72" s="35">
        <v>1184</v>
      </c>
      <c r="AI72" s="35">
        <v>0</v>
      </c>
      <c r="AJ72" s="35">
        <v>0</v>
      </c>
      <c r="AK72" s="35">
        <v>0</v>
      </c>
      <c r="AL72" s="35">
        <v>0</v>
      </c>
      <c r="AM72" s="35">
        <v>0</v>
      </c>
      <c r="AN72" s="40">
        <f t="shared" si="12"/>
        <v>6739</v>
      </c>
      <c r="AP72" s="35">
        <v>0</v>
      </c>
      <c r="AQ72" s="35">
        <v>0</v>
      </c>
      <c r="AR72" s="35">
        <v>0</v>
      </c>
      <c r="AS72" s="35">
        <v>0</v>
      </c>
      <c r="AT72" s="35">
        <v>0</v>
      </c>
      <c r="AU72" s="35">
        <v>0</v>
      </c>
      <c r="AV72" s="40">
        <f t="shared" si="13"/>
        <v>0</v>
      </c>
      <c r="AX72" s="40">
        <f t="shared" si="15"/>
        <v>234446</v>
      </c>
    </row>
    <row r="73" spans="1:50" x14ac:dyDescent="0.2">
      <c r="A73" s="29">
        <v>4</v>
      </c>
      <c r="B73" s="29">
        <v>202304</v>
      </c>
      <c r="C73" s="29">
        <v>12</v>
      </c>
      <c r="D73" s="35">
        <v>0</v>
      </c>
      <c r="E73" s="35">
        <v>0</v>
      </c>
      <c r="F73" s="35">
        <v>0</v>
      </c>
      <c r="G73" s="35">
        <v>14471</v>
      </c>
      <c r="H73" s="35">
        <v>0</v>
      </c>
      <c r="I73" s="35">
        <v>21386</v>
      </c>
      <c r="J73" s="35">
        <v>0</v>
      </c>
      <c r="K73" s="35">
        <v>46668</v>
      </c>
      <c r="L73" s="35">
        <v>156</v>
      </c>
      <c r="M73" s="35">
        <v>978824</v>
      </c>
      <c r="N73" s="35">
        <v>1291</v>
      </c>
      <c r="O73" s="35">
        <v>0</v>
      </c>
      <c r="P73" s="35">
        <v>0</v>
      </c>
      <c r="Q73" s="35">
        <v>10278</v>
      </c>
      <c r="R73" s="35">
        <v>0</v>
      </c>
      <c r="S73" s="35">
        <v>58321</v>
      </c>
      <c r="T73" s="40">
        <f t="shared" si="14"/>
        <v>1131395</v>
      </c>
      <c r="V73" s="35">
        <v>4401</v>
      </c>
      <c r="W73" s="35">
        <v>0</v>
      </c>
      <c r="X73" s="40">
        <f t="shared" si="11"/>
        <v>4401</v>
      </c>
      <c r="Z73" s="35">
        <v>0</v>
      </c>
      <c r="AA73" s="35">
        <v>0</v>
      </c>
      <c r="AB73" s="35">
        <v>0</v>
      </c>
      <c r="AC73" s="35">
        <v>0</v>
      </c>
      <c r="AD73" s="35">
        <v>0</v>
      </c>
      <c r="AE73" s="35">
        <v>0</v>
      </c>
      <c r="AF73" s="35">
        <v>54982</v>
      </c>
      <c r="AG73" s="35">
        <v>0</v>
      </c>
      <c r="AH73" s="35">
        <v>0</v>
      </c>
      <c r="AI73" s="35">
        <v>308</v>
      </c>
      <c r="AJ73" s="35">
        <v>0</v>
      </c>
      <c r="AK73" s="35">
        <v>0</v>
      </c>
      <c r="AL73" s="35">
        <v>35177</v>
      </c>
      <c r="AM73" s="35">
        <v>0</v>
      </c>
      <c r="AN73" s="40">
        <f t="shared" si="12"/>
        <v>90467</v>
      </c>
      <c r="AP73" s="35">
        <v>0</v>
      </c>
      <c r="AQ73" s="35">
        <v>0</v>
      </c>
      <c r="AR73" s="35">
        <v>543</v>
      </c>
      <c r="AS73" s="35">
        <v>0</v>
      </c>
      <c r="AT73" s="35">
        <v>276</v>
      </c>
      <c r="AU73" s="35">
        <v>0</v>
      </c>
      <c r="AV73" s="40">
        <f t="shared" si="13"/>
        <v>819</v>
      </c>
      <c r="AX73" s="40">
        <f t="shared" si="15"/>
        <v>1227082</v>
      </c>
    </row>
    <row r="74" spans="1:50" x14ac:dyDescent="0.2">
      <c r="A74" s="29">
        <v>4</v>
      </c>
      <c r="B74" s="29">
        <v>202304</v>
      </c>
      <c r="C74" s="29">
        <v>15</v>
      </c>
      <c r="D74" s="35">
        <v>0</v>
      </c>
      <c r="E74" s="35">
        <v>3586</v>
      </c>
      <c r="F74" s="35">
        <v>0</v>
      </c>
      <c r="G74" s="35">
        <v>13326</v>
      </c>
      <c r="H74" s="35">
        <v>0</v>
      </c>
      <c r="I74" s="35">
        <v>7500</v>
      </c>
      <c r="J74" s="35">
        <v>7549</v>
      </c>
      <c r="K74" s="35">
        <v>18595</v>
      </c>
      <c r="L74" s="35">
        <v>21088</v>
      </c>
      <c r="M74" s="35">
        <v>417371</v>
      </c>
      <c r="N74" s="35">
        <v>553</v>
      </c>
      <c r="O74" s="35">
        <v>0</v>
      </c>
      <c r="P74" s="35">
        <v>388</v>
      </c>
      <c r="Q74" s="35">
        <v>13222</v>
      </c>
      <c r="R74" s="35">
        <v>0</v>
      </c>
      <c r="S74" s="35">
        <v>50904</v>
      </c>
      <c r="T74" s="40">
        <f t="shared" si="14"/>
        <v>554082</v>
      </c>
      <c r="V74" s="35">
        <v>2258</v>
      </c>
      <c r="W74" s="35">
        <v>500</v>
      </c>
      <c r="X74" s="40">
        <f t="shared" si="11"/>
        <v>2758</v>
      </c>
      <c r="Z74" s="35">
        <v>0</v>
      </c>
      <c r="AA74" s="35">
        <v>2647</v>
      </c>
      <c r="AB74" s="35">
        <v>2637</v>
      </c>
      <c r="AC74" s="35">
        <v>0</v>
      </c>
      <c r="AD74" s="35">
        <v>0</v>
      </c>
      <c r="AE74" s="35">
        <v>772</v>
      </c>
      <c r="AF74" s="35">
        <v>18620</v>
      </c>
      <c r="AG74" s="35">
        <v>1304</v>
      </c>
      <c r="AH74" s="35">
        <v>0</v>
      </c>
      <c r="AI74" s="35">
        <v>0</v>
      </c>
      <c r="AJ74" s="35">
        <v>0</v>
      </c>
      <c r="AK74" s="35">
        <v>1058</v>
      </c>
      <c r="AL74" s="35">
        <v>393</v>
      </c>
      <c r="AM74" s="35">
        <v>0</v>
      </c>
      <c r="AN74" s="40">
        <f t="shared" si="12"/>
        <v>27431</v>
      </c>
      <c r="AP74" s="35">
        <v>200</v>
      </c>
      <c r="AQ74" s="35">
        <v>0</v>
      </c>
      <c r="AR74" s="35">
        <v>923</v>
      </c>
      <c r="AS74" s="35">
        <v>0</v>
      </c>
      <c r="AT74" s="35">
        <v>3208</v>
      </c>
      <c r="AU74" s="35">
        <v>0</v>
      </c>
      <c r="AV74" s="40">
        <f t="shared" si="13"/>
        <v>4331</v>
      </c>
      <c r="AX74" s="40">
        <f t="shared" si="15"/>
        <v>588602</v>
      </c>
    </row>
    <row r="75" spans="1:50" x14ac:dyDescent="0.2">
      <c r="A75" s="29">
        <v>4</v>
      </c>
      <c r="B75" s="29">
        <v>202304</v>
      </c>
      <c r="C75" s="29">
        <v>21</v>
      </c>
      <c r="D75" s="35">
        <v>0</v>
      </c>
      <c r="E75" s="35">
        <v>0</v>
      </c>
      <c r="F75" s="35">
        <v>0</v>
      </c>
      <c r="G75" s="35">
        <v>0</v>
      </c>
      <c r="H75" s="35">
        <v>0</v>
      </c>
      <c r="I75" s="35">
        <v>0</v>
      </c>
      <c r="J75" s="35">
        <v>0</v>
      </c>
      <c r="K75" s="35">
        <v>0</v>
      </c>
      <c r="L75" s="35">
        <v>0</v>
      </c>
      <c r="M75" s="35">
        <v>0</v>
      </c>
      <c r="N75" s="35">
        <v>0</v>
      </c>
      <c r="O75" s="35">
        <v>0</v>
      </c>
      <c r="P75" s="35">
        <v>0</v>
      </c>
      <c r="Q75" s="35">
        <v>0</v>
      </c>
      <c r="R75" s="35">
        <v>0</v>
      </c>
      <c r="S75" s="35">
        <v>0</v>
      </c>
      <c r="T75" s="40">
        <f t="shared" si="14"/>
        <v>0</v>
      </c>
      <c r="V75" s="35">
        <v>0</v>
      </c>
      <c r="W75" s="35">
        <v>0</v>
      </c>
      <c r="X75" s="40">
        <f t="shared" si="11"/>
        <v>0</v>
      </c>
      <c r="Z75" s="35">
        <v>0</v>
      </c>
      <c r="AA75" s="35">
        <v>0</v>
      </c>
      <c r="AB75" s="35">
        <v>0</v>
      </c>
      <c r="AC75" s="35">
        <v>0</v>
      </c>
      <c r="AD75" s="35">
        <v>0</v>
      </c>
      <c r="AE75" s="35">
        <v>0</v>
      </c>
      <c r="AF75" s="35">
        <v>0</v>
      </c>
      <c r="AG75" s="35">
        <v>0</v>
      </c>
      <c r="AH75" s="35">
        <v>0</v>
      </c>
      <c r="AI75" s="35">
        <v>0</v>
      </c>
      <c r="AJ75" s="35">
        <v>0</v>
      </c>
      <c r="AK75" s="35">
        <v>0</v>
      </c>
      <c r="AL75" s="35">
        <v>0</v>
      </c>
      <c r="AM75" s="35">
        <v>0</v>
      </c>
      <c r="AN75" s="40">
        <f t="shared" si="12"/>
        <v>0</v>
      </c>
      <c r="AP75" s="35">
        <v>0</v>
      </c>
      <c r="AQ75" s="35">
        <v>0</v>
      </c>
      <c r="AR75" s="35">
        <v>0</v>
      </c>
      <c r="AS75" s="35">
        <v>0</v>
      </c>
      <c r="AT75" s="35">
        <v>0</v>
      </c>
      <c r="AU75" s="35">
        <v>0</v>
      </c>
      <c r="AV75" s="40">
        <f t="shared" si="13"/>
        <v>0</v>
      </c>
      <c r="AX75" s="40">
        <f t="shared" si="15"/>
        <v>0</v>
      </c>
    </row>
    <row r="76" spans="1:50" x14ac:dyDescent="0.2">
      <c r="A76" s="29">
        <v>4</v>
      </c>
      <c r="B76" s="29">
        <v>202304</v>
      </c>
      <c r="C76" s="29">
        <v>23</v>
      </c>
      <c r="D76" s="35">
        <v>4099</v>
      </c>
      <c r="E76" s="35">
        <v>934947</v>
      </c>
      <c r="F76" s="35">
        <v>75212</v>
      </c>
      <c r="G76" s="35">
        <v>1097172</v>
      </c>
      <c r="H76" s="35">
        <v>17270</v>
      </c>
      <c r="I76" s="35">
        <v>1094569</v>
      </c>
      <c r="J76" s="35">
        <v>468984</v>
      </c>
      <c r="K76" s="35">
        <v>1869666</v>
      </c>
      <c r="L76" s="35">
        <v>2502861</v>
      </c>
      <c r="M76" s="35">
        <v>16154610</v>
      </c>
      <c r="N76" s="35">
        <v>257835</v>
      </c>
      <c r="O76" s="35">
        <v>43186</v>
      </c>
      <c r="P76" s="35">
        <v>102853</v>
      </c>
      <c r="Q76" s="35">
        <v>3382251</v>
      </c>
      <c r="R76" s="35">
        <v>309162</v>
      </c>
      <c r="S76" s="35">
        <v>5122356</v>
      </c>
      <c r="T76" s="40">
        <f t="shared" si="14"/>
        <v>33437033</v>
      </c>
      <c r="V76" s="35">
        <v>665005</v>
      </c>
      <c r="W76" s="35">
        <v>10750</v>
      </c>
      <c r="X76" s="40">
        <f t="shared" si="11"/>
        <v>675755</v>
      </c>
      <c r="Z76" s="35">
        <v>2079</v>
      </c>
      <c r="AA76" s="35">
        <v>8142</v>
      </c>
      <c r="AB76" s="35">
        <v>73650</v>
      </c>
      <c r="AC76" s="35">
        <v>30748</v>
      </c>
      <c r="AD76" s="35">
        <v>9028</v>
      </c>
      <c r="AE76" s="35">
        <v>67365</v>
      </c>
      <c r="AF76" s="35">
        <v>411998</v>
      </c>
      <c r="AG76" s="35">
        <v>89713</v>
      </c>
      <c r="AH76" s="35">
        <v>20931</v>
      </c>
      <c r="AI76" s="35">
        <v>11771</v>
      </c>
      <c r="AJ76" s="35">
        <v>37840</v>
      </c>
      <c r="AK76" s="35">
        <v>3624</v>
      </c>
      <c r="AL76" s="35">
        <v>102672</v>
      </c>
      <c r="AM76" s="35">
        <v>0</v>
      </c>
      <c r="AN76" s="40">
        <f t="shared" si="12"/>
        <v>869561</v>
      </c>
      <c r="AP76" s="35">
        <v>152933</v>
      </c>
      <c r="AQ76" s="35">
        <v>33192</v>
      </c>
      <c r="AR76" s="35">
        <v>552775</v>
      </c>
      <c r="AS76" s="35">
        <v>15946</v>
      </c>
      <c r="AT76" s="35">
        <v>2124502</v>
      </c>
      <c r="AU76" s="35">
        <v>2681</v>
      </c>
      <c r="AV76" s="40">
        <f t="shared" si="13"/>
        <v>2882029</v>
      </c>
      <c r="AX76" s="40">
        <f t="shared" si="15"/>
        <v>37864378</v>
      </c>
    </row>
    <row r="77" spans="1:50" x14ac:dyDescent="0.2">
      <c r="A77" s="29">
        <v>4</v>
      </c>
      <c r="B77" s="29">
        <v>202304</v>
      </c>
      <c r="C77" s="29">
        <v>31</v>
      </c>
      <c r="D77" s="35">
        <v>0</v>
      </c>
      <c r="E77" s="35">
        <v>0</v>
      </c>
      <c r="F77" s="35">
        <v>0</v>
      </c>
      <c r="G77" s="35">
        <v>0</v>
      </c>
      <c r="H77" s="35">
        <v>0</v>
      </c>
      <c r="I77" s="35">
        <v>0</v>
      </c>
      <c r="J77" s="35">
        <v>0</v>
      </c>
      <c r="K77" s="35">
        <v>0</v>
      </c>
      <c r="L77" s="35">
        <v>0</v>
      </c>
      <c r="M77" s="35">
        <v>12530164</v>
      </c>
      <c r="N77" s="35">
        <v>0</v>
      </c>
      <c r="O77" s="35">
        <v>0</v>
      </c>
      <c r="P77" s="35">
        <v>0</v>
      </c>
      <c r="Q77" s="35">
        <v>0</v>
      </c>
      <c r="R77" s="35">
        <v>0</v>
      </c>
      <c r="S77" s="35">
        <v>0</v>
      </c>
      <c r="T77" s="40">
        <f t="shared" si="14"/>
        <v>12530164</v>
      </c>
      <c r="V77" s="35">
        <v>0</v>
      </c>
      <c r="W77" s="35">
        <v>0</v>
      </c>
      <c r="X77" s="40">
        <f t="shared" si="11"/>
        <v>0</v>
      </c>
      <c r="Z77" s="35">
        <v>1872000</v>
      </c>
      <c r="AA77" s="35">
        <v>0</v>
      </c>
      <c r="AB77" s="35">
        <v>0</v>
      </c>
      <c r="AC77" s="35">
        <v>0</v>
      </c>
      <c r="AD77" s="35">
        <v>0</v>
      </c>
      <c r="AE77" s="35">
        <v>0</v>
      </c>
      <c r="AF77" s="35">
        <v>0</v>
      </c>
      <c r="AG77" s="35">
        <v>0</v>
      </c>
      <c r="AH77" s="35">
        <v>0</v>
      </c>
      <c r="AI77" s="35">
        <v>0</v>
      </c>
      <c r="AJ77" s="35">
        <v>0</v>
      </c>
      <c r="AK77" s="35">
        <v>0</v>
      </c>
      <c r="AL77" s="35">
        <v>0</v>
      </c>
      <c r="AM77" s="35">
        <v>0</v>
      </c>
      <c r="AN77" s="40">
        <f t="shared" si="12"/>
        <v>1872000</v>
      </c>
      <c r="AP77" s="35">
        <v>0</v>
      </c>
      <c r="AQ77" s="35">
        <v>0</v>
      </c>
      <c r="AR77" s="35">
        <v>0</v>
      </c>
      <c r="AS77" s="35">
        <v>0</v>
      </c>
      <c r="AT77" s="35">
        <v>0</v>
      </c>
      <c r="AU77" s="35">
        <v>0</v>
      </c>
      <c r="AV77" s="40">
        <f t="shared" si="13"/>
        <v>0</v>
      </c>
      <c r="AX77" s="40">
        <f t="shared" si="15"/>
        <v>14402164</v>
      </c>
    </row>
    <row r="78" spans="1:50" x14ac:dyDescent="0.2">
      <c r="A78" s="29">
        <v>4</v>
      </c>
      <c r="B78" s="29">
        <v>202304</v>
      </c>
      <c r="C78" s="29">
        <v>32</v>
      </c>
      <c r="D78" s="35">
        <v>0</v>
      </c>
      <c r="E78" s="35">
        <v>0</v>
      </c>
      <c r="F78" s="35">
        <v>0</v>
      </c>
      <c r="G78" s="35">
        <v>0</v>
      </c>
      <c r="H78" s="35">
        <v>0</v>
      </c>
      <c r="I78" s="35">
        <v>0</v>
      </c>
      <c r="J78" s="35">
        <v>0</v>
      </c>
      <c r="K78" s="35">
        <v>0</v>
      </c>
      <c r="L78" s="35">
        <v>0</v>
      </c>
      <c r="M78" s="35">
        <v>15004626</v>
      </c>
      <c r="N78" s="35">
        <v>0</v>
      </c>
      <c r="O78" s="35">
        <v>0</v>
      </c>
      <c r="P78" s="35">
        <v>0</v>
      </c>
      <c r="Q78" s="35">
        <v>0</v>
      </c>
      <c r="R78" s="35">
        <v>0</v>
      </c>
      <c r="S78" s="35">
        <v>0</v>
      </c>
      <c r="T78" s="40">
        <f t="shared" si="14"/>
        <v>15004626</v>
      </c>
      <c r="V78" s="35">
        <v>0</v>
      </c>
      <c r="W78" s="35">
        <v>0</v>
      </c>
      <c r="X78" s="40">
        <f t="shared" si="11"/>
        <v>0</v>
      </c>
      <c r="Z78" s="35">
        <v>0</v>
      </c>
      <c r="AA78" s="35">
        <v>0</v>
      </c>
      <c r="AB78" s="35">
        <v>0</v>
      </c>
      <c r="AC78" s="35">
        <v>0</v>
      </c>
      <c r="AD78" s="35">
        <v>0</v>
      </c>
      <c r="AE78" s="35">
        <v>0</v>
      </c>
      <c r="AF78" s="35">
        <v>0</v>
      </c>
      <c r="AG78" s="35">
        <v>0</v>
      </c>
      <c r="AH78" s="35">
        <v>0</v>
      </c>
      <c r="AI78" s="35">
        <v>0</v>
      </c>
      <c r="AJ78" s="35">
        <v>0</v>
      </c>
      <c r="AK78" s="35">
        <v>0</v>
      </c>
      <c r="AL78" s="35">
        <v>0</v>
      </c>
      <c r="AM78" s="35">
        <v>0</v>
      </c>
      <c r="AN78" s="40">
        <f t="shared" si="12"/>
        <v>0</v>
      </c>
      <c r="AP78" s="35">
        <v>0</v>
      </c>
      <c r="AQ78" s="35">
        <v>0</v>
      </c>
      <c r="AR78" s="35">
        <v>0</v>
      </c>
      <c r="AS78" s="35">
        <v>0</v>
      </c>
      <c r="AT78" s="35">
        <v>0</v>
      </c>
      <c r="AU78" s="35">
        <v>0</v>
      </c>
      <c r="AV78" s="40">
        <f t="shared" si="13"/>
        <v>0</v>
      </c>
      <c r="AX78" s="40">
        <f t="shared" si="15"/>
        <v>15004626</v>
      </c>
    </row>
    <row r="79" spans="1:50" x14ac:dyDescent="0.2">
      <c r="A79" s="29">
        <v>5</v>
      </c>
      <c r="B79" s="29">
        <v>202305</v>
      </c>
      <c r="C79" s="29">
        <v>1</v>
      </c>
      <c r="D79" s="35">
        <v>114555</v>
      </c>
      <c r="E79" s="35">
        <v>1170959</v>
      </c>
      <c r="F79" s="35">
        <v>312990</v>
      </c>
      <c r="G79" s="35">
        <v>7550626</v>
      </c>
      <c r="H79" s="35">
        <v>393463</v>
      </c>
      <c r="I79" s="35">
        <v>7865314</v>
      </c>
      <c r="J79" s="35">
        <v>5021220</v>
      </c>
      <c r="K79" s="35">
        <v>6021248</v>
      </c>
      <c r="L79" s="35">
        <v>11047814</v>
      </c>
      <c r="M79" s="35">
        <v>33706412</v>
      </c>
      <c r="N79" s="35">
        <v>463709</v>
      </c>
      <c r="O79" s="35">
        <v>461725</v>
      </c>
      <c r="P79" s="35">
        <v>433612</v>
      </c>
      <c r="Q79" s="35">
        <v>9502608</v>
      </c>
      <c r="R79" s="35">
        <v>244618</v>
      </c>
      <c r="S79" s="35">
        <v>13535120</v>
      </c>
      <c r="T79" s="40">
        <f t="shared" si="14"/>
        <v>97845993</v>
      </c>
      <c r="V79" s="35">
        <v>1409778</v>
      </c>
      <c r="W79" s="35">
        <v>16264</v>
      </c>
      <c r="X79" s="40">
        <f>SUM(V79:W79)</f>
        <v>1426042</v>
      </c>
      <c r="Z79" s="35">
        <v>11273</v>
      </c>
      <c r="AA79" s="35">
        <v>6494</v>
      </c>
      <c r="AB79" s="35">
        <v>642980</v>
      </c>
      <c r="AC79" s="35">
        <v>214307</v>
      </c>
      <c r="AD79" s="35">
        <v>61491</v>
      </c>
      <c r="AE79" s="35">
        <v>335384</v>
      </c>
      <c r="AF79" s="35">
        <v>1181006</v>
      </c>
      <c r="AG79" s="35">
        <v>1363603</v>
      </c>
      <c r="AH79" s="35">
        <v>8713</v>
      </c>
      <c r="AI79" s="35">
        <v>422741</v>
      </c>
      <c r="AJ79" s="35">
        <v>34826</v>
      </c>
      <c r="AK79" s="35">
        <v>670838</v>
      </c>
      <c r="AL79" s="35">
        <v>133286</v>
      </c>
      <c r="AM79" s="35">
        <v>0</v>
      </c>
      <c r="AN79" s="40">
        <f>SUM(Z79:AM79)</f>
        <v>5086942</v>
      </c>
      <c r="AO79" s="35"/>
      <c r="AP79" s="35">
        <v>659705</v>
      </c>
      <c r="AQ79" s="35">
        <v>98500</v>
      </c>
      <c r="AR79" s="35">
        <v>4522128</v>
      </c>
      <c r="AS79" s="35">
        <v>88296</v>
      </c>
      <c r="AT79" s="35">
        <v>6291394</v>
      </c>
      <c r="AU79" s="35">
        <v>33835</v>
      </c>
      <c r="AV79" s="40">
        <f>SUM(AP79:AU79)</f>
        <v>11693858</v>
      </c>
      <c r="AX79" s="40">
        <f t="shared" si="15"/>
        <v>116052835</v>
      </c>
    </row>
    <row r="80" spans="1:50" x14ac:dyDescent="0.2">
      <c r="A80" s="29">
        <v>5</v>
      </c>
      <c r="B80" s="29">
        <v>202305</v>
      </c>
      <c r="C80" s="29">
        <v>2</v>
      </c>
      <c r="D80" s="35">
        <v>109</v>
      </c>
      <c r="E80" s="35">
        <v>0</v>
      </c>
      <c r="F80" s="35">
        <v>0</v>
      </c>
      <c r="G80" s="35">
        <v>22446</v>
      </c>
      <c r="H80" s="35">
        <v>2157</v>
      </c>
      <c r="I80" s="35">
        <v>12925</v>
      </c>
      <c r="J80" s="35">
        <v>2608</v>
      </c>
      <c r="K80" s="35">
        <v>6388</v>
      </c>
      <c r="L80" s="35">
        <v>37484</v>
      </c>
      <c r="M80" s="35">
        <v>76676</v>
      </c>
      <c r="N80" s="35">
        <v>463</v>
      </c>
      <c r="O80" s="35">
        <v>0</v>
      </c>
      <c r="P80" s="35">
        <v>1342</v>
      </c>
      <c r="Q80" s="35">
        <v>20296</v>
      </c>
      <c r="R80" s="35">
        <v>0</v>
      </c>
      <c r="S80" s="35">
        <v>20309</v>
      </c>
      <c r="T80" s="40">
        <f t="shared" si="14"/>
        <v>203203</v>
      </c>
      <c r="V80" s="35">
        <v>208</v>
      </c>
      <c r="W80" s="35">
        <v>0</v>
      </c>
      <c r="X80" s="40">
        <f t="shared" ref="X80:X97" si="16">SUM(V80:W80)</f>
        <v>208</v>
      </c>
      <c r="Z80" s="35">
        <v>0</v>
      </c>
      <c r="AA80" s="35">
        <v>0</v>
      </c>
      <c r="AB80" s="35">
        <v>1286</v>
      </c>
      <c r="AC80" s="35">
        <v>1279</v>
      </c>
      <c r="AD80" s="35">
        <v>829</v>
      </c>
      <c r="AE80" s="35">
        <v>493</v>
      </c>
      <c r="AF80" s="35">
        <v>1413</v>
      </c>
      <c r="AG80" s="35">
        <v>3449</v>
      </c>
      <c r="AH80" s="35">
        <v>0</v>
      </c>
      <c r="AI80" s="35">
        <v>314</v>
      </c>
      <c r="AJ80" s="35">
        <v>0</v>
      </c>
      <c r="AK80" s="35">
        <v>1959</v>
      </c>
      <c r="AL80" s="35">
        <v>0</v>
      </c>
      <c r="AM80" s="35">
        <v>0</v>
      </c>
      <c r="AN80" s="40">
        <f t="shared" ref="AN80:AN97" si="17">SUM(Z80:AM80)</f>
        <v>11022</v>
      </c>
      <c r="AP80" s="35">
        <v>976</v>
      </c>
      <c r="AQ80" s="35">
        <v>0</v>
      </c>
      <c r="AR80" s="35">
        <v>13088</v>
      </c>
      <c r="AS80" s="35">
        <v>0</v>
      </c>
      <c r="AT80" s="35">
        <v>34301</v>
      </c>
      <c r="AU80" s="35">
        <v>0</v>
      </c>
      <c r="AV80" s="40">
        <f t="shared" ref="AV80:AV97" si="18">SUM(AP80:AU80)</f>
        <v>48365</v>
      </c>
      <c r="AX80" s="40">
        <f t="shared" si="15"/>
        <v>262798</v>
      </c>
    </row>
    <row r="81" spans="1:50" x14ac:dyDescent="0.2">
      <c r="A81" s="29">
        <v>5</v>
      </c>
      <c r="B81" s="29">
        <v>202305</v>
      </c>
      <c r="C81" s="29">
        <v>3</v>
      </c>
      <c r="D81" s="35">
        <v>1151</v>
      </c>
      <c r="E81" s="35">
        <v>50031</v>
      </c>
      <c r="F81" s="35">
        <v>0</v>
      </c>
      <c r="G81" s="35">
        <v>59979</v>
      </c>
      <c r="H81" s="35">
        <v>0</v>
      </c>
      <c r="I81" s="35">
        <v>50965</v>
      </c>
      <c r="J81" s="35">
        <v>184393</v>
      </c>
      <c r="K81" s="35">
        <v>244174</v>
      </c>
      <c r="L81" s="35">
        <v>231238</v>
      </c>
      <c r="M81" s="35">
        <v>1077188</v>
      </c>
      <c r="N81" s="35">
        <v>1203</v>
      </c>
      <c r="O81" s="35">
        <v>1428</v>
      </c>
      <c r="P81" s="35">
        <v>2271</v>
      </c>
      <c r="Q81" s="35">
        <v>8222</v>
      </c>
      <c r="R81" s="35">
        <v>1536</v>
      </c>
      <c r="S81" s="35">
        <v>714879</v>
      </c>
      <c r="T81" s="40">
        <f t="shared" si="14"/>
        <v>2628658</v>
      </c>
      <c r="V81" s="35">
        <v>26432</v>
      </c>
      <c r="W81" s="35">
        <v>875</v>
      </c>
      <c r="X81" s="40">
        <f t="shared" si="16"/>
        <v>27307</v>
      </c>
      <c r="Z81" s="35">
        <v>0</v>
      </c>
      <c r="AA81" s="35">
        <v>0</v>
      </c>
      <c r="AB81" s="35">
        <v>16813</v>
      </c>
      <c r="AC81" s="35">
        <v>19726</v>
      </c>
      <c r="AD81" s="35">
        <v>1767</v>
      </c>
      <c r="AE81" s="35">
        <v>7645</v>
      </c>
      <c r="AF81" s="35">
        <v>69225</v>
      </c>
      <c r="AG81" s="35">
        <v>12515</v>
      </c>
      <c r="AH81" s="35">
        <v>0</v>
      </c>
      <c r="AI81" s="35">
        <v>6102</v>
      </c>
      <c r="AJ81" s="35">
        <v>413</v>
      </c>
      <c r="AK81" s="35">
        <v>6790</v>
      </c>
      <c r="AL81" s="35">
        <v>3549</v>
      </c>
      <c r="AM81" s="35">
        <v>0</v>
      </c>
      <c r="AN81" s="40">
        <f t="shared" si="17"/>
        <v>144545</v>
      </c>
      <c r="AP81" s="35">
        <v>2224</v>
      </c>
      <c r="AQ81" s="35">
        <v>528</v>
      </c>
      <c r="AR81" s="35">
        <v>0</v>
      </c>
      <c r="AS81" s="35">
        <v>0</v>
      </c>
      <c r="AT81" s="35">
        <v>3140</v>
      </c>
      <c r="AU81" s="35">
        <v>0</v>
      </c>
      <c r="AV81" s="40">
        <f t="shared" si="18"/>
        <v>5892</v>
      </c>
      <c r="AX81" s="40">
        <f t="shared" si="15"/>
        <v>2806402</v>
      </c>
    </row>
    <row r="82" spans="1:50" x14ac:dyDescent="0.2">
      <c r="A82" s="29">
        <v>5</v>
      </c>
      <c r="B82" s="29">
        <v>202305</v>
      </c>
      <c r="C82" s="29">
        <v>6</v>
      </c>
      <c r="D82" s="35">
        <v>1694</v>
      </c>
      <c r="E82" s="35">
        <v>2330961</v>
      </c>
      <c r="F82" s="35">
        <v>333393</v>
      </c>
      <c r="G82" s="35">
        <v>4595996</v>
      </c>
      <c r="H82" s="35">
        <v>0</v>
      </c>
      <c r="I82" s="35">
        <v>2178510</v>
      </c>
      <c r="J82" s="35">
        <v>1956952</v>
      </c>
      <c r="K82" s="35">
        <v>6192169</v>
      </c>
      <c r="L82" s="35">
        <v>7351096</v>
      </c>
      <c r="M82" s="35">
        <v>108732107</v>
      </c>
      <c r="N82" s="35">
        <v>309075</v>
      </c>
      <c r="O82" s="35">
        <v>21335</v>
      </c>
      <c r="P82" s="35">
        <v>92898</v>
      </c>
      <c r="Q82" s="35">
        <v>7554841</v>
      </c>
      <c r="R82" s="35">
        <v>706843</v>
      </c>
      <c r="S82" s="35">
        <v>22452537</v>
      </c>
      <c r="T82" s="40">
        <f t="shared" si="14"/>
        <v>164810407</v>
      </c>
      <c r="V82" s="35">
        <v>883788</v>
      </c>
      <c r="W82" s="35">
        <v>5763</v>
      </c>
      <c r="X82" s="40">
        <f t="shared" si="16"/>
        <v>889551</v>
      </c>
      <c r="Z82" s="35">
        <v>0</v>
      </c>
      <c r="AA82" s="35">
        <v>45562</v>
      </c>
      <c r="AB82" s="35">
        <v>1064621</v>
      </c>
      <c r="AC82" s="35">
        <v>40760</v>
      </c>
      <c r="AD82" s="35">
        <v>57600</v>
      </c>
      <c r="AE82" s="35">
        <v>411382</v>
      </c>
      <c r="AF82" s="35">
        <v>2271291</v>
      </c>
      <c r="AG82" s="35">
        <v>521793</v>
      </c>
      <c r="AH82" s="35">
        <v>21080</v>
      </c>
      <c r="AI82" s="35">
        <v>72900</v>
      </c>
      <c r="AJ82" s="35">
        <v>76320</v>
      </c>
      <c r="AK82" s="35">
        <v>91098</v>
      </c>
      <c r="AL82" s="35">
        <v>219016</v>
      </c>
      <c r="AM82" s="35">
        <v>0</v>
      </c>
      <c r="AN82" s="40">
        <f t="shared" si="17"/>
        <v>4893423</v>
      </c>
      <c r="AP82" s="35">
        <v>357942</v>
      </c>
      <c r="AQ82" s="35">
        <v>0</v>
      </c>
      <c r="AR82" s="35">
        <v>746601</v>
      </c>
      <c r="AS82" s="35">
        <v>0</v>
      </c>
      <c r="AT82" s="35">
        <v>3312671</v>
      </c>
      <c r="AU82" s="35">
        <v>0</v>
      </c>
      <c r="AV82" s="40">
        <f t="shared" si="18"/>
        <v>4417214</v>
      </c>
      <c r="AX82" s="40">
        <f t="shared" si="15"/>
        <v>175010595</v>
      </c>
    </row>
    <row r="83" spans="1:50" x14ac:dyDescent="0.2">
      <c r="A83" s="29">
        <v>5</v>
      </c>
      <c r="B83" s="29">
        <v>202305</v>
      </c>
      <c r="C83" s="29" t="s">
        <v>230</v>
      </c>
      <c r="D83" s="35">
        <v>0</v>
      </c>
      <c r="E83" s="35">
        <v>28121</v>
      </c>
      <c r="F83" s="35">
        <v>0</v>
      </c>
      <c r="G83" s="35">
        <v>788899</v>
      </c>
      <c r="H83" s="35">
        <v>18431</v>
      </c>
      <c r="I83" s="35">
        <v>69220</v>
      </c>
      <c r="J83" s="35">
        <v>112200</v>
      </c>
      <c r="K83" s="35">
        <v>955041</v>
      </c>
      <c r="L83" s="35">
        <v>237021</v>
      </c>
      <c r="M83" s="35">
        <v>5653338</v>
      </c>
      <c r="N83" s="35">
        <v>2080</v>
      </c>
      <c r="O83" s="35">
        <v>4120</v>
      </c>
      <c r="P83" s="35">
        <v>2280</v>
      </c>
      <c r="Q83" s="35">
        <v>402748</v>
      </c>
      <c r="R83" s="35">
        <v>5840</v>
      </c>
      <c r="S83" s="35">
        <v>1089639</v>
      </c>
      <c r="T83" s="40">
        <f t="shared" si="14"/>
        <v>9368978</v>
      </c>
      <c r="V83" s="35">
        <v>24000</v>
      </c>
      <c r="W83" s="35">
        <v>0</v>
      </c>
      <c r="X83" s="40">
        <f t="shared" si="16"/>
        <v>24000</v>
      </c>
      <c r="Z83" s="35">
        <v>0</v>
      </c>
      <c r="AA83" s="35">
        <v>13716</v>
      </c>
      <c r="AB83" s="35">
        <v>5880</v>
      </c>
      <c r="AC83" s="35">
        <v>0</v>
      </c>
      <c r="AD83" s="35">
        <v>0</v>
      </c>
      <c r="AE83" s="35">
        <v>4055</v>
      </c>
      <c r="AF83" s="35">
        <v>260051</v>
      </c>
      <c r="AG83" s="35">
        <v>5640</v>
      </c>
      <c r="AH83" s="35">
        <v>0</v>
      </c>
      <c r="AI83" s="35">
        <v>520</v>
      </c>
      <c r="AJ83" s="35">
        <v>13840</v>
      </c>
      <c r="AK83" s="35">
        <v>0</v>
      </c>
      <c r="AL83" s="35">
        <v>0</v>
      </c>
      <c r="AM83" s="35">
        <v>0</v>
      </c>
      <c r="AN83" s="40">
        <f t="shared" si="17"/>
        <v>303702</v>
      </c>
      <c r="AP83" s="35">
        <v>0</v>
      </c>
      <c r="AQ83" s="35">
        <v>0</v>
      </c>
      <c r="AR83" s="35">
        <v>176727</v>
      </c>
      <c r="AS83" s="35">
        <v>69840</v>
      </c>
      <c r="AT83" s="35">
        <v>-742480</v>
      </c>
      <c r="AU83" s="35">
        <v>4360</v>
      </c>
      <c r="AV83" s="40">
        <f t="shared" si="18"/>
        <v>-491553</v>
      </c>
      <c r="AX83" s="40">
        <f t="shared" si="15"/>
        <v>9205127</v>
      </c>
    </row>
    <row r="84" spans="1:50" x14ac:dyDescent="0.2">
      <c r="A84" s="29">
        <v>5</v>
      </c>
      <c r="B84" s="29">
        <v>202305</v>
      </c>
      <c r="C84" s="29" t="s">
        <v>231</v>
      </c>
      <c r="D84" s="35">
        <v>0</v>
      </c>
      <c r="E84" s="35">
        <v>0</v>
      </c>
      <c r="F84" s="35">
        <v>0</v>
      </c>
      <c r="G84" s="35">
        <v>0</v>
      </c>
      <c r="H84" s="35">
        <v>0</v>
      </c>
      <c r="I84" s="35">
        <v>0</v>
      </c>
      <c r="J84" s="35">
        <v>0</v>
      </c>
      <c r="K84" s="35">
        <v>0</v>
      </c>
      <c r="L84" s="35">
        <v>0</v>
      </c>
      <c r="M84" s="35">
        <v>0</v>
      </c>
      <c r="N84" s="35">
        <v>0</v>
      </c>
      <c r="O84" s="35">
        <v>0</v>
      </c>
      <c r="P84" s="35">
        <v>0</v>
      </c>
      <c r="Q84" s="35">
        <v>0</v>
      </c>
      <c r="R84" s="35">
        <v>0</v>
      </c>
      <c r="S84" s="35">
        <v>0</v>
      </c>
      <c r="T84" s="40">
        <f t="shared" si="14"/>
        <v>0</v>
      </c>
      <c r="V84" s="35">
        <v>0</v>
      </c>
      <c r="W84" s="35">
        <v>0</v>
      </c>
      <c r="X84" s="40">
        <f t="shared" si="16"/>
        <v>0</v>
      </c>
      <c r="Z84" s="35">
        <v>0</v>
      </c>
      <c r="AA84" s="35">
        <v>0</v>
      </c>
      <c r="AB84" s="35">
        <v>0</v>
      </c>
      <c r="AC84" s="35">
        <v>0</v>
      </c>
      <c r="AD84" s="35">
        <v>0</v>
      </c>
      <c r="AE84" s="35">
        <v>0</v>
      </c>
      <c r="AF84" s="35">
        <v>0</v>
      </c>
      <c r="AG84" s="35">
        <v>0</v>
      </c>
      <c r="AH84" s="35">
        <v>0</v>
      </c>
      <c r="AI84" s="35">
        <v>0</v>
      </c>
      <c r="AJ84" s="35">
        <v>0</v>
      </c>
      <c r="AK84" s="35">
        <v>0</v>
      </c>
      <c r="AL84" s="35">
        <v>0</v>
      </c>
      <c r="AM84" s="35">
        <v>0</v>
      </c>
      <c r="AN84" s="40">
        <f t="shared" si="17"/>
        <v>0</v>
      </c>
      <c r="AP84" s="35">
        <v>0</v>
      </c>
      <c r="AQ84" s="35">
        <v>0</v>
      </c>
      <c r="AR84" s="35">
        <v>0</v>
      </c>
      <c r="AS84" s="35">
        <v>0</v>
      </c>
      <c r="AT84" s="35">
        <v>0</v>
      </c>
      <c r="AU84" s="35">
        <v>0</v>
      </c>
      <c r="AV84" s="40">
        <f t="shared" si="18"/>
        <v>0</v>
      </c>
      <c r="AX84" s="40">
        <f t="shared" si="15"/>
        <v>0</v>
      </c>
    </row>
    <row r="85" spans="1:50" x14ac:dyDescent="0.2">
      <c r="A85" s="29">
        <v>5</v>
      </c>
      <c r="B85" s="29">
        <v>202305</v>
      </c>
      <c r="C85" s="29">
        <v>7</v>
      </c>
      <c r="D85" s="35">
        <v>0</v>
      </c>
      <c r="E85" s="35">
        <v>6758</v>
      </c>
      <c r="F85" s="35">
        <v>0</v>
      </c>
      <c r="G85" s="35">
        <v>4144</v>
      </c>
      <c r="H85" s="35">
        <v>0</v>
      </c>
      <c r="I85" s="35">
        <v>10738</v>
      </c>
      <c r="J85" s="35">
        <v>7885</v>
      </c>
      <c r="K85" s="35">
        <v>17027</v>
      </c>
      <c r="L85" s="35">
        <v>25892</v>
      </c>
      <c r="M85" s="35">
        <v>202097</v>
      </c>
      <c r="N85" s="35">
        <v>1636</v>
      </c>
      <c r="O85" s="35">
        <v>177</v>
      </c>
      <c r="P85" s="35">
        <v>304</v>
      </c>
      <c r="Q85" s="35">
        <v>709</v>
      </c>
      <c r="R85" s="35">
        <v>259</v>
      </c>
      <c r="S85" s="35">
        <v>50981</v>
      </c>
      <c r="T85" s="40">
        <f t="shared" si="14"/>
        <v>328607</v>
      </c>
      <c r="V85" s="35">
        <v>3069</v>
      </c>
      <c r="W85" s="35">
        <v>78</v>
      </c>
      <c r="X85" s="40">
        <f t="shared" si="16"/>
        <v>3147</v>
      </c>
      <c r="Z85" s="35">
        <v>0</v>
      </c>
      <c r="AA85" s="35">
        <v>0</v>
      </c>
      <c r="AB85" s="35">
        <v>285</v>
      </c>
      <c r="AC85" s="35">
        <v>444</v>
      </c>
      <c r="AD85" s="35">
        <v>296</v>
      </c>
      <c r="AE85" s="35">
        <v>69</v>
      </c>
      <c r="AF85" s="35">
        <v>7367</v>
      </c>
      <c r="AG85" s="35">
        <v>785</v>
      </c>
      <c r="AH85" s="35">
        <v>444</v>
      </c>
      <c r="AI85" s="35">
        <v>0</v>
      </c>
      <c r="AJ85" s="35">
        <v>0</v>
      </c>
      <c r="AK85" s="35">
        <v>56</v>
      </c>
      <c r="AL85" s="35">
        <v>646</v>
      </c>
      <c r="AM85" s="35">
        <v>0</v>
      </c>
      <c r="AN85" s="40">
        <f t="shared" si="17"/>
        <v>10392</v>
      </c>
      <c r="AP85" s="35">
        <v>427</v>
      </c>
      <c r="AQ85" s="35">
        <v>208</v>
      </c>
      <c r="AR85" s="35">
        <v>39</v>
      </c>
      <c r="AS85" s="35">
        <v>97</v>
      </c>
      <c r="AT85" s="35">
        <v>305</v>
      </c>
      <c r="AU85" s="35">
        <v>0</v>
      </c>
      <c r="AV85" s="40">
        <f t="shared" si="18"/>
        <v>1076</v>
      </c>
      <c r="AX85" s="40">
        <f t="shared" si="15"/>
        <v>343222</v>
      </c>
    </row>
    <row r="86" spans="1:50" x14ac:dyDescent="0.2">
      <c r="A86" s="29">
        <v>5</v>
      </c>
      <c r="B86" s="29">
        <v>202305</v>
      </c>
      <c r="C86" s="29">
        <v>8</v>
      </c>
      <c r="D86" s="35">
        <v>0</v>
      </c>
      <c r="E86" s="35">
        <v>0</v>
      </c>
      <c r="F86" s="35">
        <v>0</v>
      </c>
      <c r="G86" s="35">
        <v>0</v>
      </c>
      <c r="H86" s="35">
        <v>0</v>
      </c>
      <c r="I86" s="35">
        <v>283800</v>
      </c>
      <c r="J86" s="35">
        <v>161280</v>
      </c>
      <c r="K86" s="35">
        <v>0</v>
      </c>
      <c r="L86" s="35">
        <v>1054800</v>
      </c>
      <c r="M86" s="35">
        <v>41134490</v>
      </c>
      <c r="N86" s="35">
        <v>0</v>
      </c>
      <c r="O86" s="35">
        <v>0</v>
      </c>
      <c r="P86" s="35">
        <v>0</v>
      </c>
      <c r="Q86" s="35">
        <v>16200</v>
      </c>
      <c r="R86" s="35">
        <v>0</v>
      </c>
      <c r="S86" s="35">
        <v>8544100</v>
      </c>
      <c r="T86" s="40">
        <f t="shared" si="14"/>
        <v>51194670</v>
      </c>
      <c r="V86" s="35">
        <v>0</v>
      </c>
      <c r="W86" s="35">
        <v>0</v>
      </c>
      <c r="X86" s="40">
        <f t="shared" si="16"/>
        <v>0</v>
      </c>
      <c r="Z86" s="35">
        <v>684000</v>
      </c>
      <c r="AA86" s="35">
        <v>0</v>
      </c>
      <c r="AB86" s="35">
        <v>943200</v>
      </c>
      <c r="AC86" s="35">
        <v>0</v>
      </c>
      <c r="AD86" s="35">
        <v>0</v>
      </c>
      <c r="AE86" s="35">
        <v>1378800</v>
      </c>
      <c r="AF86" s="35">
        <v>740623</v>
      </c>
      <c r="AG86" s="35">
        <v>0</v>
      </c>
      <c r="AH86" s="35">
        <v>0</v>
      </c>
      <c r="AI86" s="35">
        <v>0</v>
      </c>
      <c r="AJ86" s="35">
        <v>0</v>
      </c>
      <c r="AK86" s="35">
        <v>0</v>
      </c>
      <c r="AL86" s="35">
        <v>0</v>
      </c>
      <c r="AM86" s="35">
        <v>0</v>
      </c>
      <c r="AN86" s="40">
        <f t="shared" si="17"/>
        <v>3746623</v>
      </c>
      <c r="AP86" s="35">
        <v>0</v>
      </c>
      <c r="AQ86" s="35">
        <v>0</v>
      </c>
      <c r="AR86" s="35">
        <v>0</v>
      </c>
      <c r="AS86" s="35">
        <v>0</v>
      </c>
      <c r="AT86" s="35">
        <v>544400</v>
      </c>
      <c r="AU86" s="35">
        <v>0</v>
      </c>
      <c r="AV86" s="40">
        <f t="shared" si="18"/>
        <v>544400</v>
      </c>
      <c r="AX86" s="40">
        <f t="shared" si="15"/>
        <v>55485693</v>
      </c>
    </row>
    <row r="87" spans="1:50" x14ac:dyDescent="0.2">
      <c r="A87" s="29">
        <v>5</v>
      </c>
      <c r="B87" s="29">
        <v>202305</v>
      </c>
      <c r="C87" s="29">
        <v>9</v>
      </c>
      <c r="D87" s="35">
        <v>0</v>
      </c>
      <c r="E87" s="35">
        <v>0</v>
      </c>
      <c r="F87" s="35">
        <v>0</v>
      </c>
      <c r="G87" s="35">
        <v>460800</v>
      </c>
      <c r="H87" s="35">
        <v>0</v>
      </c>
      <c r="I87" s="35">
        <v>0</v>
      </c>
      <c r="J87" s="35">
        <v>0</v>
      </c>
      <c r="K87" s="35">
        <v>0</v>
      </c>
      <c r="L87" s="35">
        <v>0</v>
      </c>
      <c r="M87" s="35">
        <v>14943247</v>
      </c>
      <c r="N87" s="35">
        <v>0</v>
      </c>
      <c r="O87" s="35">
        <v>0</v>
      </c>
      <c r="P87" s="35">
        <v>0</v>
      </c>
      <c r="Q87" s="35">
        <v>0</v>
      </c>
      <c r="R87" s="35">
        <v>0</v>
      </c>
      <c r="S87" s="35">
        <v>22348000</v>
      </c>
      <c r="T87" s="40">
        <f t="shared" si="14"/>
        <v>37752047</v>
      </c>
      <c r="V87" s="35">
        <v>2522908</v>
      </c>
      <c r="W87" s="35">
        <v>0</v>
      </c>
      <c r="X87" s="40">
        <f t="shared" si="16"/>
        <v>2522908</v>
      </c>
      <c r="Z87" s="35">
        <v>0</v>
      </c>
      <c r="AA87" s="35">
        <v>0</v>
      </c>
      <c r="AB87" s="35">
        <v>0</v>
      </c>
      <c r="AC87" s="35">
        <v>0</v>
      </c>
      <c r="AD87" s="35">
        <v>0</v>
      </c>
      <c r="AE87" s="35">
        <v>0</v>
      </c>
      <c r="AF87" s="35">
        <v>1484000</v>
      </c>
      <c r="AG87" s="35">
        <v>0</v>
      </c>
      <c r="AH87" s="35">
        <v>0</v>
      </c>
      <c r="AI87" s="35">
        <v>0</v>
      </c>
      <c r="AJ87" s="35">
        <v>0</v>
      </c>
      <c r="AK87" s="35">
        <v>50160</v>
      </c>
      <c r="AL87" s="35">
        <v>0</v>
      </c>
      <c r="AM87" s="35">
        <v>0</v>
      </c>
      <c r="AN87" s="40">
        <f t="shared" si="17"/>
        <v>1534160</v>
      </c>
      <c r="AP87" s="35">
        <v>0</v>
      </c>
      <c r="AQ87" s="35">
        <v>0</v>
      </c>
      <c r="AR87" s="35">
        <v>0</v>
      </c>
      <c r="AS87" s="35">
        <v>0</v>
      </c>
      <c r="AT87" s="35">
        <v>0</v>
      </c>
      <c r="AU87" s="35">
        <v>0</v>
      </c>
      <c r="AV87" s="40">
        <f t="shared" si="18"/>
        <v>0</v>
      </c>
      <c r="AX87" s="40">
        <f t="shared" si="15"/>
        <v>41809115</v>
      </c>
    </row>
    <row r="88" spans="1:50" x14ac:dyDescent="0.2">
      <c r="A88" s="29">
        <v>5</v>
      </c>
      <c r="B88" s="29">
        <v>202305</v>
      </c>
      <c r="C88" s="29" t="s">
        <v>234</v>
      </c>
      <c r="D88" s="35">
        <v>0</v>
      </c>
      <c r="E88" s="35">
        <v>0</v>
      </c>
      <c r="F88" s="35">
        <v>0</v>
      </c>
      <c r="G88" s="35">
        <v>0</v>
      </c>
      <c r="H88" s="35">
        <v>0</v>
      </c>
      <c r="I88" s="35">
        <v>0</v>
      </c>
      <c r="J88" s="35">
        <v>0</v>
      </c>
      <c r="K88" s="35">
        <v>0</v>
      </c>
      <c r="L88" s="35">
        <v>0</v>
      </c>
      <c r="M88" s="35">
        <v>374400</v>
      </c>
      <c r="N88" s="35">
        <v>0</v>
      </c>
      <c r="O88" s="35">
        <v>0</v>
      </c>
      <c r="P88" s="35">
        <v>0</v>
      </c>
      <c r="Q88" s="35">
        <v>0</v>
      </c>
      <c r="R88" s="35">
        <v>0</v>
      </c>
      <c r="S88" s="35">
        <v>0</v>
      </c>
      <c r="T88" s="40">
        <f t="shared" si="14"/>
        <v>374400</v>
      </c>
      <c r="V88" s="35">
        <v>0</v>
      </c>
      <c r="W88" s="35">
        <v>0</v>
      </c>
      <c r="X88" s="40">
        <f t="shared" si="16"/>
        <v>0</v>
      </c>
      <c r="Z88" s="35">
        <v>0</v>
      </c>
      <c r="AA88" s="35">
        <v>0</v>
      </c>
      <c r="AB88" s="35">
        <v>0</v>
      </c>
      <c r="AC88" s="35">
        <v>0</v>
      </c>
      <c r="AD88" s="35">
        <v>0</v>
      </c>
      <c r="AE88" s="35">
        <v>0</v>
      </c>
      <c r="AF88" s="35">
        <v>0</v>
      </c>
      <c r="AG88" s="35">
        <v>0</v>
      </c>
      <c r="AH88" s="35">
        <v>0</v>
      </c>
      <c r="AI88" s="35">
        <v>0</v>
      </c>
      <c r="AJ88" s="35">
        <v>0</v>
      </c>
      <c r="AK88" s="35">
        <v>0</v>
      </c>
      <c r="AL88" s="35">
        <v>0</v>
      </c>
      <c r="AM88" s="35">
        <v>0</v>
      </c>
      <c r="AN88" s="40">
        <f t="shared" si="17"/>
        <v>0</v>
      </c>
      <c r="AP88" s="35">
        <v>0</v>
      </c>
      <c r="AQ88" s="35">
        <v>0</v>
      </c>
      <c r="AR88" s="35">
        <v>0</v>
      </c>
      <c r="AS88" s="35">
        <v>0</v>
      </c>
      <c r="AT88" s="35">
        <v>0</v>
      </c>
      <c r="AU88" s="35">
        <v>0</v>
      </c>
      <c r="AV88" s="40">
        <f t="shared" si="18"/>
        <v>0</v>
      </c>
      <c r="AX88" s="40">
        <f t="shared" si="15"/>
        <v>374400</v>
      </c>
    </row>
    <row r="89" spans="1:50" x14ac:dyDescent="0.2">
      <c r="A89" s="29">
        <v>5</v>
      </c>
      <c r="B89" s="29">
        <v>202305</v>
      </c>
      <c r="C89" s="29" t="s">
        <v>235</v>
      </c>
      <c r="D89" s="35">
        <v>0</v>
      </c>
      <c r="E89" s="35">
        <v>0</v>
      </c>
      <c r="F89" s="35">
        <v>0</v>
      </c>
      <c r="G89" s="35">
        <v>0</v>
      </c>
      <c r="H89" s="35">
        <v>0</v>
      </c>
      <c r="I89" s="35">
        <v>0</v>
      </c>
      <c r="J89" s="35">
        <v>0</v>
      </c>
      <c r="K89" s="35">
        <v>0</v>
      </c>
      <c r="L89" s="35">
        <v>0</v>
      </c>
      <c r="M89" s="35">
        <v>145787</v>
      </c>
      <c r="N89" s="35">
        <v>0</v>
      </c>
      <c r="O89" s="35">
        <v>0</v>
      </c>
      <c r="P89" s="35">
        <v>0</v>
      </c>
      <c r="Q89" s="35">
        <v>0</v>
      </c>
      <c r="R89" s="35">
        <v>0</v>
      </c>
      <c r="S89" s="35">
        <v>0</v>
      </c>
      <c r="T89" s="40">
        <f t="shared" si="14"/>
        <v>145787</v>
      </c>
      <c r="V89" s="35">
        <v>0</v>
      </c>
      <c r="W89" s="35">
        <v>0</v>
      </c>
      <c r="X89" s="40">
        <f t="shared" si="16"/>
        <v>0</v>
      </c>
      <c r="Z89" s="35">
        <v>0</v>
      </c>
      <c r="AA89" s="35">
        <v>0</v>
      </c>
      <c r="AB89" s="35">
        <v>23242400</v>
      </c>
      <c r="AC89" s="35">
        <v>0</v>
      </c>
      <c r="AD89" s="35">
        <v>0</v>
      </c>
      <c r="AE89" s="35">
        <v>0</v>
      </c>
      <c r="AF89" s="35">
        <v>0</v>
      </c>
      <c r="AG89" s="35">
        <v>0</v>
      </c>
      <c r="AH89" s="35">
        <v>0</v>
      </c>
      <c r="AI89" s="35">
        <v>0</v>
      </c>
      <c r="AJ89" s="35">
        <v>0</v>
      </c>
      <c r="AK89" s="35">
        <v>0</v>
      </c>
      <c r="AL89" s="35">
        <v>0</v>
      </c>
      <c r="AM89" s="35">
        <v>0</v>
      </c>
      <c r="AN89" s="40">
        <f t="shared" si="17"/>
        <v>23242400</v>
      </c>
      <c r="AP89" s="35">
        <v>0</v>
      </c>
      <c r="AQ89" s="35">
        <v>0</v>
      </c>
      <c r="AR89" s="35">
        <v>0</v>
      </c>
      <c r="AS89" s="35">
        <v>0</v>
      </c>
      <c r="AT89" s="35">
        <v>0</v>
      </c>
      <c r="AU89" s="35">
        <v>0</v>
      </c>
      <c r="AV89" s="40">
        <f t="shared" si="18"/>
        <v>0</v>
      </c>
      <c r="AX89" s="40">
        <f t="shared" si="15"/>
        <v>23388187</v>
      </c>
    </row>
    <row r="90" spans="1:50" x14ac:dyDescent="0.2">
      <c r="A90" s="29">
        <v>5</v>
      </c>
      <c r="B90" s="29">
        <v>202305</v>
      </c>
      <c r="C90" s="29">
        <v>10</v>
      </c>
      <c r="D90" s="35">
        <v>108</v>
      </c>
      <c r="E90" s="35">
        <v>824</v>
      </c>
      <c r="F90" s="35">
        <v>0</v>
      </c>
      <c r="G90" s="35">
        <v>10450</v>
      </c>
      <c r="H90" s="35">
        <v>0</v>
      </c>
      <c r="I90" s="35">
        <v>53100</v>
      </c>
      <c r="J90" s="35">
        <v>251</v>
      </c>
      <c r="K90" s="35">
        <v>0</v>
      </c>
      <c r="L90" s="35">
        <v>1738</v>
      </c>
      <c r="M90" s="35">
        <v>20316</v>
      </c>
      <c r="N90" s="35">
        <v>250</v>
      </c>
      <c r="O90" s="35">
        <v>0</v>
      </c>
      <c r="P90" s="35">
        <v>8898</v>
      </c>
      <c r="Q90" s="35">
        <v>40429</v>
      </c>
      <c r="R90" s="35">
        <v>25272</v>
      </c>
      <c r="S90" s="35">
        <v>23289</v>
      </c>
      <c r="T90" s="40">
        <f t="shared" si="14"/>
        <v>184925</v>
      </c>
      <c r="V90" s="35">
        <v>40945</v>
      </c>
      <c r="W90" s="35">
        <v>93087</v>
      </c>
      <c r="X90" s="40">
        <f t="shared" si="16"/>
        <v>134032</v>
      </c>
      <c r="Z90" s="35">
        <v>0</v>
      </c>
      <c r="AA90" s="35">
        <v>0</v>
      </c>
      <c r="AB90" s="35">
        <v>0</v>
      </c>
      <c r="AC90" s="35">
        <v>0</v>
      </c>
      <c r="AD90" s="35">
        <v>0</v>
      </c>
      <c r="AE90" s="35">
        <v>0</v>
      </c>
      <c r="AF90" s="35">
        <v>4361</v>
      </c>
      <c r="AG90" s="35">
        <v>1536</v>
      </c>
      <c r="AH90" s="35">
        <v>0</v>
      </c>
      <c r="AI90" s="35">
        <v>0</v>
      </c>
      <c r="AJ90" s="35">
        <v>0</v>
      </c>
      <c r="AK90" s="35">
        <v>961</v>
      </c>
      <c r="AL90" s="35">
        <v>0</v>
      </c>
      <c r="AM90" s="35">
        <v>0</v>
      </c>
      <c r="AN90" s="40">
        <f t="shared" si="17"/>
        <v>6858</v>
      </c>
      <c r="AP90" s="35">
        <v>9464</v>
      </c>
      <c r="AQ90" s="35">
        <v>15</v>
      </c>
      <c r="AR90" s="35">
        <v>0</v>
      </c>
      <c r="AS90" s="35">
        <v>113</v>
      </c>
      <c r="AT90" s="35">
        <v>0</v>
      </c>
      <c r="AU90" s="35">
        <v>2800</v>
      </c>
      <c r="AV90" s="40">
        <f t="shared" si="18"/>
        <v>12392</v>
      </c>
      <c r="AX90" s="40">
        <f t="shared" si="15"/>
        <v>338207</v>
      </c>
    </row>
    <row r="91" spans="1:50" x14ac:dyDescent="0.2">
      <c r="A91" s="29">
        <v>5</v>
      </c>
      <c r="B91" s="29">
        <v>202305</v>
      </c>
      <c r="C91" s="29">
        <v>11</v>
      </c>
      <c r="D91" s="35">
        <v>0</v>
      </c>
      <c r="E91" s="35">
        <v>0</v>
      </c>
      <c r="F91" s="35">
        <v>44</v>
      </c>
      <c r="G91" s="35">
        <v>28194</v>
      </c>
      <c r="H91" s="35">
        <v>0</v>
      </c>
      <c r="I91" s="35">
        <v>0</v>
      </c>
      <c r="J91" s="35">
        <v>0</v>
      </c>
      <c r="K91" s="35">
        <v>0</v>
      </c>
      <c r="L91" s="35">
        <v>0</v>
      </c>
      <c r="M91" s="35">
        <v>4515</v>
      </c>
      <c r="N91" s="35">
        <v>2673</v>
      </c>
      <c r="O91" s="35">
        <v>499</v>
      </c>
      <c r="P91" s="35">
        <v>1509</v>
      </c>
      <c r="Q91" s="35">
        <v>1274</v>
      </c>
      <c r="R91" s="35">
        <v>117</v>
      </c>
      <c r="S91" s="35">
        <v>117283</v>
      </c>
      <c r="T91" s="40">
        <f t="shared" si="14"/>
        <v>156108</v>
      </c>
      <c r="V91" s="35">
        <v>24352</v>
      </c>
      <c r="W91" s="35">
        <v>0</v>
      </c>
      <c r="X91" s="40">
        <f t="shared" si="16"/>
        <v>24352</v>
      </c>
      <c r="Z91" s="35">
        <v>0</v>
      </c>
      <c r="AA91" s="35">
        <v>0</v>
      </c>
      <c r="AB91" s="35">
        <v>0</v>
      </c>
      <c r="AC91" s="35">
        <v>0</v>
      </c>
      <c r="AD91" s="35">
        <v>0</v>
      </c>
      <c r="AE91" s="35">
        <v>0</v>
      </c>
      <c r="AF91" s="35">
        <v>5549</v>
      </c>
      <c r="AG91" s="35">
        <v>0</v>
      </c>
      <c r="AH91" s="35">
        <v>1184</v>
      </c>
      <c r="AI91" s="35">
        <v>0</v>
      </c>
      <c r="AJ91" s="35">
        <v>0</v>
      </c>
      <c r="AK91" s="35">
        <v>0</v>
      </c>
      <c r="AL91" s="35">
        <v>0</v>
      </c>
      <c r="AM91" s="35">
        <v>0</v>
      </c>
      <c r="AN91" s="40">
        <f t="shared" si="17"/>
        <v>6733</v>
      </c>
      <c r="AP91" s="35">
        <v>0</v>
      </c>
      <c r="AQ91" s="35">
        <v>0</v>
      </c>
      <c r="AR91" s="35">
        <v>0</v>
      </c>
      <c r="AS91" s="35">
        <v>0</v>
      </c>
      <c r="AT91" s="35">
        <v>0</v>
      </c>
      <c r="AU91" s="35">
        <v>0</v>
      </c>
      <c r="AV91" s="40">
        <f t="shared" si="18"/>
        <v>0</v>
      </c>
      <c r="AX91" s="40">
        <f t="shared" si="15"/>
        <v>187193</v>
      </c>
    </row>
    <row r="92" spans="1:50" x14ac:dyDescent="0.2">
      <c r="A92" s="29">
        <v>5</v>
      </c>
      <c r="B92" s="29">
        <v>202305</v>
      </c>
      <c r="C92" s="29">
        <v>12</v>
      </c>
      <c r="D92" s="35">
        <v>0</v>
      </c>
      <c r="E92" s="35">
        <v>0</v>
      </c>
      <c r="F92" s="35">
        <v>0</v>
      </c>
      <c r="G92" s="35">
        <v>14471</v>
      </c>
      <c r="H92" s="35">
        <v>0</v>
      </c>
      <c r="I92" s="35">
        <v>104</v>
      </c>
      <c r="J92" s="35">
        <v>0</v>
      </c>
      <c r="K92" s="35">
        <v>46668</v>
      </c>
      <c r="L92" s="35">
        <v>156</v>
      </c>
      <c r="M92" s="35">
        <v>978824</v>
      </c>
      <c r="N92" s="35">
        <v>1291</v>
      </c>
      <c r="O92" s="35">
        <v>0</v>
      </c>
      <c r="P92" s="35">
        <v>0</v>
      </c>
      <c r="Q92" s="35">
        <v>10278</v>
      </c>
      <c r="R92" s="35">
        <v>0</v>
      </c>
      <c r="S92" s="35">
        <v>58321</v>
      </c>
      <c r="T92" s="40">
        <f t="shared" si="14"/>
        <v>1110113</v>
      </c>
      <c r="V92" s="35">
        <v>3217</v>
      </c>
      <c r="W92" s="35">
        <v>0</v>
      </c>
      <c r="X92" s="40">
        <f t="shared" si="16"/>
        <v>3217</v>
      </c>
      <c r="Z92" s="35">
        <v>0</v>
      </c>
      <c r="AA92" s="35">
        <v>0</v>
      </c>
      <c r="AB92" s="35">
        <v>0</v>
      </c>
      <c r="AC92" s="35">
        <v>0</v>
      </c>
      <c r="AD92" s="35">
        <v>0</v>
      </c>
      <c r="AE92" s="35">
        <v>0</v>
      </c>
      <c r="AF92" s="35">
        <v>54982</v>
      </c>
      <c r="AG92" s="35">
        <v>0</v>
      </c>
      <c r="AH92" s="35">
        <v>0</v>
      </c>
      <c r="AI92" s="35">
        <v>308</v>
      </c>
      <c r="AJ92" s="35">
        <v>0</v>
      </c>
      <c r="AK92" s="35">
        <v>0</v>
      </c>
      <c r="AL92" s="35">
        <v>35177</v>
      </c>
      <c r="AM92" s="35">
        <v>0</v>
      </c>
      <c r="AN92" s="40">
        <f t="shared" si="17"/>
        <v>90467</v>
      </c>
      <c r="AP92" s="35">
        <v>0</v>
      </c>
      <c r="AQ92" s="35">
        <v>0</v>
      </c>
      <c r="AR92" s="35">
        <v>543</v>
      </c>
      <c r="AS92" s="35">
        <v>0</v>
      </c>
      <c r="AT92" s="35">
        <v>276</v>
      </c>
      <c r="AU92" s="35">
        <v>0</v>
      </c>
      <c r="AV92" s="40">
        <f t="shared" si="18"/>
        <v>819</v>
      </c>
      <c r="AX92" s="40">
        <f t="shared" si="15"/>
        <v>1204616</v>
      </c>
    </row>
    <row r="93" spans="1:50" x14ac:dyDescent="0.2">
      <c r="A93" s="29">
        <v>5</v>
      </c>
      <c r="B93" s="29">
        <v>202305</v>
      </c>
      <c r="C93" s="29">
        <v>15</v>
      </c>
      <c r="D93" s="35">
        <v>0</v>
      </c>
      <c r="E93" s="35">
        <v>6619</v>
      </c>
      <c r="F93" s="35">
        <v>0</v>
      </c>
      <c r="G93" s="35">
        <v>14830</v>
      </c>
      <c r="H93" s="35">
        <v>0</v>
      </c>
      <c r="I93" s="35">
        <v>5756</v>
      </c>
      <c r="J93" s="35">
        <v>15137</v>
      </c>
      <c r="K93" s="35">
        <v>36942</v>
      </c>
      <c r="L93" s="35">
        <v>15175</v>
      </c>
      <c r="M93" s="35">
        <v>480297</v>
      </c>
      <c r="N93" s="35">
        <v>758</v>
      </c>
      <c r="O93" s="35">
        <v>546</v>
      </c>
      <c r="P93" s="35">
        <v>43</v>
      </c>
      <c r="Q93" s="35">
        <v>2393</v>
      </c>
      <c r="R93" s="35">
        <v>0</v>
      </c>
      <c r="S93" s="35">
        <v>62748</v>
      </c>
      <c r="T93" s="40">
        <f t="shared" si="14"/>
        <v>641244</v>
      </c>
      <c r="V93" s="35">
        <v>2399</v>
      </c>
      <c r="W93" s="35">
        <v>0</v>
      </c>
      <c r="X93" s="40">
        <f t="shared" si="16"/>
        <v>2399</v>
      </c>
      <c r="Z93" s="35">
        <v>0</v>
      </c>
      <c r="AA93" s="35">
        <v>3038</v>
      </c>
      <c r="AB93" s="35">
        <v>1291</v>
      </c>
      <c r="AC93" s="35">
        <v>0</v>
      </c>
      <c r="AD93" s="35">
        <v>0</v>
      </c>
      <c r="AE93" s="35">
        <v>435</v>
      </c>
      <c r="AF93" s="35">
        <v>36223</v>
      </c>
      <c r="AG93" s="35">
        <v>1517</v>
      </c>
      <c r="AH93" s="35">
        <v>0</v>
      </c>
      <c r="AI93" s="35">
        <v>0</v>
      </c>
      <c r="AJ93" s="35">
        <v>0</v>
      </c>
      <c r="AK93" s="35">
        <v>84</v>
      </c>
      <c r="AL93" s="35">
        <v>1033</v>
      </c>
      <c r="AM93" s="35">
        <v>0</v>
      </c>
      <c r="AN93" s="40">
        <f t="shared" si="17"/>
        <v>43621</v>
      </c>
      <c r="AP93" s="35">
        <v>205</v>
      </c>
      <c r="AQ93" s="35">
        <v>0</v>
      </c>
      <c r="AR93" s="35">
        <v>699</v>
      </c>
      <c r="AS93" s="35">
        <v>0</v>
      </c>
      <c r="AT93" s="35">
        <v>3454</v>
      </c>
      <c r="AU93" s="35">
        <v>0</v>
      </c>
      <c r="AV93" s="40">
        <f t="shared" si="18"/>
        <v>4358</v>
      </c>
      <c r="AX93" s="40">
        <f t="shared" si="15"/>
        <v>691622</v>
      </c>
    </row>
    <row r="94" spans="1:50" x14ac:dyDescent="0.2">
      <c r="A94" s="29">
        <v>5</v>
      </c>
      <c r="B94" s="29">
        <v>202305</v>
      </c>
      <c r="C94" s="29">
        <v>21</v>
      </c>
      <c r="D94" s="35">
        <v>0</v>
      </c>
      <c r="E94" s="35">
        <v>0</v>
      </c>
      <c r="F94" s="35">
        <v>0</v>
      </c>
      <c r="G94" s="35">
        <v>0</v>
      </c>
      <c r="H94" s="35">
        <v>0</v>
      </c>
      <c r="I94" s="35">
        <v>0</v>
      </c>
      <c r="J94" s="35">
        <v>0</v>
      </c>
      <c r="K94" s="35">
        <v>0</v>
      </c>
      <c r="L94" s="35">
        <v>0</v>
      </c>
      <c r="M94" s="35">
        <v>0</v>
      </c>
      <c r="N94" s="35">
        <v>0</v>
      </c>
      <c r="O94" s="35">
        <v>0</v>
      </c>
      <c r="P94" s="35">
        <v>0</v>
      </c>
      <c r="Q94" s="35">
        <v>0</v>
      </c>
      <c r="R94" s="35">
        <v>0</v>
      </c>
      <c r="S94" s="35">
        <v>0</v>
      </c>
      <c r="T94" s="40">
        <f t="shared" si="14"/>
        <v>0</v>
      </c>
      <c r="V94" s="35">
        <v>0</v>
      </c>
      <c r="W94" s="35">
        <v>0</v>
      </c>
      <c r="X94" s="40">
        <f t="shared" si="16"/>
        <v>0</v>
      </c>
      <c r="Z94" s="35">
        <v>0</v>
      </c>
      <c r="AA94" s="35">
        <v>0</v>
      </c>
      <c r="AB94" s="35">
        <v>0</v>
      </c>
      <c r="AC94" s="35">
        <v>0</v>
      </c>
      <c r="AD94" s="35">
        <v>0</v>
      </c>
      <c r="AE94" s="35">
        <v>0</v>
      </c>
      <c r="AF94" s="35">
        <v>0</v>
      </c>
      <c r="AG94" s="35">
        <v>0</v>
      </c>
      <c r="AH94" s="35">
        <v>0</v>
      </c>
      <c r="AI94" s="35">
        <v>0</v>
      </c>
      <c r="AJ94" s="35">
        <v>0</v>
      </c>
      <c r="AK94" s="35">
        <v>0</v>
      </c>
      <c r="AL94" s="35">
        <v>0</v>
      </c>
      <c r="AM94" s="35">
        <v>0</v>
      </c>
      <c r="AN94" s="40">
        <f t="shared" si="17"/>
        <v>0</v>
      </c>
      <c r="AP94" s="35">
        <v>0</v>
      </c>
      <c r="AQ94" s="35">
        <v>0</v>
      </c>
      <c r="AR94" s="35">
        <v>0</v>
      </c>
      <c r="AS94" s="35">
        <v>0</v>
      </c>
      <c r="AT94" s="35">
        <v>0</v>
      </c>
      <c r="AU94" s="35">
        <v>0</v>
      </c>
      <c r="AV94" s="40">
        <f t="shared" si="18"/>
        <v>0</v>
      </c>
      <c r="AX94" s="40">
        <f t="shared" si="15"/>
        <v>0</v>
      </c>
    </row>
    <row r="95" spans="1:50" x14ac:dyDescent="0.2">
      <c r="A95" s="29">
        <v>5</v>
      </c>
      <c r="B95" s="29">
        <v>202305</v>
      </c>
      <c r="C95" s="29">
        <v>23</v>
      </c>
      <c r="D95" s="35">
        <v>3200</v>
      </c>
      <c r="E95" s="35">
        <v>777221</v>
      </c>
      <c r="F95" s="35">
        <v>49414</v>
      </c>
      <c r="G95" s="35">
        <v>1063003</v>
      </c>
      <c r="H95" s="35">
        <v>12521</v>
      </c>
      <c r="I95" s="35">
        <v>1130572</v>
      </c>
      <c r="J95" s="35">
        <v>462109</v>
      </c>
      <c r="K95" s="35">
        <v>1759530</v>
      </c>
      <c r="L95" s="35">
        <v>2094844</v>
      </c>
      <c r="M95" s="35">
        <v>15212473</v>
      </c>
      <c r="N95" s="35">
        <v>198123</v>
      </c>
      <c r="O95" s="35">
        <v>48466</v>
      </c>
      <c r="P95" s="35">
        <v>63808</v>
      </c>
      <c r="Q95" s="35">
        <v>2417238</v>
      </c>
      <c r="R95" s="35">
        <v>345678</v>
      </c>
      <c r="S95" s="35">
        <v>4640946</v>
      </c>
      <c r="T95" s="40">
        <f t="shared" si="14"/>
        <v>30279146</v>
      </c>
      <c r="V95" s="35">
        <v>612355</v>
      </c>
      <c r="W95" s="35">
        <v>9361</v>
      </c>
      <c r="X95" s="40">
        <f t="shared" si="16"/>
        <v>621716</v>
      </c>
      <c r="Z95" s="35">
        <v>921</v>
      </c>
      <c r="AA95" s="35">
        <v>107381</v>
      </c>
      <c r="AB95" s="35">
        <v>58500</v>
      </c>
      <c r="AC95" s="35">
        <v>23444</v>
      </c>
      <c r="AD95" s="35">
        <v>5145</v>
      </c>
      <c r="AE95" s="35">
        <v>69578</v>
      </c>
      <c r="AF95" s="35">
        <v>427891</v>
      </c>
      <c r="AG95" s="35">
        <v>92807</v>
      </c>
      <c r="AH95" s="35">
        <v>16493</v>
      </c>
      <c r="AI95" s="35">
        <v>6373</v>
      </c>
      <c r="AJ95" s="35">
        <v>19861</v>
      </c>
      <c r="AK95" s="35">
        <v>80854</v>
      </c>
      <c r="AL95" s="35">
        <v>111182</v>
      </c>
      <c r="AM95" s="35">
        <v>0</v>
      </c>
      <c r="AN95" s="40">
        <f t="shared" si="17"/>
        <v>1020430</v>
      </c>
      <c r="AP95" s="35">
        <v>103463</v>
      </c>
      <c r="AQ95" s="35">
        <v>18058</v>
      </c>
      <c r="AR95" s="35">
        <v>381205</v>
      </c>
      <c r="AS95" s="35">
        <v>10132</v>
      </c>
      <c r="AT95" s="35">
        <v>1478252</v>
      </c>
      <c r="AU95" s="35">
        <v>1845</v>
      </c>
      <c r="AV95" s="40">
        <f t="shared" si="18"/>
        <v>1992955</v>
      </c>
      <c r="AX95" s="40">
        <f t="shared" si="15"/>
        <v>33914247</v>
      </c>
    </row>
    <row r="96" spans="1:50" x14ac:dyDescent="0.2">
      <c r="A96" s="29">
        <v>5</v>
      </c>
      <c r="B96" s="29">
        <v>202305</v>
      </c>
      <c r="C96" s="29">
        <v>31</v>
      </c>
      <c r="D96" s="35">
        <v>0</v>
      </c>
      <c r="E96" s="35">
        <v>0</v>
      </c>
      <c r="F96" s="35">
        <v>0</v>
      </c>
      <c r="G96" s="35">
        <v>0</v>
      </c>
      <c r="H96" s="35">
        <v>0</v>
      </c>
      <c r="I96" s="35">
        <v>0</v>
      </c>
      <c r="J96" s="35">
        <v>0</v>
      </c>
      <c r="K96" s="35">
        <v>0</v>
      </c>
      <c r="L96" s="35">
        <v>0</v>
      </c>
      <c r="M96" s="35">
        <v>11576435</v>
      </c>
      <c r="N96" s="35">
        <v>0</v>
      </c>
      <c r="O96" s="35">
        <v>0</v>
      </c>
      <c r="P96" s="35">
        <v>0</v>
      </c>
      <c r="Q96" s="35">
        <v>0</v>
      </c>
      <c r="R96" s="35">
        <v>0</v>
      </c>
      <c r="S96" s="35">
        <v>0</v>
      </c>
      <c r="T96" s="40">
        <f t="shared" si="14"/>
        <v>11576435</v>
      </c>
      <c r="V96" s="35">
        <v>0</v>
      </c>
      <c r="W96" s="35">
        <v>0</v>
      </c>
      <c r="X96" s="40">
        <f t="shared" si="16"/>
        <v>0</v>
      </c>
      <c r="Z96" s="35">
        <v>696000</v>
      </c>
      <c r="AA96" s="35">
        <v>0</v>
      </c>
      <c r="AB96" s="35">
        <v>0</v>
      </c>
      <c r="AC96" s="35">
        <v>0</v>
      </c>
      <c r="AD96" s="35">
        <v>0</v>
      </c>
      <c r="AE96" s="35">
        <v>0</v>
      </c>
      <c r="AF96" s="35">
        <v>0</v>
      </c>
      <c r="AG96" s="35">
        <v>0</v>
      </c>
      <c r="AH96" s="35">
        <v>0</v>
      </c>
      <c r="AI96" s="35">
        <v>0</v>
      </c>
      <c r="AJ96" s="35">
        <v>0</v>
      </c>
      <c r="AK96" s="35">
        <v>0</v>
      </c>
      <c r="AL96" s="35">
        <v>0</v>
      </c>
      <c r="AM96" s="35">
        <v>0</v>
      </c>
      <c r="AN96" s="40">
        <f t="shared" si="17"/>
        <v>696000</v>
      </c>
      <c r="AP96" s="35">
        <v>0</v>
      </c>
      <c r="AQ96" s="35">
        <v>0</v>
      </c>
      <c r="AR96" s="35">
        <v>0</v>
      </c>
      <c r="AS96" s="35">
        <v>0</v>
      </c>
      <c r="AT96" s="35">
        <v>0</v>
      </c>
      <c r="AU96" s="35">
        <v>0</v>
      </c>
      <c r="AV96" s="40">
        <f t="shared" si="18"/>
        <v>0</v>
      </c>
      <c r="AX96" s="40">
        <f t="shared" si="15"/>
        <v>12272435</v>
      </c>
    </row>
    <row r="97" spans="1:50" x14ac:dyDescent="0.2">
      <c r="A97" s="29">
        <v>5</v>
      </c>
      <c r="B97" s="29">
        <v>202305</v>
      </c>
      <c r="C97" s="29">
        <v>32</v>
      </c>
      <c r="D97" s="35">
        <v>0</v>
      </c>
      <c r="E97" s="35">
        <v>0</v>
      </c>
      <c r="F97" s="35">
        <v>0</v>
      </c>
      <c r="G97" s="35">
        <v>0</v>
      </c>
      <c r="H97" s="35">
        <v>0</v>
      </c>
      <c r="I97" s="35">
        <v>0</v>
      </c>
      <c r="J97" s="35">
        <v>0</v>
      </c>
      <c r="K97" s="35">
        <v>0</v>
      </c>
      <c r="L97" s="35">
        <v>0</v>
      </c>
      <c r="M97" s="35">
        <v>15657695</v>
      </c>
      <c r="N97" s="35">
        <v>0</v>
      </c>
      <c r="O97" s="35">
        <v>0</v>
      </c>
      <c r="P97" s="35">
        <v>0</v>
      </c>
      <c r="Q97" s="35">
        <v>0</v>
      </c>
      <c r="R97" s="35">
        <v>0</v>
      </c>
      <c r="S97" s="35">
        <v>0</v>
      </c>
      <c r="T97" s="40">
        <f t="shared" si="14"/>
        <v>15657695</v>
      </c>
      <c r="V97" s="35">
        <v>0</v>
      </c>
      <c r="W97" s="35">
        <v>0</v>
      </c>
      <c r="X97" s="40">
        <f t="shared" si="16"/>
        <v>0</v>
      </c>
      <c r="Z97" s="35">
        <v>0</v>
      </c>
      <c r="AA97" s="35">
        <v>0</v>
      </c>
      <c r="AB97" s="35">
        <v>0</v>
      </c>
      <c r="AC97" s="35">
        <v>0</v>
      </c>
      <c r="AD97" s="35">
        <v>0</v>
      </c>
      <c r="AE97" s="35">
        <v>0</v>
      </c>
      <c r="AF97" s="35">
        <v>0</v>
      </c>
      <c r="AG97" s="35">
        <v>0</v>
      </c>
      <c r="AH97" s="35">
        <v>0</v>
      </c>
      <c r="AI97" s="35">
        <v>0</v>
      </c>
      <c r="AJ97" s="35">
        <v>0</v>
      </c>
      <c r="AK97" s="35">
        <v>0</v>
      </c>
      <c r="AL97" s="35">
        <v>0</v>
      </c>
      <c r="AM97" s="35">
        <v>0</v>
      </c>
      <c r="AN97" s="40">
        <f t="shared" si="17"/>
        <v>0</v>
      </c>
      <c r="AP97" s="35">
        <v>0</v>
      </c>
      <c r="AQ97" s="35">
        <v>0</v>
      </c>
      <c r="AR97" s="35">
        <v>0</v>
      </c>
      <c r="AS97" s="35">
        <v>0</v>
      </c>
      <c r="AT97" s="35">
        <v>0</v>
      </c>
      <c r="AU97" s="35">
        <v>0</v>
      </c>
      <c r="AV97" s="40">
        <f t="shared" si="18"/>
        <v>0</v>
      </c>
      <c r="AX97" s="40">
        <f t="shared" si="15"/>
        <v>15657695</v>
      </c>
    </row>
    <row r="98" spans="1:50" x14ac:dyDescent="0.2">
      <c r="A98" s="29">
        <v>6</v>
      </c>
      <c r="B98" s="29">
        <v>202306</v>
      </c>
      <c r="C98" s="29">
        <v>1</v>
      </c>
      <c r="D98" s="35">
        <v>114619</v>
      </c>
      <c r="E98" s="35">
        <v>1501537</v>
      </c>
      <c r="F98" s="35">
        <v>172657</v>
      </c>
      <c r="G98" s="35">
        <v>8419280</v>
      </c>
      <c r="H98" s="35">
        <v>318622</v>
      </c>
      <c r="I98" s="35">
        <v>8659425</v>
      </c>
      <c r="J98" s="35">
        <v>5564066</v>
      </c>
      <c r="K98" s="35">
        <v>7631072</v>
      </c>
      <c r="L98" s="35">
        <v>11769871</v>
      </c>
      <c r="M98" s="35">
        <v>37640542</v>
      </c>
      <c r="N98" s="35">
        <v>434037</v>
      </c>
      <c r="O98" s="35">
        <v>412118</v>
      </c>
      <c r="P98" s="35">
        <v>430287</v>
      </c>
      <c r="Q98" s="35">
        <v>6117972</v>
      </c>
      <c r="R98" s="35">
        <v>333367</v>
      </c>
      <c r="S98" s="35">
        <v>15547678</v>
      </c>
      <c r="T98" s="40">
        <f t="shared" si="14"/>
        <v>105067150</v>
      </c>
      <c r="V98" s="35">
        <v>1833498</v>
      </c>
      <c r="W98" s="35">
        <v>19894</v>
      </c>
      <c r="X98" s="40">
        <f>SUM(V98:W98)</f>
        <v>1853392</v>
      </c>
      <c r="Z98" s="35">
        <v>8276</v>
      </c>
      <c r="AA98" s="35">
        <v>4565</v>
      </c>
      <c r="AB98" s="35">
        <v>796141</v>
      </c>
      <c r="AC98" s="35">
        <v>291741</v>
      </c>
      <c r="AD98" s="35">
        <v>73465</v>
      </c>
      <c r="AE98" s="35">
        <v>385969</v>
      </c>
      <c r="AF98" s="35">
        <v>1282477</v>
      </c>
      <c r="AG98" s="35">
        <v>1528468</v>
      </c>
      <c r="AH98" s="35">
        <v>10209</v>
      </c>
      <c r="AI98" s="35">
        <v>497325</v>
      </c>
      <c r="AJ98" s="35">
        <v>38184</v>
      </c>
      <c r="AK98" s="35">
        <v>689342</v>
      </c>
      <c r="AL98" s="35">
        <v>162279</v>
      </c>
      <c r="AM98" s="35">
        <v>0</v>
      </c>
      <c r="AN98" s="40">
        <f>SUM(Z98:AM98)</f>
        <v>5768441</v>
      </c>
      <c r="AO98" s="35"/>
      <c r="AP98" s="35">
        <v>603802</v>
      </c>
      <c r="AQ98" s="35">
        <v>114602</v>
      </c>
      <c r="AR98" s="35">
        <v>2565283</v>
      </c>
      <c r="AS98" s="35">
        <v>69949</v>
      </c>
      <c r="AT98" s="35">
        <v>4555817</v>
      </c>
      <c r="AU98" s="35">
        <v>28239</v>
      </c>
      <c r="AV98" s="40">
        <f>SUM(AP98:AU98)</f>
        <v>7937692</v>
      </c>
      <c r="AX98" s="40">
        <f t="shared" si="15"/>
        <v>120626675</v>
      </c>
    </row>
    <row r="99" spans="1:50" x14ac:dyDescent="0.2">
      <c r="A99" s="29">
        <v>6</v>
      </c>
      <c r="B99" s="29">
        <v>202306</v>
      </c>
      <c r="C99" s="29">
        <v>2</v>
      </c>
      <c r="D99" s="35">
        <v>133</v>
      </c>
      <c r="E99" s="35">
        <v>0</v>
      </c>
      <c r="F99" s="35">
        <v>0</v>
      </c>
      <c r="G99" s="35">
        <v>23330</v>
      </c>
      <c r="H99" s="35">
        <v>2044</v>
      </c>
      <c r="I99" s="35">
        <v>17414</v>
      </c>
      <c r="J99" s="35">
        <v>2864</v>
      </c>
      <c r="K99" s="35">
        <v>8607</v>
      </c>
      <c r="L99" s="35">
        <v>40949</v>
      </c>
      <c r="M99" s="35">
        <v>85855</v>
      </c>
      <c r="N99" s="35">
        <v>369</v>
      </c>
      <c r="O99" s="35">
        <v>0</v>
      </c>
      <c r="P99" s="35">
        <v>1108</v>
      </c>
      <c r="Q99" s="35">
        <v>22891</v>
      </c>
      <c r="R99" s="35">
        <v>4</v>
      </c>
      <c r="S99" s="35">
        <v>24009</v>
      </c>
      <c r="T99" s="40">
        <f t="shared" si="14"/>
        <v>229577</v>
      </c>
      <c r="V99" s="35">
        <v>408</v>
      </c>
      <c r="W99" s="35">
        <v>0</v>
      </c>
      <c r="X99" s="40">
        <f t="shared" ref="X99:X116" si="19">SUM(V99:W99)</f>
        <v>408</v>
      </c>
      <c r="Z99" s="35">
        <v>0</v>
      </c>
      <c r="AA99" s="35">
        <v>0</v>
      </c>
      <c r="AB99" s="35">
        <v>1568</v>
      </c>
      <c r="AC99" s="35">
        <v>1367</v>
      </c>
      <c r="AD99" s="35">
        <v>1084</v>
      </c>
      <c r="AE99" s="35">
        <v>474</v>
      </c>
      <c r="AF99" s="35">
        <v>1564</v>
      </c>
      <c r="AG99" s="35">
        <v>4733</v>
      </c>
      <c r="AH99" s="35">
        <v>0</v>
      </c>
      <c r="AI99" s="35">
        <v>465</v>
      </c>
      <c r="AJ99" s="35">
        <v>0</v>
      </c>
      <c r="AK99" s="35">
        <v>2330</v>
      </c>
      <c r="AL99" s="35">
        <v>0</v>
      </c>
      <c r="AM99" s="35">
        <v>0</v>
      </c>
      <c r="AN99" s="40">
        <f t="shared" ref="AN99:AN116" si="20">SUM(Z99:AM99)</f>
        <v>13585</v>
      </c>
      <c r="AP99" s="35">
        <v>1333</v>
      </c>
      <c r="AQ99" s="35">
        <v>0</v>
      </c>
      <c r="AR99" s="35">
        <v>7457</v>
      </c>
      <c r="AS99" s="35">
        <v>0</v>
      </c>
      <c r="AT99" s="35">
        <v>27292</v>
      </c>
      <c r="AU99" s="35">
        <v>0</v>
      </c>
      <c r="AV99" s="40">
        <f t="shared" ref="AV99:AV116" si="21">SUM(AP99:AU99)</f>
        <v>36082</v>
      </c>
      <c r="AX99" s="40">
        <f t="shared" si="15"/>
        <v>279652</v>
      </c>
    </row>
    <row r="100" spans="1:50" x14ac:dyDescent="0.2">
      <c r="A100" s="29">
        <v>6</v>
      </c>
      <c r="B100" s="29">
        <v>202306</v>
      </c>
      <c r="C100" s="29">
        <v>3</v>
      </c>
      <c r="D100" s="35">
        <v>1250</v>
      </c>
      <c r="E100" s="35">
        <v>59986</v>
      </c>
      <c r="F100" s="35">
        <v>0</v>
      </c>
      <c r="G100" s="35">
        <v>67798</v>
      </c>
      <c r="H100" s="35">
        <v>0</v>
      </c>
      <c r="I100" s="35">
        <v>61307</v>
      </c>
      <c r="J100" s="35">
        <v>207531</v>
      </c>
      <c r="K100" s="35">
        <v>288418</v>
      </c>
      <c r="L100" s="35">
        <v>247730</v>
      </c>
      <c r="M100" s="35">
        <v>1188810</v>
      </c>
      <c r="N100" s="35">
        <v>1492</v>
      </c>
      <c r="O100" s="35">
        <v>1344</v>
      </c>
      <c r="P100" s="35">
        <v>1831</v>
      </c>
      <c r="Q100" s="35">
        <v>6727</v>
      </c>
      <c r="R100" s="35">
        <v>1751</v>
      </c>
      <c r="S100" s="35">
        <v>816478</v>
      </c>
      <c r="T100" s="40">
        <f t="shared" si="14"/>
        <v>2952453</v>
      </c>
      <c r="V100" s="35">
        <v>32024</v>
      </c>
      <c r="W100" s="35">
        <v>866</v>
      </c>
      <c r="X100" s="40">
        <f t="shared" si="19"/>
        <v>32890</v>
      </c>
      <c r="Z100" s="35">
        <v>0</v>
      </c>
      <c r="AA100" s="35">
        <v>0</v>
      </c>
      <c r="AB100" s="35">
        <v>24106</v>
      </c>
      <c r="AC100" s="35">
        <v>26782</v>
      </c>
      <c r="AD100" s="35">
        <v>1829</v>
      </c>
      <c r="AE100" s="35">
        <v>8026</v>
      </c>
      <c r="AF100" s="35">
        <v>80559</v>
      </c>
      <c r="AG100" s="35">
        <v>15619</v>
      </c>
      <c r="AH100" s="35">
        <v>0</v>
      </c>
      <c r="AI100" s="35">
        <v>6844</v>
      </c>
      <c r="AJ100" s="35">
        <v>524</v>
      </c>
      <c r="AK100" s="35">
        <v>9047</v>
      </c>
      <c r="AL100" s="35">
        <v>3495</v>
      </c>
      <c r="AM100" s="35">
        <v>0</v>
      </c>
      <c r="AN100" s="40">
        <f t="shared" si="20"/>
        <v>176831</v>
      </c>
      <c r="AP100" s="35">
        <v>2294</v>
      </c>
      <c r="AQ100" s="35">
        <v>352</v>
      </c>
      <c r="AR100" s="35">
        <v>0</v>
      </c>
      <c r="AS100" s="35">
        <v>0</v>
      </c>
      <c r="AT100" s="35">
        <v>2250</v>
      </c>
      <c r="AU100" s="35">
        <v>0</v>
      </c>
      <c r="AV100" s="40">
        <f t="shared" si="21"/>
        <v>4896</v>
      </c>
      <c r="AX100" s="40">
        <f t="shared" si="15"/>
        <v>3167070</v>
      </c>
    </row>
    <row r="101" spans="1:50" x14ac:dyDescent="0.2">
      <c r="A101" s="29">
        <v>6</v>
      </c>
      <c r="B101" s="29">
        <v>202306</v>
      </c>
      <c r="C101" s="29">
        <v>6</v>
      </c>
      <c r="D101" s="35">
        <v>2013</v>
      </c>
      <c r="E101" s="35">
        <v>3127348</v>
      </c>
      <c r="F101" s="35">
        <v>192478</v>
      </c>
      <c r="G101" s="35">
        <v>5281179</v>
      </c>
      <c r="H101" s="35">
        <v>0</v>
      </c>
      <c r="I101" s="35">
        <v>2528876</v>
      </c>
      <c r="J101" s="35">
        <v>2074255</v>
      </c>
      <c r="K101" s="35">
        <v>7392567</v>
      </c>
      <c r="L101" s="35">
        <v>7338737</v>
      </c>
      <c r="M101" s="35">
        <v>114968522</v>
      </c>
      <c r="N101" s="35">
        <v>244535</v>
      </c>
      <c r="O101" s="35">
        <v>16654</v>
      </c>
      <c r="P101" s="35">
        <v>106123</v>
      </c>
      <c r="Q101" s="35">
        <v>6825024</v>
      </c>
      <c r="R101" s="35">
        <v>910545</v>
      </c>
      <c r="S101" s="35">
        <v>24964725</v>
      </c>
      <c r="T101" s="40">
        <f t="shared" si="14"/>
        <v>175973581</v>
      </c>
      <c r="V101" s="35">
        <v>1104077</v>
      </c>
      <c r="W101" s="35">
        <v>6746</v>
      </c>
      <c r="X101" s="40">
        <f t="shared" si="19"/>
        <v>1110823</v>
      </c>
      <c r="Z101" s="35">
        <v>0</v>
      </c>
      <c r="AA101" s="35">
        <v>42041</v>
      </c>
      <c r="AB101" s="35">
        <v>663720</v>
      </c>
      <c r="AC101" s="35">
        <v>43200</v>
      </c>
      <c r="AD101" s="35">
        <v>59600</v>
      </c>
      <c r="AE101" s="35">
        <v>439924</v>
      </c>
      <c r="AF101" s="35">
        <v>2361414</v>
      </c>
      <c r="AG101" s="35">
        <v>574017</v>
      </c>
      <c r="AH101" s="35">
        <v>16881</v>
      </c>
      <c r="AI101" s="35">
        <v>104400</v>
      </c>
      <c r="AJ101" s="35">
        <v>81640</v>
      </c>
      <c r="AK101" s="35">
        <v>99504</v>
      </c>
      <c r="AL101" s="35">
        <v>239348</v>
      </c>
      <c r="AM101" s="35">
        <v>0</v>
      </c>
      <c r="AN101" s="40">
        <f t="shared" si="20"/>
        <v>4725689</v>
      </c>
      <c r="AP101" s="35">
        <v>413029</v>
      </c>
      <c r="AQ101" s="35">
        <v>0</v>
      </c>
      <c r="AR101" s="35">
        <v>715013</v>
      </c>
      <c r="AS101" s="35">
        <v>0</v>
      </c>
      <c r="AT101" s="35">
        <v>3744970</v>
      </c>
      <c r="AU101" s="35">
        <v>0</v>
      </c>
      <c r="AV101" s="40">
        <f t="shared" si="21"/>
        <v>4873012</v>
      </c>
      <c r="AX101" s="40">
        <f t="shared" si="15"/>
        <v>186683105</v>
      </c>
    </row>
    <row r="102" spans="1:50" x14ac:dyDescent="0.2">
      <c r="A102" s="29">
        <v>6</v>
      </c>
      <c r="B102" s="29">
        <v>202306</v>
      </c>
      <c r="C102" s="29" t="s">
        <v>230</v>
      </c>
      <c r="D102" s="35">
        <v>0</v>
      </c>
      <c r="E102" s="35">
        <v>26960</v>
      </c>
      <c r="F102" s="35">
        <v>0</v>
      </c>
      <c r="G102" s="35">
        <v>680688</v>
      </c>
      <c r="H102" s="35">
        <v>20185</v>
      </c>
      <c r="I102" s="35">
        <v>69728</v>
      </c>
      <c r="J102" s="35">
        <v>165522</v>
      </c>
      <c r="K102" s="35">
        <v>781439</v>
      </c>
      <c r="L102" s="35">
        <v>205095</v>
      </c>
      <c r="M102" s="35">
        <v>5786250</v>
      </c>
      <c r="N102" s="35">
        <v>1720</v>
      </c>
      <c r="O102" s="35">
        <v>2520</v>
      </c>
      <c r="P102" s="35">
        <v>2280</v>
      </c>
      <c r="Q102" s="35">
        <v>334633</v>
      </c>
      <c r="R102" s="35">
        <v>4560</v>
      </c>
      <c r="S102" s="35">
        <v>1057921</v>
      </c>
      <c r="T102" s="40">
        <f t="shared" si="14"/>
        <v>9139501</v>
      </c>
      <c r="V102" s="35">
        <v>17640</v>
      </c>
      <c r="W102" s="35">
        <v>0</v>
      </c>
      <c r="X102" s="40">
        <f t="shared" si="19"/>
        <v>17640</v>
      </c>
      <c r="Z102" s="35">
        <v>0</v>
      </c>
      <c r="AA102" s="35">
        <v>4252</v>
      </c>
      <c r="AB102" s="35">
        <v>6440</v>
      </c>
      <c r="AC102" s="35">
        <v>0</v>
      </c>
      <c r="AD102" s="35">
        <v>0</v>
      </c>
      <c r="AE102" s="35">
        <v>5506</v>
      </c>
      <c r="AF102" s="35">
        <v>374958</v>
      </c>
      <c r="AG102" s="35">
        <v>5160</v>
      </c>
      <c r="AH102" s="35">
        <v>0</v>
      </c>
      <c r="AI102" s="35">
        <v>360</v>
      </c>
      <c r="AJ102" s="35">
        <v>17200</v>
      </c>
      <c r="AK102" s="35">
        <v>0</v>
      </c>
      <c r="AL102" s="35">
        <v>0</v>
      </c>
      <c r="AM102" s="35">
        <v>0</v>
      </c>
      <c r="AN102" s="40">
        <f t="shared" si="20"/>
        <v>413876</v>
      </c>
      <c r="AP102" s="35">
        <v>0</v>
      </c>
      <c r="AQ102" s="35">
        <v>0</v>
      </c>
      <c r="AR102" s="35">
        <v>107708</v>
      </c>
      <c r="AS102" s="35">
        <v>55560</v>
      </c>
      <c r="AT102" s="35">
        <v>247738</v>
      </c>
      <c r="AU102" s="35">
        <v>0</v>
      </c>
      <c r="AV102" s="40">
        <f t="shared" si="21"/>
        <v>411006</v>
      </c>
      <c r="AX102" s="40">
        <f t="shared" si="15"/>
        <v>9982023</v>
      </c>
    </row>
    <row r="103" spans="1:50" x14ac:dyDescent="0.2">
      <c r="A103" s="29">
        <v>6</v>
      </c>
      <c r="B103" s="29">
        <v>202306</v>
      </c>
      <c r="C103" s="29" t="s">
        <v>231</v>
      </c>
      <c r="D103" s="35">
        <v>0</v>
      </c>
      <c r="E103" s="35">
        <v>0</v>
      </c>
      <c r="F103" s="35">
        <v>0</v>
      </c>
      <c r="G103" s="35">
        <v>0</v>
      </c>
      <c r="H103" s="35">
        <v>0</v>
      </c>
      <c r="I103" s="35">
        <v>0</v>
      </c>
      <c r="J103" s="35">
        <v>0</v>
      </c>
      <c r="K103" s="35">
        <v>0</v>
      </c>
      <c r="L103" s="35">
        <v>0</v>
      </c>
      <c r="M103" s="35">
        <v>0</v>
      </c>
      <c r="N103" s="35">
        <v>0</v>
      </c>
      <c r="O103" s="35">
        <v>0</v>
      </c>
      <c r="P103" s="35">
        <v>0</v>
      </c>
      <c r="Q103" s="35">
        <v>0</v>
      </c>
      <c r="R103" s="35">
        <v>0</v>
      </c>
      <c r="S103" s="35">
        <v>0</v>
      </c>
      <c r="T103" s="40">
        <f t="shared" si="14"/>
        <v>0</v>
      </c>
      <c r="V103" s="35">
        <v>0</v>
      </c>
      <c r="W103" s="35">
        <v>0</v>
      </c>
      <c r="X103" s="40">
        <f t="shared" si="19"/>
        <v>0</v>
      </c>
      <c r="Z103" s="35">
        <v>0</v>
      </c>
      <c r="AA103" s="35">
        <v>0</v>
      </c>
      <c r="AB103" s="35">
        <v>0</v>
      </c>
      <c r="AC103" s="35">
        <v>0</v>
      </c>
      <c r="AD103" s="35">
        <v>0</v>
      </c>
      <c r="AE103" s="35">
        <v>0</v>
      </c>
      <c r="AF103" s="35">
        <v>0</v>
      </c>
      <c r="AG103" s="35">
        <v>0</v>
      </c>
      <c r="AH103" s="35">
        <v>0</v>
      </c>
      <c r="AI103" s="35">
        <v>0</v>
      </c>
      <c r="AJ103" s="35">
        <v>0</v>
      </c>
      <c r="AK103" s="35">
        <v>0</v>
      </c>
      <c r="AL103" s="35">
        <v>0</v>
      </c>
      <c r="AM103" s="35">
        <v>0</v>
      </c>
      <c r="AN103" s="40">
        <f t="shared" si="20"/>
        <v>0</v>
      </c>
      <c r="AP103" s="35">
        <v>0</v>
      </c>
      <c r="AQ103" s="35">
        <v>0</v>
      </c>
      <c r="AR103" s="35">
        <v>0</v>
      </c>
      <c r="AS103" s="35">
        <v>0</v>
      </c>
      <c r="AT103" s="35">
        <v>0</v>
      </c>
      <c r="AU103" s="35">
        <v>0</v>
      </c>
      <c r="AV103" s="40">
        <f t="shared" si="21"/>
        <v>0</v>
      </c>
      <c r="AX103" s="40">
        <f t="shared" si="15"/>
        <v>0</v>
      </c>
    </row>
    <row r="104" spans="1:50" x14ac:dyDescent="0.2">
      <c r="A104" s="29">
        <v>6</v>
      </c>
      <c r="B104" s="29">
        <v>202306</v>
      </c>
      <c r="C104" s="29">
        <v>7</v>
      </c>
      <c r="D104" s="35">
        <v>0</v>
      </c>
      <c r="E104" s="35">
        <v>6959</v>
      </c>
      <c r="F104" s="35">
        <v>0</v>
      </c>
      <c r="G104" s="35">
        <v>4158</v>
      </c>
      <c r="H104" s="35">
        <v>0</v>
      </c>
      <c r="I104" s="35">
        <v>10573</v>
      </c>
      <c r="J104" s="35">
        <v>7244</v>
      </c>
      <c r="K104" s="35">
        <v>17371</v>
      </c>
      <c r="L104" s="35">
        <v>24931</v>
      </c>
      <c r="M104" s="35">
        <v>193589</v>
      </c>
      <c r="N104" s="35">
        <v>1567</v>
      </c>
      <c r="O104" s="35">
        <v>177</v>
      </c>
      <c r="P104" s="35">
        <v>304</v>
      </c>
      <c r="Q104" s="35">
        <v>716</v>
      </c>
      <c r="R104" s="35">
        <v>259</v>
      </c>
      <c r="S104" s="35">
        <v>48870</v>
      </c>
      <c r="T104" s="40">
        <f t="shared" si="14"/>
        <v>316718</v>
      </c>
      <c r="V104" s="35">
        <v>3228</v>
      </c>
      <c r="W104" s="35">
        <v>78</v>
      </c>
      <c r="X104" s="40">
        <f t="shared" si="19"/>
        <v>3306</v>
      </c>
      <c r="Z104" s="35">
        <v>0</v>
      </c>
      <c r="AA104" s="35">
        <v>0</v>
      </c>
      <c r="AB104" s="35">
        <v>285</v>
      </c>
      <c r="AC104" s="35">
        <v>444</v>
      </c>
      <c r="AD104" s="35">
        <v>296</v>
      </c>
      <c r="AE104" s="35">
        <v>69</v>
      </c>
      <c r="AF104" s="35">
        <v>7187</v>
      </c>
      <c r="AG104" s="35">
        <v>779</v>
      </c>
      <c r="AH104" s="35">
        <v>444</v>
      </c>
      <c r="AI104" s="35">
        <v>0</v>
      </c>
      <c r="AJ104" s="35">
        <v>0</v>
      </c>
      <c r="AK104" s="35">
        <v>56</v>
      </c>
      <c r="AL104" s="35">
        <v>646</v>
      </c>
      <c r="AM104" s="35">
        <v>0</v>
      </c>
      <c r="AN104" s="40">
        <f t="shared" si="20"/>
        <v>10206</v>
      </c>
      <c r="AP104" s="35">
        <v>427</v>
      </c>
      <c r="AQ104" s="35">
        <v>208</v>
      </c>
      <c r="AR104" s="35">
        <v>39</v>
      </c>
      <c r="AS104" s="35">
        <v>97</v>
      </c>
      <c r="AT104" s="35">
        <v>305</v>
      </c>
      <c r="AU104" s="35">
        <v>0</v>
      </c>
      <c r="AV104" s="40">
        <f t="shared" si="21"/>
        <v>1076</v>
      </c>
      <c r="AX104" s="40">
        <f t="shared" si="15"/>
        <v>331306</v>
      </c>
    </row>
    <row r="105" spans="1:50" x14ac:dyDescent="0.2">
      <c r="A105" s="29">
        <v>6</v>
      </c>
      <c r="B105" s="29">
        <v>202306</v>
      </c>
      <c r="C105" s="29">
        <v>8</v>
      </c>
      <c r="D105" s="35">
        <v>0</v>
      </c>
      <c r="E105" s="35">
        <v>0</v>
      </c>
      <c r="F105" s="35">
        <v>0</v>
      </c>
      <c r="G105" s="35">
        <v>0</v>
      </c>
      <c r="H105" s="35">
        <v>0</v>
      </c>
      <c r="I105" s="35">
        <v>293100</v>
      </c>
      <c r="J105" s="35">
        <v>47840</v>
      </c>
      <c r="K105" s="35">
        <v>0</v>
      </c>
      <c r="L105" s="35">
        <v>1324800</v>
      </c>
      <c r="M105" s="35">
        <v>42712495</v>
      </c>
      <c r="N105" s="35">
        <v>0</v>
      </c>
      <c r="O105" s="35">
        <v>0</v>
      </c>
      <c r="P105" s="35">
        <v>0</v>
      </c>
      <c r="Q105" s="35">
        <v>6300</v>
      </c>
      <c r="R105" s="35">
        <v>0</v>
      </c>
      <c r="S105" s="35">
        <v>9500701</v>
      </c>
      <c r="T105" s="40">
        <f t="shared" si="14"/>
        <v>53885236</v>
      </c>
      <c r="V105" s="35">
        <v>0</v>
      </c>
      <c r="W105" s="35">
        <v>0</v>
      </c>
      <c r="X105" s="40">
        <f t="shared" si="19"/>
        <v>0</v>
      </c>
      <c r="Z105" s="35">
        <v>0</v>
      </c>
      <c r="AA105" s="35">
        <v>0</v>
      </c>
      <c r="AB105" s="35">
        <v>198000</v>
      </c>
      <c r="AC105" s="35">
        <v>0</v>
      </c>
      <c r="AD105" s="35">
        <v>0</v>
      </c>
      <c r="AE105" s="35">
        <v>1497602</v>
      </c>
      <c r="AF105" s="35">
        <v>911168</v>
      </c>
      <c r="AG105" s="35">
        <v>0</v>
      </c>
      <c r="AH105" s="35">
        <v>0</v>
      </c>
      <c r="AI105" s="35">
        <v>0</v>
      </c>
      <c r="AJ105" s="35">
        <v>0</v>
      </c>
      <c r="AK105" s="35">
        <v>0</v>
      </c>
      <c r="AL105" s="35">
        <v>0</v>
      </c>
      <c r="AM105" s="35">
        <v>0</v>
      </c>
      <c r="AN105" s="40">
        <f t="shared" si="20"/>
        <v>2606770</v>
      </c>
      <c r="AP105" s="35">
        <v>0</v>
      </c>
      <c r="AQ105" s="35">
        <v>0</v>
      </c>
      <c r="AR105" s="35">
        <v>0</v>
      </c>
      <c r="AS105" s="35">
        <v>0</v>
      </c>
      <c r="AT105" s="35">
        <v>560000</v>
      </c>
      <c r="AU105" s="35">
        <v>0</v>
      </c>
      <c r="AV105" s="40">
        <f t="shared" si="21"/>
        <v>560000</v>
      </c>
      <c r="AX105" s="40">
        <f t="shared" si="15"/>
        <v>57052006</v>
      </c>
    </row>
    <row r="106" spans="1:50" x14ac:dyDescent="0.2">
      <c r="A106" s="29">
        <v>6</v>
      </c>
      <c r="B106" s="29">
        <v>202306</v>
      </c>
      <c r="C106" s="29">
        <v>9</v>
      </c>
      <c r="D106" s="35">
        <v>0</v>
      </c>
      <c r="E106" s="35">
        <v>0</v>
      </c>
      <c r="F106" s="35">
        <v>0</v>
      </c>
      <c r="G106" s="35">
        <v>508800</v>
      </c>
      <c r="H106" s="35">
        <v>0</v>
      </c>
      <c r="I106" s="35">
        <v>0</v>
      </c>
      <c r="J106" s="35">
        <v>0</v>
      </c>
      <c r="K106" s="35">
        <v>0</v>
      </c>
      <c r="L106" s="35">
        <v>0</v>
      </c>
      <c r="M106" s="35">
        <v>16007197</v>
      </c>
      <c r="N106" s="35">
        <v>0</v>
      </c>
      <c r="O106" s="35">
        <v>0</v>
      </c>
      <c r="P106" s="35">
        <v>0</v>
      </c>
      <c r="Q106" s="35">
        <v>0</v>
      </c>
      <c r="R106" s="35">
        <v>0</v>
      </c>
      <c r="S106" s="35">
        <v>19844000</v>
      </c>
      <c r="T106" s="40">
        <f t="shared" si="14"/>
        <v>36359997</v>
      </c>
      <c r="V106" s="35">
        <v>0</v>
      </c>
      <c r="W106" s="35">
        <v>0</v>
      </c>
      <c r="X106" s="40">
        <f t="shared" si="19"/>
        <v>0</v>
      </c>
      <c r="Z106" s="35">
        <v>0</v>
      </c>
      <c r="AA106" s="35">
        <v>0</v>
      </c>
      <c r="AB106" s="35">
        <v>0</v>
      </c>
      <c r="AC106" s="35">
        <v>0</v>
      </c>
      <c r="AD106" s="35">
        <v>0</v>
      </c>
      <c r="AE106" s="35">
        <v>0</v>
      </c>
      <c r="AF106" s="35">
        <v>1547000</v>
      </c>
      <c r="AG106" s="35">
        <v>0</v>
      </c>
      <c r="AH106" s="35">
        <v>0</v>
      </c>
      <c r="AI106" s="35">
        <v>0</v>
      </c>
      <c r="AJ106" s="35">
        <v>0</v>
      </c>
      <c r="AK106" s="35">
        <v>26720</v>
      </c>
      <c r="AL106" s="35">
        <v>0</v>
      </c>
      <c r="AM106" s="35">
        <v>0</v>
      </c>
      <c r="AN106" s="40">
        <f t="shared" si="20"/>
        <v>1573720</v>
      </c>
      <c r="AP106" s="35">
        <v>0</v>
      </c>
      <c r="AQ106" s="35">
        <v>0</v>
      </c>
      <c r="AR106" s="35">
        <v>0</v>
      </c>
      <c r="AS106" s="35">
        <v>0</v>
      </c>
      <c r="AT106" s="35">
        <v>0</v>
      </c>
      <c r="AU106" s="35">
        <v>0</v>
      </c>
      <c r="AV106" s="40">
        <f t="shared" si="21"/>
        <v>0</v>
      </c>
      <c r="AX106" s="40">
        <f t="shared" si="15"/>
        <v>37933717</v>
      </c>
    </row>
    <row r="107" spans="1:50" x14ac:dyDescent="0.2">
      <c r="A107" s="29">
        <v>6</v>
      </c>
      <c r="B107" s="29">
        <v>202306</v>
      </c>
      <c r="C107" s="29" t="s">
        <v>234</v>
      </c>
      <c r="D107" s="35">
        <v>0</v>
      </c>
      <c r="E107" s="35">
        <v>0</v>
      </c>
      <c r="F107" s="35">
        <v>0</v>
      </c>
      <c r="G107" s="35">
        <v>0</v>
      </c>
      <c r="H107" s="35">
        <v>0</v>
      </c>
      <c r="I107" s="35">
        <v>0</v>
      </c>
      <c r="J107" s="35">
        <v>0</v>
      </c>
      <c r="K107" s="35">
        <v>0</v>
      </c>
      <c r="L107" s="35">
        <v>0</v>
      </c>
      <c r="M107" s="35">
        <v>388800</v>
      </c>
      <c r="N107" s="35">
        <v>0</v>
      </c>
      <c r="O107" s="35">
        <v>0</v>
      </c>
      <c r="P107" s="35">
        <v>0</v>
      </c>
      <c r="Q107" s="35">
        <v>0</v>
      </c>
      <c r="R107" s="35">
        <v>0</v>
      </c>
      <c r="S107" s="35">
        <v>0</v>
      </c>
      <c r="T107" s="40">
        <f t="shared" si="14"/>
        <v>388800</v>
      </c>
      <c r="V107" s="35">
        <v>0</v>
      </c>
      <c r="W107" s="35">
        <v>0</v>
      </c>
      <c r="X107" s="40">
        <f t="shared" si="19"/>
        <v>0</v>
      </c>
      <c r="Z107" s="35">
        <v>0</v>
      </c>
      <c r="AA107" s="35">
        <v>0</v>
      </c>
      <c r="AB107" s="35">
        <v>0</v>
      </c>
      <c r="AC107" s="35">
        <v>0</v>
      </c>
      <c r="AD107" s="35">
        <v>0</v>
      </c>
      <c r="AE107" s="35">
        <v>0</v>
      </c>
      <c r="AF107" s="35">
        <v>0</v>
      </c>
      <c r="AG107" s="35">
        <v>0</v>
      </c>
      <c r="AH107" s="35">
        <v>0</v>
      </c>
      <c r="AI107" s="35">
        <v>0</v>
      </c>
      <c r="AJ107" s="35">
        <v>0</v>
      </c>
      <c r="AK107" s="35">
        <v>0</v>
      </c>
      <c r="AL107" s="35">
        <v>0</v>
      </c>
      <c r="AM107" s="35">
        <v>0</v>
      </c>
      <c r="AN107" s="40">
        <f t="shared" si="20"/>
        <v>0</v>
      </c>
      <c r="AP107" s="35">
        <v>0</v>
      </c>
      <c r="AQ107" s="35">
        <v>0</v>
      </c>
      <c r="AR107" s="35">
        <v>0</v>
      </c>
      <c r="AS107" s="35">
        <v>0</v>
      </c>
      <c r="AT107" s="35">
        <v>0</v>
      </c>
      <c r="AU107" s="35">
        <v>0</v>
      </c>
      <c r="AV107" s="40">
        <f t="shared" si="21"/>
        <v>0</v>
      </c>
      <c r="AX107" s="40">
        <f t="shared" si="15"/>
        <v>388800</v>
      </c>
    </row>
    <row r="108" spans="1:50" x14ac:dyDescent="0.2">
      <c r="A108" s="29">
        <v>6</v>
      </c>
      <c r="B108" s="29">
        <v>202306</v>
      </c>
      <c r="C108" s="29" t="s">
        <v>235</v>
      </c>
      <c r="D108" s="35">
        <v>0</v>
      </c>
      <c r="E108" s="35">
        <v>0</v>
      </c>
      <c r="F108" s="35">
        <v>0</v>
      </c>
      <c r="G108" s="35">
        <v>0</v>
      </c>
      <c r="H108" s="35">
        <v>0</v>
      </c>
      <c r="I108" s="35">
        <v>0</v>
      </c>
      <c r="J108" s="35">
        <v>0</v>
      </c>
      <c r="K108" s="35">
        <v>0</v>
      </c>
      <c r="L108" s="35">
        <v>0</v>
      </c>
      <c r="M108" s="35">
        <v>208101</v>
      </c>
      <c r="N108" s="35">
        <v>0</v>
      </c>
      <c r="O108" s="35">
        <v>0</v>
      </c>
      <c r="P108" s="35">
        <v>0</v>
      </c>
      <c r="Q108" s="35">
        <v>0</v>
      </c>
      <c r="R108" s="35">
        <v>0</v>
      </c>
      <c r="S108" s="35">
        <v>3169379</v>
      </c>
      <c r="T108" s="40">
        <f t="shared" si="14"/>
        <v>3377480</v>
      </c>
      <c r="V108" s="35">
        <v>0</v>
      </c>
      <c r="W108" s="35">
        <v>0</v>
      </c>
      <c r="X108" s="40">
        <f t="shared" si="19"/>
        <v>0</v>
      </c>
      <c r="Z108" s="35">
        <v>0</v>
      </c>
      <c r="AA108" s="35">
        <v>0</v>
      </c>
      <c r="AB108" s="35">
        <v>20155600</v>
      </c>
      <c r="AC108" s="35">
        <v>0</v>
      </c>
      <c r="AD108" s="35">
        <v>0</v>
      </c>
      <c r="AE108" s="35">
        <v>0</v>
      </c>
      <c r="AF108" s="35">
        <v>0</v>
      </c>
      <c r="AG108" s="35">
        <v>0</v>
      </c>
      <c r="AH108" s="35">
        <v>0</v>
      </c>
      <c r="AI108" s="35">
        <v>0</v>
      </c>
      <c r="AJ108" s="35">
        <v>0</v>
      </c>
      <c r="AK108" s="35">
        <v>0</v>
      </c>
      <c r="AL108" s="35">
        <v>0</v>
      </c>
      <c r="AM108" s="35">
        <v>0</v>
      </c>
      <c r="AN108" s="40">
        <f t="shared" si="20"/>
        <v>20155600</v>
      </c>
      <c r="AP108" s="35">
        <v>0</v>
      </c>
      <c r="AQ108" s="35">
        <v>0</v>
      </c>
      <c r="AR108" s="35">
        <v>0</v>
      </c>
      <c r="AS108" s="35">
        <v>0</v>
      </c>
      <c r="AT108" s="35">
        <v>0</v>
      </c>
      <c r="AU108" s="35">
        <v>0</v>
      </c>
      <c r="AV108" s="40">
        <f t="shared" si="21"/>
        <v>0</v>
      </c>
      <c r="AX108" s="40">
        <f t="shared" si="15"/>
        <v>23533080</v>
      </c>
    </row>
    <row r="109" spans="1:50" x14ac:dyDescent="0.2">
      <c r="A109" s="29">
        <v>6</v>
      </c>
      <c r="B109" s="29">
        <v>202306</v>
      </c>
      <c r="C109" s="29">
        <v>10</v>
      </c>
      <c r="D109" s="35">
        <v>38</v>
      </c>
      <c r="E109" s="35">
        <v>9260</v>
      </c>
      <c r="F109" s="35">
        <v>0</v>
      </c>
      <c r="G109" s="35">
        <v>0</v>
      </c>
      <c r="H109" s="35">
        <v>0</v>
      </c>
      <c r="I109" s="35">
        <v>3111</v>
      </c>
      <c r="J109" s="35">
        <v>800</v>
      </c>
      <c r="K109" s="35">
        <v>0</v>
      </c>
      <c r="L109" s="35">
        <v>11253</v>
      </c>
      <c r="M109" s="35">
        <v>71499</v>
      </c>
      <c r="N109" s="35">
        <v>5394</v>
      </c>
      <c r="O109" s="35">
        <v>29436</v>
      </c>
      <c r="P109" s="35">
        <v>11763</v>
      </c>
      <c r="Q109" s="35">
        <v>9191</v>
      </c>
      <c r="R109" s="35">
        <v>14451</v>
      </c>
      <c r="S109" s="35">
        <v>27264</v>
      </c>
      <c r="T109" s="40">
        <f t="shared" si="14"/>
        <v>193460</v>
      </c>
      <c r="V109" s="35">
        <v>149072</v>
      </c>
      <c r="W109" s="35">
        <v>38961</v>
      </c>
      <c r="X109" s="40">
        <f t="shared" si="19"/>
        <v>188033</v>
      </c>
      <c r="Z109" s="35">
        <v>0</v>
      </c>
      <c r="AA109" s="35">
        <v>0</v>
      </c>
      <c r="AB109" s="35">
        <v>0</v>
      </c>
      <c r="AC109" s="35">
        <v>0</v>
      </c>
      <c r="AD109" s="35">
        <v>0</v>
      </c>
      <c r="AE109" s="35">
        <v>0</v>
      </c>
      <c r="AF109" s="35">
        <v>15234</v>
      </c>
      <c r="AG109" s="35">
        <v>72807</v>
      </c>
      <c r="AH109" s="35">
        <v>0</v>
      </c>
      <c r="AI109" s="35">
        <v>0</v>
      </c>
      <c r="AJ109" s="35">
        <v>0</v>
      </c>
      <c r="AK109" s="35">
        <v>4594</v>
      </c>
      <c r="AL109" s="35">
        <v>0</v>
      </c>
      <c r="AM109" s="35">
        <v>0</v>
      </c>
      <c r="AN109" s="40">
        <f t="shared" si="20"/>
        <v>92635</v>
      </c>
      <c r="AP109" s="35">
        <v>41237</v>
      </c>
      <c r="AQ109" s="35">
        <v>13</v>
      </c>
      <c r="AR109" s="35">
        <v>0</v>
      </c>
      <c r="AS109" s="35">
        <v>37</v>
      </c>
      <c r="AT109" s="35">
        <v>0</v>
      </c>
      <c r="AU109" s="35">
        <v>16400</v>
      </c>
      <c r="AV109" s="40">
        <f t="shared" si="21"/>
        <v>57687</v>
      </c>
      <c r="AX109" s="40">
        <f t="shared" si="15"/>
        <v>531815</v>
      </c>
    </row>
    <row r="110" spans="1:50" x14ac:dyDescent="0.2">
      <c r="A110" s="29">
        <v>6</v>
      </c>
      <c r="B110" s="29">
        <v>202306</v>
      </c>
      <c r="C110" s="29">
        <v>11</v>
      </c>
      <c r="D110" s="35">
        <v>0</v>
      </c>
      <c r="E110" s="35">
        <v>0</v>
      </c>
      <c r="F110" s="35">
        <v>44</v>
      </c>
      <c r="G110" s="35">
        <v>28193</v>
      </c>
      <c r="H110" s="35">
        <v>0</v>
      </c>
      <c r="I110" s="35">
        <v>46164</v>
      </c>
      <c r="J110" s="35">
        <v>0</v>
      </c>
      <c r="K110" s="35">
        <v>0</v>
      </c>
      <c r="L110" s="35">
        <v>0</v>
      </c>
      <c r="M110" s="35">
        <v>4515</v>
      </c>
      <c r="N110" s="35">
        <v>2447</v>
      </c>
      <c r="O110" s="35">
        <v>499</v>
      </c>
      <c r="P110" s="35">
        <v>1509</v>
      </c>
      <c r="Q110" s="35">
        <v>2548</v>
      </c>
      <c r="R110" s="35">
        <v>117</v>
      </c>
      <c r="S110" s="35">
        <v>117229</v>
      </c>
      <c r="T110" s="40">
        <f t="shared" si="14"/>
        <v>203265</v>
      </c>
      <c r="V110" s="35">
        <v>24352</v>
      </c>
      <c r="W110" s="35">
        <v>0</v>
      </c>
      <c r="X110" s="40">
        <f t="shared" si="19"/>
        <v>24352</v>
      </c>
      <c r="Z110" s="35">
        <v>0</v>
      </c>
      <c r="AA110" s="35">
        <v>0</v>
      </c>
      <c r="AB110" s="35">
        <v>0</v>
      </c>
      <c r="AC110" s="35">
        <v>0</v>
      </c>
      <c r="AD110" s="35">
        <v>0</v>
      </c>
      <c r="AE110" s="35">
        <v>0</v>
      </c>
      <c r="AF110" s="35">
        <v>5497</v>
      </c>
      <c r="AG110" s="35">
        <v>0</v>
      </c>
      <c r="AH110" s="35">
        <v>1184</v>
      </c>
      <c r="AI110" s="35">
        <v>0</v>
      </c>
      <c r="AJ110" s="35">
        <v>0</v>
      </c>
      <c r="AK110" s="35">
        <v>0</v>
      </c>
      <c r="AL110" s="35">
        <v>0</v>
      </c>
      <c r="AM110" s="35">
        <v>0</v>
      </c>
      <c r="AN110" s="40">
        <f t="shared" si="20"/>
        <v>6681</v>
      </c>
      <c r="AP110" s="35">
        <v>0</v>
      </c>
      <c r="AQ110" s="35">
        <v>0</v>
      </c>
      <c r="AR110" s="35">
        <v>0</v>
      </c>
      <c r="AS110" s="35">
        <v>0</v>
      </c>
      <c r="AT110" s="35">
        <v>0</v>
      </c>
      <c r="AU110" s="35">
        <v>0</v>
      </c>
      <c r="AV110" s="40">
        <f t="shared" si="21"/>
        <v>0</v>
      </c>
      <c r="AX110" s="40">
        <f t="shared" si="15"/>
        <v>234298</v>
      </c>
    </row>
    <row r="111" spans="1:50" x14ac:dyDescent="0.2">
      <c r="A111" s="29">
        <v>6</v>
      </c>
      <c r="B111" s="29">
        <v>202306</v>
      </c>
      <c r="C111" s="29">
        <v>12</v>
      </c>
      <c r="D111" s="35">
        <v>0</v>
      </c>
      <c r="E111" s="35">
        <v>0</v>
      </c>
      <c r="F111" s="35">
        <v>0</v>
      </c>
      <c r="G111" s="35">
        <v>14471</v>
      </c>
      <c r="H111" s="35">
        <v>0</v>
      </c>
      <c r="I111" s="35">
        <v>21386</v>
      </c>
      <c r="J111" s="35">
        <v>0</v>
      </c>
      <c r="K111" s="35">
        <v>46668</v>
      </c>
      <c r="L111" s="35">
        <v>156</v>
      </c>
      <c r="M111" s="35">
        <v>978263</v>
      </c>
      <c r="N111" s="35">
        <v>255</v>
      </c>
      <c r="O111" s="35">
        <v>0</v>
      </c>
      <c r="P111" s="35">
        <v>0</v>
      </c>
      <c r="Q111" s="35">
        <v>18939</v>
      </c>
      <c r="R111" s="35">
        <v>0</v>
      </c>
      <c r="S111" s="35">
        <v>58321</v>
      </c>
      <c r="T111" s="40">
        <f t="shared" si="14"/>
        <v>1138459</v>
      </c>
      <c r="V111" s="35">
        <v>4401</v>
      </c>
      <c r="W111" s="35">
        <v>0</v>
      </c>
      <c r="X111" s="40">
        <f t="shared" si="19"/>
        <v>4401</v>
      </c>
      <c r="Z111" s="35">
        <v>0</v>
      </c>
      <c r="AA111" s="35">
        <v>0</v>
      </c>
      <c r="AB111" s="35">
        <v>0</v>
      </c>
      <c r="AC111" s="35">
        <v>0</v>
      </c>
      <c r="AD111" s="35">
        <v>0</v>
      </c>
      <c r="AE111" s="35">
        <v>0</v>
      </c>
      <c r="AF111" s="35">
        <v>54982</v>
      </c>
      <c r="AG111" s="35">
        <v>0</v>
      </c>
      <c r="AH111" s="35">
        <v>0</v>
      </c>
      <c r="AI111" s="35">
        <v>308</v>
      </c>
      <c r="AJ111" s="35">
        <v>0</v>
      </c>
      <c r="AK111" s="35">
        <v>0</v>
      </c>
      <c r="AL111" s="35">
        <v>35177</v>
      </c>
      <c r="AM111" s="35">
        <v>0</v>
      </c>
      <c r="AN111" s="40">
        <f t="shared" si="20"/>
        <v>90467</v>
      </c>
      <c r="AP111" s="35">
        <v>0</v>
      </c>
      <c r="AQ111" s="35">
        <v>0</v>
      </c>
      <c r="AR111" s="35">
        <v>543</v>
      </c>
      <c r="AS111" s="35">
        <v>0</v>
      </c>
      <c r="AT111" s="35">
        <v>276</v>
      </c>
      <c r="AU111" s="35">
        <v>0</v>
      </c>
      <c r="AV111" s="40">
        <f t="shared" si="21"/>
        <v>819</v>
      </c>
      <c r="AX111" s="40">
        <f t="shared" si="15"/>
        <v>1234146</v>
      </c>
    </row>
    <row r="112" spans="1:50" x14ac:dyDescent="0.2">
      <c r="A112" s="29">
        <v>6</v>
      </c>
      <c r="B112" s="29">
        <v>202306</v>
      </c>
      <c r="C112" s="29">
        <v>15</v>
      </c>
      <c r="D112" s="35">
        <v>0</v>
      </c>
      <c r="E112" s="35">
        <v>7821</v>
      </c>
      <c r="F112" s="35">
        <v>0</v>
      </c>
      <c r="G112" s="35">
        <v>14932</v>
      </c>
      <c r="H112" s="35">
        <v>0</v>
      </c>
      <c r="I112" s="35">
        <v>9015</v>
      </c>
      <c r="J112" s="35">
        <v>6743</v>
      </c>
      <c r="K112" s="35">
        <v>26355</v>
      </c>
      <c r="L112" s="35">
        <v>19927</v>
      </c>
      <c r="M112" s="35">
        <v>396185</v>
      </c>
      <c r="N112" s="35">
        <v>290</v>
      </c>
      <c r="O112" s="35">
        <v>387</v>
      </c>
      <c r="P112" s="35">
        <v>2047</v>
      </c>
      <c r="Q112" s="35">
        <v>17915</v>
      </c>
      <c r="R112" s="35">
        <v>0</v>
      </c>
      <c r="S112" s="35">
        <v>76213</v>
      </c>
      <c r="T112" s="40">
        <f t="shared" si="14"/>
        <v>577830</v>
      </c>
      <c r="V112" s="35">
        <v>3178</v>
      </c>
      <c r="W112" s="35">
        <v>94</v>
      </c>
      <c r="X112" s="40">
        <f t="shared" si="19"/>
        <v>3272</v>
      </c>
      <c r="Z112" s="35">
        <v>0</v>
      </c>
      <c r="AA112" s="35">
        <v>4334</v>
      </c>
      <c r="AB112" s="35">
        <v>1900</v>
      </c>
      <c r="AC112" s="35">
        <v>0</v>
      </c>
      <c r="AD112" s="35">
        <v>0</v>
      </c>
      <c r="AE112" s="35">
        <v>81</v>
      </c>
      <c r="AF112" s="35">
        <v>36184</v>
      </c>
      <c r="AG112" s="35">
        <v>1627</v>
      </c>
      <c r="AH112" s="35">
        <v>0</v>
      </c>
      <c r="AI112" s="35">
        <v>0</v>
      </c>
      <c r="AJ112" s="35">
        <v>0</v>
      </c>
      <c r="AK112" s="35">
        <v>894</v>
      </c>
      <c r="AL112" s="35">
        <v>263</v>
      </c>
      <c r="AM112" s="35">
        <v>0</v>
      </c>
      <c r="AN112" s="40">
        <f t="shared" si="20"/>
        <v>45283</v>
      </c>
      <c r="AP112" s="35">
        <v>206</v>
      </c>
      <c r="AQ112" s="35">
        <v>0</v>
      </c>
      <c r="AR112" s="35">
        <v>1968</v>
      </c>
      <c r="AS112" s="35">
        <v>0</v>
      </c>
      <c r="AT112" s="35">
        <v>2659</v>
      </c>
      <c r="AU112" s="35">
        <v>0</v>
      </c>
      <c r="AV112" s="40">
        <f t="shared" si="21"/>
        <v>4833</v>
      </c>
      <c r="AX112" s="40">
        <f t="shared" si="15"/>
        <v>631218</v>
      </c>
    </row>
    <row r="113" spans="1:50" x14ac:dyDescent="0.2">
      <c r="A113" s="29">
        <v>6</v>
      </c>
      <c r="B113" s="29">
        <v>202306</v>
      </c>
      <c r="C113" s="29">
        <v>21</v>
      </c>
      <c r="D113" s="35">
        <v>0</v>
      </c>
      <c r="E113" s="35">
        <v>0</v>
      </c>
      <c r="F113" s="35">
        <v>0</v>
      </c>
      <c r="G113" s="35">
        <v>0</v>
      </c>
      <c r="H113" s="35">
        <v>0</v>
      </c>
      <c r="I113" s="35">
        <v>0</v>
      </c>
      <c r="J113" s="35">
        <v>0</v>
      </c>
      <c r="K113" s="35">
        <v>0</v>
      </c>
      <c r="L113" s="35">
        <v>0</v>
      </c>
      <c r="M113" s="35">
        <v>0</v>
      </c>
      <c r="N113" s="35">
        <v>0</v>
      </c>
      <c r="O113" s="35">
        <v>0</v>
      </c>
      <c r="P113" s="35">
        <v>0</v>
      </c>
      <c r="Q113" s="35">
        <v>0</v>
      </c>
      <c r="R113" s="35">
        <v>0</v>
      </c>
      <c r="S113" s="35">
        <v>0</v>
      </c>
      <c r="T113" s="40">
        <f t="shared" si="14"/>
        <v>0</v>
      </c>
      <c r="V113" s="35">
        <v>0</v>
      </c>
      <c r="W113" s="35">
        <v>0</v>
      </c>
      <c r="X113" s="40">
        <f t="shared" si="19"/>
        <v>0</v>
      </c>
      <c r="Z113" s="35">
        <v>0</v>
      </c>
      <c r="AA113" s="35">
        <v>0</v>
      </c>
      <c r="AB113" s="35">
        <v>0</v>
      </c>
      <c r="AC113" s="35">
        <v>0</v>
      </c>
      <c r="AD113" s="35">
        <v>0</v>
      </c>
      <c r="AE113" s="35">
        <v>0</v>
      </c>
      <c r="AF113" s="35">
        <v>0</v>
      </c>
      <c r="AG113" s="35">
        <v>0</v>
      </c>
      <c r="AH113" s="35">
        <v>0</v>
      </c>
      <c r="AI113" s="35">
        <v>0</v>
      </c>
      <c r="AJ113" s="35">
        <v>0</v>
      </c>
      <c r="AK113" s="35">
        <v>0</v>
      </c>
      <c r="AL113" s="35">
        <v>0</v>
      </c>
      <c r="AM113" s="35">
        <v>0</v>
      </c>
      <c r="AN113" s="40">
        <f t="shared" si="20"/>
        <v>0</v>
      </c>
      <c r="AP113" s="35">
        <v>0</v>
      </c>
      <c r="AQ113" s="35">
        <v>0</v>
      </c>
      <c r="AR113" s="35">
        <v>0</v>
      </c>
      <c r="AS113" s="35">
        <v>0</v>
      </c>
      <c r="AT113" s="35">
        <v>0</v>
      </c>
      <c r="AU113" s="35">
        <v>0</v>
      </c>
      <c r="AV113" s="40">
        <f t="shared" si="21"/>
        <v>0</v>
      </c>
      <c r="AX113" s="40">
        <f t="shared" si="15"/>
        <v>0</v>
      </c>
    </row>
    <row r="114" spans="1:50" x14ac:dyDescent="0.2">
      <c r="A114" s="29">
        <v>6</v>
      </c>
      <c r="B114" s="29">
        <v>202306</v>
      </c>
      <c r="C114" s="29">
        <v>23</v>
      </c>
      <c r="D114" s="35">
        <v>2601</v>
      </c>
      <c r="E114" s="35">
        <v>942418</v>
      </c>
      <c r="F114" s="35">
        <v>39936</v>
      </c>
      <c r="G114" s="35">
        <v>1198438</v>
      </c>
      <c r="H114" s="35">
        <v>14360</v>
      </c>
      <c r="I114" s="35">
        <v>1284288</v>
      </c>
      <c r="J114" s="35">
        <v>485905</v>
      </c>
      <c r="K114" s="35">
        <v>2221161</v>
      </c>
      <c r="L114" s="35">
        <v>2439749</v>
      </c>
      <c r="M114" s="35">
        <v>15292188</v>
      </c>
      <c r="N114" s="35">
        <v>202906</v>
      </c>
      <c r="O114" s="35">
        <v>36183</v>
      </c>
      <c r="P114" s="35">
        <v>77836</v>
      </c>
      <c r="Q114" s="35">
        <v>1840909</v>
      </c>
      <c r="R114" s="35">
        <v>455869</v>
      </c>
      <c r="S114" s="35">
        <v>4964262</v>
      </c>
      <c r="T114" s="40">
        <f t="shared" si="14"/>
        <v>31499009</v>
      </c>
      <c r="V114" s="35">
        <v>615878</v>
      </c>
      <c r="W114" s="35">
        <v>10968</v>
      </c>
      <c r="X114" s="40">
        <f t="shared" si="19"/>
        <v>626846</v>
      </c>
      <c r="Z114" s="35">
        <v>1428</v>
      </c>
      <c r="AA114" s="35">
        <v>-91640</v>
      </c>
      <c r="AB114" s="35">
        <v>62194</v>
      </c>
      <c r="AC114" s="35">
        <v>22199</v>
      </c>
      <c r="AD114" s="35">
        <v>4396</v>
      </c>
      <c r="AE114" s="35">
        <v>73204</v>
      </c>
      <c r="AF114" s="35">
        <v>434065</v>
      </c>
      <c r="AG114" s="35">
        <v>100291</v>
      </c>
      <c r="AH114" s="35">
        <v>16955</v>
      </c>
      <c r="AI114" s="35">
        <v>8344</v>
      </c>
      <c r="AJ114" s="35">
        <v>25662</v>
      </c>
      <c r="AK114" s="35">
        <v>93472</v>
      </c>
      <c r="AL114" s="35">
        <v>112035</v>
      </c>
      <c r="AM114" s="35">
        <v>0</v>
      </c>
      <c r="AN114" s="40">
        <f t="shared" si="20"/>
        <v>862605</v>
      </c>
      <c r="AP114" s="35">
        <v>113141</v>
      </c>
      <c r="AQ114" s="35">
        <v>16213</v>
      </c>
      <c r="AR114" s="35">
        <v>258008</v>
      </c>
      <c r="AS114" s="35">
        <v>7663</v>
      </c>
      <c r="AT114" s="35">
        <v>1167023</v>
      </c>
      <c r="AU114" s="35">
        <v>1440</v>
      </c>
      <c r="AV114" s="40">
        <f t="shared" si="21"/>
        <v>1563488</v>
      </c>
      <c r="AX114" s="40">
        <f t="shared" si="15"/>
        <v>34551948</v>
      </c>
    </row>
    <row r="115" spans="1:50" x14ac:dyDescent="0.2">
      <c r="A115" s="29">
        <v>6</v>
      </c>
      <c r="B115" s="29">
        <v>202306</v>
      </c>
      <c r="C115" s="29">
        <v>31</v>
      </c>
      <c r="D115" s="35">
        <v>0</v>
      </c>
      <c r="E115" s="35">
        <v>0</v>
      </c>
      <c r="F115" s="35">
        <v>0</v>
      </c>
      <c r="G115" s="35">
        <v>0</v>
      </c>
      <c r="H115" s="35">
        <v>0</v>
      </c>
      <c r="I115" s="35">
        <v>0</v>
      </c>
      <c r="J115" s="35">
        <v>0</v>
      </c>
      <c r="K115" s="35">
        <v>0</v>
      </c>
      <c r="L115" s="35">
        <v>0</v>
      </c>
      <c r="M115" s="35">
        <v>12806861</v>
      </c>
      <c r="N115" s="35">
        <v>0</v>
      </c>
      <c r="O115" s="35">
        <v>0</v>
      </c>
      <c r="P115" s="35">
        <v>0</v>
      </c>
      <c r="Q115" s="35">
        <v>0</v>
      </c>
      <c r="R115" s="35">
        <v>0</v>
      </c>
      <c r="S115" s="35">
        <v>0</v>
      </c>
      <c r="T115" s="40">
        <f t="shared" si="14"/>
        <v>12806861</v>
      </c>
      <c r="V115" s="35">
        <v>0</v>
      </c>
      <c r="W115" s="35">
        <v>0</v>
      </c>
      <c r="X115" s="40">
        <f t="shared" si="19"/>
        <v>0</v>
      </c>
      <c r="Z115" s="35">
        <v>0</v>
      </c>
      <c r="AA115" s="35">
        <v>0</v>
      </c>
      <c r="AB115" s="35">
        <v>0</v>
      </c>
      <c r="AC115" s="35">
        <v>0</v>
      </c>
      <c r="AD115" s="35">
        <v>0</v>
      </c>
      <c r="AE115" s="35">
        <v>0</v>
      </c>
      <c r="AF115" s="35">
        <v>0</v>
      </c>
      <c r="AG115" s="35">
        <v>0</v>
      </c>
      <c r="AH115" s="35">
        <v>0</v>
      </c>
      <c r="AI115" s="35">
        <v>0</v>
      </c>
      <c r="AJ115" s="35">
        <v>0</v>
      </c>
      <c r="AK115" s="35">
        <v>0</v>
      </c>
      <c r="AL115" s="35">
        <v>0</v>
      </c>
      <c r="AM115" s="35">
        <v>0</v>
      </c>
      <c r="AN115" s="40">
        <f t="shared" si="20"/>
        <v>0</v>
      </c>
      <c r="AP115" s="35">
        <v>0</v>
      </c>
      <c r="AQ115" s="35">
        <v>0</v>
      </c>
      <c r="AR115" s="35">
        <v>0</v>
      </c>
      <c r="AS115" s="35">
        <v>0</v>
      </c>
      <c r="AT115" s="35">
        <v>0</v>
      </c>
      <c r="AU115" s="35">
        <v>0</v>
      </c>
      <c r="AV115" s="40">
        <f t="shared" si="21"/>
        <v>0</v>
      </c>
      <c r="AX115" s="40">
        <f t="shared" si="15"/>
        <v>12806861</v>
      </c>
    </row>
    <row r="116" spans="1:50" x14ac:dyDescent="0.2">
      <c r="A116" s="29">
        <v>6</v>
      </c>
      <c r="B116" s="29">
        <v>202306</v>
      </c>
      <c r="C116" s="29">
        <v>32</v>
      </c>
      <c r="D116" s="35">
        <v>0</v>
      </c>
      <c r="E116" s="35">
        <v>0</v>
      </c>
      <c r="F116" s="35">
        <v>0</v>
      </c>
      <c r="G116" s="35">
        <v>0</v>
      </c>
      <c r="H116" s="35">
        <v>0</v>
      </c>
      <c r="I116" s="35">
        <v>0</v>
      </c>
      <c r="J116" s="35">
        <v>0</v>
      </c>
      <c r="K116" s="35">
        <v>0</v>
      </c>
      <c r="L116" s="35">
        <v>0</v>
      </c>
      <c r="M116" s="35">
        <v>16651215</v>
      </c>
      <c r="N116" s="35">
        <v>0</v>
      </c>
      <c r="O116" s="35">
        <v>0</v>
      </c>
      <c r="P116" s="35">
        <v>0</v>
      </c>
      <c r="Q116" s="35">
        <v>0</v>
      </c>
      <c r="R116" s="35">
        <v>0</v>
      </c>
      <c r="S116" s="35">
        <v>0</v>
      </c>
      <c r="T116" s="40">
        <f t="shared" si="14"/>
        <v>16651215</v>
      </c>
      <c r="V116" s="35">
        <v>0</v>
      </c>
      <c r="W116" s="35">
        <v>0</v>
      </c>
      <c r="X116" s="40">
        <f t="shared" si="19"/>
        <v>0</v>
      </c>
      <c r="Z116" s="35">
        <v>0</v>
      </c>
      <c r="AA116" s="35">
        <v>0</v>
      </c>
      <c r="AB116" s="35">
        <v>0</v>
      </c>
      <c r="AC116" s="35">
        <v>0</v>
      </c>
      <c r="AD116" s="35">
        <v>0</v>
      </c>
      <c r="AE116" s="35">
        <v>0</v>
      </c>
      <c r="AF116" s="35">
        <v>0</v>
      </c>
      <c r="AG116" s="35">
        <v>0</v>
      </c>
      <c r="AH116" s="35">
        <v>0</v>
      </c>
      <c r="AI116" s="35">
        <v>0</v>
      </c>
      <c r="AJ116" s="35">
        <v>0</v>
      </c>
      <c r="AK116" s="35">
        <v>0</v>
      </c>
      <c r="AL116" s="35">
        <v>0</v>
      </c>
      <c r="AM116" s="35">
        <v>0</v>
      </c>
      <c r="AN116" s="40">
        <f t="shared" si="20"/>
        <v>0</v>
      </c>
      <c r="AP116" s="35">
        <v>0</v>
      </c>
      <c r="AQ116" s="35">
        <v>0</v>
      </c>
      <c r="AR116" s="35">
        <v>0</v>
      </c>
      <c r="AS116" s="35">
        <v>0</v>
      </c>
      <c r="AT116" s="35">
        <v>0</v>
      </c>
      <c r="AU116" s="35">
        <v>0</v>
      </c>
      <c r="AV116" s="40">
        <f t="shared" si="21"/>
        <v>0</v>
      </c>
      <c r="AX116" s="40">
        <f t="shared" si="15"/>
        <v>16651215</v>
      </c>
    </row>
    <row r="117" spans="1:50" x14ac:dyDescent="0.2">
      <c r="A117" s="29">
        <v>7</v>
      </c>
      <c r="B117" s="29">
        <v>202307</v>
      </c>
      <c r="C117" s="29">
        <v>1</v>
      </c>
      <c r="D117" s="35">
        <v>176778</v>
      </c>
      <c r="E117" s="35">
        <v>2001509</v>
      </c>
      <c r="F117" s="35">
        <v>136844</v>
      </c>
      <c r="G117" s="35">
        <v>13807954</v>
      </c>
      <c r="H117" s="35">
        <v>359016</v>
      </c>
      <c r="I117" s="35">
        <v>14136396</v>
      </c>
      <c r="J117" s="35">
        <v>6728095</v>
      </c>
      <c r="K117" s="35">
        <v>10340630</v>
      </c>
      <c r="L117" s="35">
        <v>17293695</v>
      </c>
      <c r="M117" s="35">
        <v>56024794</v>
      </c>
      <c r="N117" s="35">
        <v>681211</v>
      </c>
      <c r="O117" s="35">
        <v>468588</v>
      </c>
      <c r="P117" s="35">
        <v>579215</v>
      </c>
      <c r="Q117" s="35">
        <v>6348893</v>
      </c>
      <c r="R117" s="35">
        <v>499591</v>
      </c>
      <c r="S117" s="35">
        <v>26065984</v>
      </c>
      <c r="T117" s="40">
        <f t="shared" si="14"/>
        <v>155649193</v>
      </c>
      <c r="V117" s="35">
        <v>2608797</v>
      </c>
      <c r="W117" s="35">
        <v>26908</v>
      </c>
      <c r="X117" s="40">
        <f>SUM(V117:W117)</f>
        <v>2635705</v>
      </c>
      <c r="Z117" s="35">
        <v>7805</v>
      </c>
      <c r="AA117" s="35">
        <v>9850</v>
      </c>
      <c r="AB117" s="35">
        <v>1398181</v>
      </c>
      <c r="AC117" s="35">
        <v>362628</v>
      </c>
      <c r="AD117" s="35">
        <v>101488</v>
      </c>
      <c r="AE117" s="35">
        <v>509132</v>
      </c>
      <c r="AF117" s="35">
        <v>1676553</v>
      </c>
      <c r="AG117" s="35">
        <v>2284817</v>
      </c>
      <c r="AH117" s="35">
        <v>14280</v>
      </c>
      <c r="AI117" s="35">
        <v>724288</v>
      </c>
      <c r="AJ117" s="35">
        <v>52636</v>
      </c>
      <c r="AK117" s="35">
        <v>768528</v>
      </c>
      <c r="AL117" s="35">
        <v>190760</v>
      </c>
      <c r="AM117" s="35">
        <v>0</v>
      </c>
      <c r="AN117" s="40">
        <f>SUM(Z117:AM117)</f>
        <v>8100946</v>
      </c>
      <c r="AO117" s="35"/>
      <c r="AP117" s="35">
        <v>724567</v>
      </c>
      <c r="AQ117" s="35">
        <v>134727</v>
      </c>
      <c r="AR117" s="35">
        <v>2602282</v>
      </c>
      <c r="AS117" s="35">
        <v>70954</v>
      </c>
      <c r="AT117" s="35">
        <v>4552973</v>
      </c>
      <c r="AU117" s="35">
        <v>37517</v>
      </c>
      <c r="AV117" s="40">
        <f>SUM(AP117:AU117)</f>
        <v>8123020</v>
      </c>
      <c r="AX117" s="40">
        <f t="shared" si="15"/>
        <v>174508864</v>
      </c>
    </row>
    <row r="118" spans="1:50" x14ac:dyDescent="0.2">
      <c r="A118" s="29">
        <v>7</v>
      </c>
      <c r="B118" s="29">
        <v>202307</v>
      </c>
      <c r="C118" s="29">
        <v>2</v>
      </c>
      <c r="D118" s="35">
        <v>170</v>
      </c>
      <c r="E118" s="35">
        <v>0</v>
      </c>
      <c r="F118" s="35">
        <v>0</v>
      </c>
      <c r="G118" s="35">
        <v>38475</v>
      </c>
      <c r="H118" s="35">
        <v>2660</v>
      </c>
      <c r="I118" s="35">
        <v>23831</v>
      </c>
      <c r="J118" s="35">
        <v>3628</v>
      </c>
      <c r="K118" s="35">
        <v>11793</v>
      </c>
      <c r="L118" s="35">
        <v>55318</v>
      </c>
      <c r="M118" s="35">
        <v>118826</v>
      </c>
      <c r="N118" s="35">
        <v>593</v>
      </c>
      <c r="O118" s="35">
        <v>346</v>
      </c>
      <c r="P118" s="35">
        <v>1015</v>
      </c>
      <c r="Q118" s="35">
        <v>20808</v>
      </c>
      <c r="R118" s="35">
        <v>12</v>
      </c>
      <c r="S118" s="35">
        <v>41738</v>
      </c>
      <c r="T118" s="40">
        <f t="shared" si="14"/>
        <v>319213</v>
      </c>
      <c r="V118" s="35">
        <v>599</v>
      </c>
      <c r="W118" s="35">
        <v>0</v>
      </c>
      <c r="X118" s="40">
        <f t="shared" ref="X118:X135" si="22">SUM(V118:W118)</f>
        <v>599</v>
      </c>
      <c r="Z118" s="35">
        <v>0</v>
      </c>
      <c r="AA118" s="35">
        <v>0</v>
      </c>
      <c r="AB118" s="35">
        <v>3056</v>
      </c>
      <c r="AC118" s="35">
        <v>1874</v>
      </c>
      <c r="AD118" s="35">
        <v>1537</v>
      </c>
      <c r="AE118" s="35">
        <v>656</v>
      </c>
      <c r="AF118" s="35">
        <v>2373</v>
      </c>
      <c r="AG118" s="35">
        <v>5897</v>
      </c>
      <c r="AH118" s="35">
        <v>0</v>
      </c>
      <c r="AI118" s="35">
        <v>782</v>
      </c>
      <c r="AJ118" s="35">
        <v>0</v>
      </c>
      <c r="AK118" s="35">
        <v>2570</v>
      </c>
      <c r="AL118" s="35">
        <v>0</v>
      </c>
      <c r="AM118" s="35">
        <v>0</v>
      </c>
      <c r="AN118" s="40">
        <f t="shared" ref="AN118:AN135" si="23">SUM(Z118:AM118)</f>
        <v>18745</v>
      </c>
      <c r="AP118" s="35">
        <v>1419</v>
      </c>
      <c r="AQ118" s="35">
        <v>0</v>
      </c>
      <c r="AR118" s="35">
        <v>9291</v>
      </c>
      <c r="AS118" s="35">
        <v>0</v>
      </c>
      <c r="AT118" s="35">
        <v>30516</v>
      </c>
      <c r="AU118" s="35">
        <v>0</v>
      </c>
      <c r="AV118" s="40">
        <f t="shared" ref="AV118:AV135" si="24">SUM(AP118:AU118)</f>
        <v>41226</v>
      </c>
      <c r="AX118" s="40">
        <f t="shared" si="15"/>
        <v>379783</v>
      </c>
    </row>
    <row r="119" spans="1:50" x14ac:dyDescent="0.2">
      <c r="A119" s="29">
        <v>7</v>
      </c>
      <c r="B119" s="29">
        <v>202307</v>
      </c>
      <c r="C119" s="29">
        <v>3</v>
      </c>
      <c r="D119" s="35">
        <v>2262</v>
      </c>
      <c r="E119" s="35">
        <v>77773</v>
      </c>
      <c r="F119" s="35">
        <v>0</v>
      </c>
      <c r="G119" s="35">
        <v>103351</v>
      </c>
      <c r="H119" s="35">
        <v>0</v>
      </c>
      <c r="I119" s="35">
        <v>86802</v>
      </c>
      <c r="J119" s="35">
        <v>243542</v>
      </c>
      <c r="K119" s="35">
        <v>383067</v>
      </c>
      <c r="L119" s="35">
        <v>296470</v>
      </c>
      <c r="M119" s="35">
        <v>1647693</v>
      </c>
      <c r="N119" s="35">
        <v>2554</v>
      </c>
      <c r="O119" s="35">
        <v>2470</v>
      </c>
      <c r="P119" s="35">
        <v>1686</v>
      </c>
      <c r="Q119" s="35">
        <v>6581</v>
      </c>
      <c r="R119" s="35">
        <v>2603</v>
      </c>
      <c r="S119" s="35">
        <v>1252706</v>
      </c>
      <c r="T119" s="40">
        <f t="shared" si="14"/>
        <v>4109560</v>
      </c>
      <c r="V119" s="35">
        <v>42131</v>
      </c>
      <c r="W119" s="35">
        <v>1353</v>
      </c>
      <c r="X119" s="40">
        <f t="shared" si="22"/>
        <v>43484</v>
      </c>
      <c r="Z119" s="35">
        <v>0</v>
      </c>
      <c r="AA119" s="35">
        <v>0</v>
      </c>
      <c r="AB119" s="35">
        <v>38579</v>
      </c>
      <c r="AC119" s="35">
        <v>30519</v>
      </c>
      <c r="AD119" s="35">
        <v>2100</v>
      </c>
      <c r="AE119" s="35">
        <v>9484</v>
      </c>
      <c r="AF119" s="35">
        <v>98085</v>
      </c>
      <c r="AG119" s="35">
        <v>19820</v>
      </c>
      <c r="AH119" s="35">
        <v>0</v>
      </c>
      <c r="AI119" s="35">
        <v>9580</v>
      </c>
      <c r="AJ119" s="35">
        <v>533</v>
      </c>
      <c r="AK119" s="35">
        <v>10135</v>
      </c>
      <c r="AL119" s="35">
        <v>3703</v>
      </c>
      <c r="AM119" s="35">
        <v>0</v>
      </c>
      <c r="AN119" s="40">
        <f t="shared" si="23"/>
        <v>222538</v>
      </c>
      <c r="AP119" s="35">
        <v>1598</v>
      </c>
      <c r="AQ119" s="35">
        <v>226</v>
      </c>
      <c r="AR119" s="35">
        <v>0</v>
      </c>
      <c r="AS119" s="35">
        <v>0</v>
      </c>
      <c r="AT119" s="35">
        <v>2125</v>
      </c>
      <c r="AU119" s="35">
        <v>0</v>
      </c>
      <c r="AV119" s="40">
        <f t="shared" si="24"/>
        <v>3949</v>
      </c>
      <c r="AX119" s="40">
        <f t="shared" si="15"/>
        <v>4379531</v>
      </c>
    </row>
    <row r="120" spans="1:50" x14ac:dyDescent="0.2">
      <c r="A120" s="29">
        <v>7</v>
      </c>
      <c r="B120" s="29">
        <v>202307</v>
      </c>
      <c r="C120" s="29">
        <v>6</v>
      </c>
      <c r="D120" s="35">
        <v>2001</v>
      </c>
      <c r="E120" s="35">
        <v>3272472</v>
      </c>
      <c r="F120" s="35">
        <v>189228</v>
      </c>
      <c r="G120" s="35">
        <v>6155072</v>
      </c>
      <c r="H120" s="35">
        <v>0</v>
      </c>
      <c r="I120" s="35">
        <v>3179339</v>
      </c>
      <c r="J120" s="35">
        <v>2227855</v>
      </c>
      <c r="K120" s="35">
        <v>8214593</v>
      </c>
      <c r="L120" s="35">
        <v>8296599</v>
      </c>
      <c r="M120" s="35">
        <v>131671883</v>
      </c>
      <c r="N120" s="35">
        <v>350760</v>
      </c>
      <c r="O120" s="35">
        <v>14137</v>
      </c>
      <c r="P120" s="35">
        <v>132569</v>
      </c>
      <c r="Q120" s="35">
        <v>9128544</v>
      </c>
      <c r="R120" s="35">
        <v>1069083</v>
      </c>
      <c r="S120" s="35">
        <v>27947262</v>
      </c>
      <c r="T120" s="40">
        <f t="shared" si="14"/>
        <v>201851397</v>
      </c>
      <c r="V120" s="35">
        <v>1215637</v>
      </c>
      <c r="W120" s="35">
        <v>5453</v>
      </c>
      <c r="X120" s="40">
        <f t="shared" si="22"/>
        <v>1221090</v>
      </c>
      <c r="Z120" s="35">
        <v>0</v>
      </c>
      <c r="AA120" s="35">
        <v>46891</v>
      </c>
      <c r="AB120" s="35">
        <v>1078219</v>
      </c>
      <c r="AC120" s="35">
        <v>51680</v>
      </c>
      <c r="AD120" s="35">
        <v>62000</v>
      </c>
      <c r="AE120" s="35">
        <v>449495</v>
      </c>
      <c r="AF120" s="35">
        <v>2621186</v>
      </c>
      <c r="AG120" s="35">
        <v>497202</v>
      </c>
      <c r="AH120" s="35">
        <v>6881</v>
      </c>
      <c r="AI120" s="35">
        <v>156600</v>
      </c>
      <c r="AJ120" s="35">
        <v>82480</v>
      </c>
      <c r="AK120" s="35">
        <v>129891</v>
      </c>
      <c r="AL120" s="35">
        <v>240072</v>
      </c>
      <c r="AM120" s="35">
        <v>0</v>
      </c>
      <c r="AN120" s="40">
        <f t="shared" si="23"/>
        <v>5422597</v>
      </c>
      <c r="AP120" s="35">
        <v>412883</v>
      </c>
      <c r="AQ120" s="35">
        <v>0</v>
      </c>
      <c r="AR120" s="35">
        <v>970136</v>
      </c>
      <c r="AS120" s="35">
        <v>0</v>
      </c>
      <c r="AT120" s="35">
        <v>3818467</v>
      </c>
      <c r="AU120" s="35">
        <v>0</v>
      </c>
      <c r="AV120" s="40">
        <f t="shared" si="24"/>
        <v>5201486</v>
      </c>
      <c r="AX120" s="40">
        <f t="shared" si="15"/>
        <v>213696570</v>
      </c>
    </row>
    <row r="121" spans="1:50" x14ac:dyDescent="0.2">
      <c r="A121" s="29">
        <v>7</v>
      </c>
      <c r="B121" s="29">
        <v>202307</v>
      </c>
      <c r="C121" s="29" t="s">
        <v>230</v>
      </c>
      <c r="D121" s="35">
        <v>0</v>
      </c>
      <c r="E121" s="35">
        <v>44171</v>
      </c>
      <c r="F121" s="35">
        <v>0</v>
      </c>
      <c r="G121" s="35">
        <v>829858</v>
      </c>
      <c r="H121" s="35">
        <v>28579</v>
      </c>
      <c r="I121" s="35">
        <v>121366</v>
      </c>
      <c r="J121" s="35">
        <v>352360</v>
      </c>
      <c r="K121" s="35">
        <v>936838</v>
      </c>
      <c r="L121" s="35">
        <v>280625</v>
      </c>
      <c r="M121" s="35">
        <v>5934589</v>
      </c>
      <c r="N121" s="35">
        <v>1760</v>
      </c>
      <c r="O121" s="35">
        <v>2080</v>
      </c>
      <c r="P121" s="35">
        <v>2320</v>
      </c>
      <c r="Q121" s="35">
        <v>414177</v>
      </c>
      <c r="R121" s="35">
        <v>4080</v>
      </c>
      <c r="S121" s="35">
        <v>1001178</v>
      </c>
      <c r="T121" s="40">
        <f t="shared" si="14"/>
        <v>9953981</v>
      </c>
      <c r="V121" s="35">
        <v>21840</v>
      </c>
      <c r="W121" s="35">
        <v>0</v>
      </c>
      <c r="X121" s="40">
        <f t="shared" si="22"/>
        <v>21840</v>
      </c>
      <c r="Z121" s="35">
        <v>0</v>
      </c>
      <c r="AA121" s="35">
        <v>5816</v>
      </c>
      <c r="AB121" s="35">
        <v>9560</v>
      </c>
      <c r="AC121" s="35">
        <v>0</v>
      </c>
      <c r="AD121" s="35">
        <v>0</v>
      </c>
      <c r="AE121" s="35">
        <v>8077</v>
      </c>
      <c r="AF121" s="35">
        <v>307480</v>
      </c>
      <c r="AG121" s="35">
        <v>6480</v>
      </c>
      <c r="AH121" s="35">
        <v>0</v>
      </c>
      <c r="AI121" s="35">
        <v>360</v>
      </c>
      <c r="AJ121" s="35">
        <v>18960</v>
      </c>
      <c r="AK121" s="35">
        <v>0</v>
      </c>
      <c r="AL121" s="35">
        <v>0</v>
      </c>
      <c r="AM121" s="35">
        <v>0</v>
      </c>
      <c r="AN121" s="40">
        <f t="shared" si="23"/>
        <v>356733</v>
      </c>
      <c r="AP121" s="35">
        <v>0</v>
      </c>
      <c r="AQ121" s="35">
        <v>0</v>
      </c>
      <c r="AR121" s="35">
        <v>196797</v>
      </c>
      <c r="AS121" s="35">
        <v>59520</v>
      </c>
      <c r="AT121" s="35">
        <v>270924</v>
      </c>
      <c r="AU121" s="35">
        <v>37800</v>
      </c>
      <c r="AV121" s="40">
        <f t="shared" si="24"/>
        <v>565041</v>
      </c>
      <c r="AX121" s="40">
        <f t="shared" si="15"/>
        <v>10897595</v>
      </c>
    </row>
    <row r="122" spans="1:50" x14ac:dyDescent="0.2">
      <c r="A122" s="29">
        <v>7</v>
      </c>
      <c r="B122" s="29">
        <v>202307</v>
      </c>
      <c r="C122" s="29" t="s">
        <v>231</v>
      </c>
      <c r="D122" s="35">
        <v>0</v>
      </c>
      <c r="E122" s="35">
        <v>0</v>
      </c>
      <c r="F122" s="35">
        <v>0</v>
      </c>
      <c r="G122" s="35">
        <v>0</v>
      </c>
      <c r="H122" s="35">
        <v>0</v>
      </c>
      <c r="I122" s="35">
        <v>0</v>
      </c>
      <c r="J122" s="35">
        <v>0</v>
      </c>
      <c r="K122" s="35">
        <v>0</v>
      </c>
      <c r="L122" s="35">
        <v>0</v>
      </c>
      <c r="M122" s="35">
        <v>0</v>
      </c>
      <c r="N122" s="35">
        <v>0</v>
      </c>
      <c r="O122" s="35">
        <v>0</v>
      </c>
      <c r="P122" s="35">
        <v>0</v>
      </c>
      <c r="Q122" s="35">
        <v>0</v>
      </c>
      <c r="R122" s="35">
        <v>0</v>
      </c>
      <c r="S122" s="35">
        <v>0</v>
      </c>
      <c r="T122" s="40">
        <f t="shared" si="14"/>
        <v>0</v>
      </c>
      <c r="V122" s="35">
        <v>0</v>
      </c>
      <c r="W122" s="35">
        <v>0</v>
      </c>
      <c r="X122" s="40">
        <f t="shared" si="22"/>
        <v>0</v>
      </c>
      <c r="Z122" s="35">
        <v>0</v>
      </c>
      <c r="AA122" s="35">
        <v>0</v>
      </c>
      <c r="AB122" s="35">
        <v>0</v>
      </c>
      <c r="AC122" s="35">
        <v>0</v>
      </c>
      <c r="AD122" s="35">
        <v>0</v>
      </c>
      <c r="AE122" s="35">
        <v>0</v>
      </c>
      <c r="AF122" s="35">
        <v>0</v>
      </c>
      <c r="AG122" s="35">
        <v>0</v>
      </c>
      <c r="AH122" s="35">
        <v>0</v>
      </c>
      <c r="AI122" s="35">
        <v>0</v>
      </c>
      <c r="AJ122" s="35">
        <v>0</v>
      </c>
      <c r="AK122" s="35">
        <v>0</v>
      </c>
      <c r="AL122" s="35">
        <v>0</v>
      </c>
      <c r="AM122" s="35">
        <v>0</v>
      </c>
      <c r="AN122" s="40">
        <f t="shared" si="23"/>
        <v>0</v>
      </c>
      <c r="AP122" s="35">
        <v>0</v>
      </c>
      <c r="AQ122" s="35">
        <v>0</v>
      </c>
      <c r="AR122" s="35">
        <v>0</v>
      </c>
      <c r="AS122" s="35">
        <v>0</v>
      </c>
      <c r="AT122" s="35">
        <v>0</v>
      </c>
      <c r="AU122" s="35">
        <v>0</v>
      </c>
      <c r="AV122" s="40">
        <f t="shared" si="24"/>
        <v>0</v>
      </c>
      <c r="AX122" s="40">
        <f t="shared" si="15"/>
        <v>0</v>
      </c>
    </row>
    <row r="123" spans="1:50" x14ac:dyDescent="0.2">
      <c r="A123" s="29">
        <v>7</v>
      </c>
      <c r="B123" s="29">
        <v>202307</v>
      </c>
      <c r="C123" s="29">
        <v>7</v>
      </c>
      <c r="D123" s="35">
        <v>0</v>
      </c>
      <c r="E123" s="35">
        <v>6873</v>
      </c>
      <c r="F123" s="35">
        <v>0</v>
      </c>
      <c r="G123" s="35">
        <v>4085</v>
      </c>
      <c r="H123" s="35">
        <v>0</v>
      </c>
      <c r="I123" s="35">
        <v>10792</v>
      </c>
      <c r="J123" s="35">
        <v>6954</v>
      </c>
      <c r="K123" s="35">
        <v>16881</v>
      </c>
      <c r="L123" s="35">
        <v>25083</v>
      </c>
      <c r="M123" s="35">
        <v>207308</v>
      </c>
      <c r="N123" s="35">
        <v>1191</v>
      </c>
      <c r="O123" s="35">
        <v>177</v>
      </c>
      <c r="P123" s="35">
        <v>304</v>
      </c>
      <c r="Q123" s="35">
        <v>711</v>
      </c>
      <c r="R123" s="35">
        <v>259</v>
      </c>
      <c r="S123" s="35">
        <v>53130</v>
      </c>
      <c r="T123" s="40">
        <f t="shared" si="14"/>
        <v>333748</v>
      </c>
      <c r="V123" s="35">
        <v>3183</v>
      </c>
      <c r="W123" s="35">
        <v>78</v>
      </c>
      <c r="X123" s="40">
        <f t="shared" si="22"/>
        <v>3261</v>
      </c>
      <c r="Z123" s="35">
        <v>0</v>
      </c>
      <c r="AA123" s="35">
        <v>0</v>
      </c>
      <c r="AB123" s="35">
        <v>285</v>
      </c>
      <c r="AC123" s="35">
        <v>444</v>
      </c>
      <c r="AD123" s="35">
        <v>296</v>
      </c>
      <c r="AE123" s="35">
        <v>69</v>
      </c>
      <c r="AF123" s="35">
        <v>7409</v>
      </c>
      <c r="AG123" s="35">
        <v>779</v>
      </c>
      <c r="AH123" s="35">
        <v>444</v>
      </c>
      <c r="AI123" s="35">
        <v>0</v>
      </c>
      <c r="AJ123" s="35">
        <v>0</v>
      </c>
      <c r="AK123" s="35">
        <v>56</v>
      </c>
      <c r="AL123" s="35">
        <v>646</v>
      </c>
      <c r="AM123" s="35">
        <v>0</v>
      </c>
      <c r="AN123" s="40">
        <f t="shared" si="23"/>
        <v>10428</v>
      </c>
      <c r="AP123" s="35">
        <v>427</v>
      </c>
      <c r="AQ123" s="35">
        <v>208</v>
      </c>
      <c r="AR123" s="35">
        <v>39</v>
      </c>
      <c r="AS123" s="35">
        <v>97</v>
      </c>
      <c r="AT123" s="35">
        <v>305</v>
      </c>
      <c r="AU123" s="35">
        <v>0</v>
      </c>
      <c r="AV123" s="40">
        <f t="shared" si="24"/>
        <v>1076</v>
      </c>
      <c r="AX123" s="40">
        <f t="shared" si="15"/>
        <v>348513</v>
      </c>
    </row>
    <row r="124" spans="1:50" x14ac:dyDescent="0.2">
      <c r="A124" s="29">
        <v>7</v>
      </c>
      <c r="B124" s="29">
        <v>202307</v>
      </c>
      <c r="C124" s="29">
        <v>8</v>
      </c>
      <c r="D124" s="35">
        <v>0</v>
      </c>
      <c r="E124" s="35">
        <v>0</v>
      </c>
      <c r="F124" s="35">
        <v>0</v>
      </c>
      <c r="G124" s="35">
        <v>0</v>
      </c>
      <c r="H124" s="35">
        <v>0</v>
      </c>
      <c r="I124" s="35">
        <v>345600</v>
      </c>
      <c r="J124" s="35">
        <v>156800</v>
      </c>
      <c r="K124" s="35">
        <v>0</v>
      </c>
      <c r="L124" s="35">
        <v>1468800</v>
      </c>
      <c r="M124" s="35">
        <v>47825658</v>
      </c>
      <c r="N124" s="35">
        <v>0</v>
      </c>
      <c r="O124" s="35">
        <v>0</v>
      </c>
      <c r="P124" s="35">
        <v>0</v>
      </c>
      <c r="Q124" s="35">
        <v>5400</v>
      </c>
      <c r="R124" s="35">
        <v>0</v>
      </c>
      <c r="S124" s="35">
        <v>9831500</v>
      </c>
      <c r="T124" s="40">
        <f t="shared" si="14"/>
        <v>59633758</v>
      </c>
      <c r="V124" s="35">
        <v>0</v>
      </c>
      <c r="W124" s="35">
        <v>0</v>
      </c>
      <c r="X124" s="40">
        <f t="shared" si="22"/>
        <v>0</v>
      </c>
      <c r="Z124" s="35">
        <v>318600</v>
      </c>
      <c r="AA124" s="35">
        <v>0</v>
      </c>
      <c r="AB124" s="35">
        <v>262800</v>
      </c>
      <c r="AC124" s="35">
        <v>0</v>
      </c>
      <c r="AD124" s="35">
        <v>0</v>
      </c>
      <c r="AE124" s="35">
        <v>1436400</v>
      </c>
      <c r="AF124" s="35">
        <v>916800</v>
      </c>
      <c r="AG124" s="35">
        <v>0</v>
      </c>
      <c r="AH124" s="35">
        <v>0</v>
      </c>
      <c r="AI124" s="35">
        <v>0</v>
      </c>
      <c r="AJ124" s="35">
        <v>0</v>
      </c>
      <c r="AK124" s="35">
        <v>0</v>
      </c>
      <c r="AL124" s="35">
        <v>0</v>
      </c>
      <c r="AM124" s="35">
        <v>0</v>
      </c>
      <c r="AN124" s="40">
        <f t="shared" si="23"/>
        <v>2934600</v>
      </c>
      <c r="AP124" s="35">
        <v>0</v>
      </c>
      <c r="AQ124" s="35">
        <v>0</v>
      </c>
      <c r="AR124" s="35">
        <v>0</v>
      </c>
      <c r="AS124" s="35">
        <v>0</v>
      </c>
      <c r="AT124" s="35">
        <v>586100</v>
      </c>
      <c r="AU124" s="35">
        <v>0</v>
      </c>
      <c r="AV124" s="40">
        <f t="shared" si="24"/>
        <v>586100</v>
      </c>
      <c r="AX124" s="40">
        <f t="shared" si="15"/>
        <v>63154458</v>
      </c>
    </row>
    <row r="125" spans="1:50" x14ac:dyDescent="0.2">
      <c r="A125" s="29">
        <v>7</v>
      </c>
      <c r="B125" s="29">
        <v>202307</v>
      </c>
      <c r="C125" s="29">
        <v>9</v>
      </c>
      <c r="D125" s="35">
        <v>0</v>
      </c>
      <c r="E125" s="35">
        <v>0</v>
      </c>
      <c r="F125" s="35">
        <v>0</v>
      </c>
      <c r="G125" s="35">
        <v>628800</v>
      </c>
      <c r="H125" s="35">
        <v>0</v>
      </c>
      <c r="I125" s="35">
        <v>0</v>
      </c>
      <c r="J125" s="35">
        <v>0</v>
      </c>
      <c r="K125" s="35">
        <v>0</v>
      </c>
      <c r="L125" s="35">
        <v>0</v>
      </c>
      <c r="M125" s="35">
        <v>14533336</v>
      </c>
      <c r="N125" s="35">
        <v>0</v>
      </c>
      <c r="O125" s="35">
        <v>0</v>
      </c>
      <c r="P125" s="35">
        <v>0</v>
      </c>
      <c r="Q125" s="35">
        <v>0</v>
      </c>
      <c r="R125" s="35">
        <v>0</v>
      </c>
      <c r="S125" s="35">
        <v>22764800</v>
      </c>
      <c r="T125" s="40">
        <f t="shared" si="14"/>
        <v>37926936</v>
      </c>
      <c r="V125" s="35">
        <v>1240427</v>
      </c>
      <c r="W125" s="35">
        <v>0</v>
      </c>
      <c r="X125" s="40">
        <f t="shared" si="22"/>
        <v>1240427</v>
      </c>
      <c r="Z125" s="35">
        <v>0</v>
      </c>
      <c r="AA125" s="35">
        <v>0</v>
      </c>
      <c r="AB125" s="35">
        <v>0</v>
      </c>
      <c r="AC125" s="35">
        <v>0</v>
      </c>
      <c r="AD125" s="35">
        <v>0</v>
      </c>
      <c r="AE125" s="35">
        <v>0</v>
      </c>
      <c r="AF125" s="35">
        <v>1638000</v>
      </c>
      <c r="AG125" s="35">
        <v>0</v>
      </c>
      <c r="AH125" s="35">
        <v>0</v>
      </c>
      <c r="AI125" s="35">
        <v>0</v>
      </c>
      <c r="AJ125" s="35">
        <v>0</v>
      </c>
      <c r="AK125" s="35">
        <v>49680</v>
      </c>
      <c r="AL125" s="35">
        <v>0</v>
      </c>
      <c r="AM125" s="35">
        <v>0</v>
      </c>
      <c r="AN125" s="40">
        <f t="shared" si="23"/>
        <v>1687680</v>
      </c>
      <c r="AP125" s="35">
        <v>0</v>
      </c>
      <c r="AQ125" s="35">
        <v>0</v>
      </c>
      <c r="AR125" s="35">
        <v>0</v>
      </c>
      <c r="AS125" s="35">
        <v>0</v>
      </c>
      <c r="AT125" s="35">
        <v>0</v>
      </c>
      <c r="AU125" s="35">
        <v>0</v>
      </c>
      <c r="AV125" s="40">
        <f t="shared" si="24"/>
        <v>0</v>
      </c>
      <c r="AX125" s="40">
        <f t="shared" si="15"/>
        <v>40855043</v>
      </c>
    </row>
    <row r="126" spans="1:50" x14ac:dyDescent="0.2">
      <c r="A126" s="29">
        <v>7</v>
      </c>
      <c r="B126" s="29">
        <v>202307</v>
      </c>
      <c r="C126" s="29" t="s">
        <v>234</v>
      </c>
      <c r="D126" s="35">
        <v>0</v>
      </c>
      <c r="E126" s="35">
        <v>0</v>
      </c>
      <c r="F126" s="35">
        <v>0</v>
      </c>
      <c r="G126" s="35">
        <v>0</v>
      </c>
      <c r="H126" s="35">
        <v>0</v>
      </c>
      <c r="I126" s="35">
        <v>0</v>
      </c>
      <c r="J126" s="35">
        <v>0</v>
      </c>
      <c r="K126" s="35">
        <v>0</v>
      </c>
      <c r="L126" s="35">
        <v>0</v>
      </c>
      <c r="M126" s="35">
        <v>313200</v>
      </c>
      <c r="N126" s="35">
        <v>0</v>
      </c>
      <c r="O126" s="35">
        <v>0</v>
      </c>
      <c r="P126" s="35">
        <v>0</v>
      </c>
      <c r="Q126" s="35">
        <v>0</v>
      </c>
      <c r="R126" s="35">
        <v>0</v>
      </c>
      <c r="S126" s="35">
        <v>0</v>
      </c>
      <c r="T126" s="40">
        <f t="shared" si="14"/>
        <v>313200</v>
      </c>
      <c r="V126" s="35">
        <v>0</v>
      </c>
      <c r="W126" s="35">
        <v>0</v>
      </c>
      <c r="X126" s="40">
        <f t="shared" si="22"/>
        <v>0</v>
      </c>
      <c r="Z126" s="35">
        <v>0</v>
      </c>
      <c r="AA126" s="35">
        <v>0</v>
      </c>
      <c r="AB126" s="35">
        <v>0</v>
      </c>
      <c r="AC126" s="35">
        <v>0</v>
      </c>
      <c r="AD126" s="35">
        <v>0</v>
      </c>
      <c r="AE126" s="35">
        <v>0</v>
      </c>
      <c r="AF126" s="35">
        <v>0</v>
      </c>
      <c r="AG126" s="35">
        <v>0</v>
      </c>
      <c r="AH126" s="35">
        <v>0</v>
      </c>
      <c r="AI126" s="35">
        <v>0</v>
      </c>
      <c r="AJ126" s="35">
        <v>0</v>
      </c>
      <c r="AK126" s="35">
        <v>0</v>
      </c>
      <c r="AL126" s="35">
        <v>0</v>
      </c>
      <c r="AM126" s="35">
        <v>0</v>
      </c>
      <c r="AN126" s="40">
        <f t="shared" si="23"/>
        <v>0</v>
      </c>
      <c r="AP126" s="35">
        <v>0</v>
      </c>
      <c r="AQ126" s="35">
        <v>0</v>
      </c>
      <c r="AR126" s="35">
        <v>0</v>
      </c>
      <c r="AS126" s="35">
        <v>0</v>
      </c>
      <c r="AT126" s="35">
        <v>0</v>
      </c>
      <c r="AU126" s="35">
        <v>0</v>
      </c>
      <c r="AV126" s="40">
        <f t="shared" si="24"/>
        <v>0</v>
      </c>
      <c r="AX126" s="40">
        <f t="shared" si="15"/>
        <v>313200</v>
      </c>
    </row>
    <row r="127" spans="1:50" x14ac:dyDescent="0.2">
      <c r="A127" s="29">
        <v>7</v>
      </c>
      <c r="B127" s="29">
        <v>202307</v>
      </c>
      <c r="C127" s="29" t="s">
        <v>235</v>
      </c>
      <c r="D127" s="35">
        <v>0</v>
      </c>
      <c r="E127" s="35">
        <v>0</v>
      </c>
      <c r="F127" s="35">
        <v>0</v>
      </c>
      <c r="G127" s="35">
        <v>0</v>
      </c>
      <c r="H127" s="35">
        <v>0</v>
      </c>
      <c r="I127" s="35">
        <v>0</v>
      </c>
      <c r="J127" s="35">
        <v>0</v>
      </c>
      <c r="K127" s="35">
        <v>0</v>
      </c>
      <c r="L127" s="35">
        <v>0</v>
      </c>
      <c r="M127" s="35">
        <v>175911</v>
      </c>
      <c r="N127" s="35">
        <v>0</v>
      </c>
      <c r="O127" s="35">
        <v>0</v>
      </c>
      <c r="P127" s="35">
        <v>0</v>
      </c>
      <c r="Q127" s="35">
        <v>0</v>
      </c>
      <c r="R127" s="35">
        <v>0</v>
      </c>
      <c r="S127" s="35">
        <v>1885053</v>
      </c>
      <c r="T127" s="40">
        <f t="shared" si="14"/>
        <v>2060964</v>
      </c>
      <c r="V127" s="35">
        <v>0</v>
      </c>
      <c r="W127" s="35">
        <v>0</v>
      </c>
      <c r="X127" s="40">
        <f t="shared" si="22"/>
        <v>0</v>
      </c>
      <c r="Z127" s="35">
        <v>0</v>
      </c>
      <c r="AA127" s="35">
        <v>0</v>
      </c>
      <c r="AB127" s="35">
        <v>22228000</v>
      </c>
      <c r="AC127" s="35">
        <v>0</v>
      </c>
      <c r="AD127" s="35">
        <v>0</v>
      </c>
      <c r="AE127" s="35">
        <v>0</v>
      </c>
      <c r="AF127" s="35">
        <v>0</v>
      </c>
      <c r="AG127" s="35">
        <v>0</v>
      </c>
      <c r="AH127" s="35">
        <v>0</v>
      </c>
      <c r="AI127" s="35">
        <v>0</v>
      </c>
      <c r="AJ127" s="35">
        <v>0</v>
      </c>
      <c r="AK127" s="35">
        <v>0</v>
      </c>
      <c r="AL127" s="35">
        <v>0</v>
      </c>
      <c r="AM127" s="35">
        <v>0</v>
      </c>
      <c r="AN127" s="40">
        <f t="shared" si="23"/>
        <v>22228000</v>
      </c>
      <c r="AP127" s="35">
        <v>0</v>
      </c>
      <c r="AQ127" s="35">
        <v>0</v>
      </c>
      <c r="AR127" s="35">
        <v>0</v>
      </c>
      <c r="AS127" s="35">
        <v>0</v>
      </c>
      <c r="AT127" s="35">
        <v>0</v>
      </c>
      <c r="AU127" s="35">
        <v>0</v>
      </c>
      <c r="AV127" s="40">
        <f t="shared" si="24"/>
        <v>0</v>
      </c>
      <c r="AX127" s="40">
        <f t="shared" si="15"/>
        <v>24288964</v>
      </c>
    </row>
    <row r="128" spans="1:50" x14ac:dyDescent="0.2">
      <c r="A128" s="29">
        <v>7</v>
      </c>
      <c r="B128" s="29">
        <v>202307</v>
      </c>
      <c r="C128" s="29">
        <v>10</v>
      </c>
      <c r="D128" s="35">
        <v>2670</v>
      </c>
      <c r="E128" s="35">
        <v>7028</v>
      </c>
      <c r="F128" s="35">
        <v>0</v>
      </c>
      <c r="G128" s="35">
        <v>21923</v>
      </c>
      <c r="H128" s="35">
        <v>0</v>
      </c>
      <c r="I128" s="35">
        <v>101219</v>
      </c>
      <c r="J128" s="35">
        <v>841</v>
      </c>
      <c r="K128" s="35">
        <v>0</v>
      </c>
      <c r="L128" s="35">
        <v>12774</v>
      </c>
      <c r="M128" s="35">
        <v>157218</v>
      </c>
      <c r="N128" s="35">
        <v>12343</v>
      </c>
      <c r="O128" s="35">
        <v>17042</v>
      </c>
      <c r="P128" s="35">
        <v>18970</v>
      </c>
      <c r="Q128" s="35">
        <v>18000</v>
      </c>
      <c r="R128" s="35">
        <v>6876</v>
      </c>
      <c r="S128" s="35">
        <v>45125</v>
      </c>
      <c r="T128" s="40">
        <f t="shared" si="14"/>
        <v>422029</v>
      </c>
      <c r="V128" s="35">
        <v>189779</v>
      </c>
      <c r="W128" s="35">
        <v>91128</v>
      </c>
      <c r="X128" s="40">
        <f t="shared" si="22"/>
        <v>280907</v>
      </c>
      <c r="Z128" s="35">
        <v>0</v>
      </c>
      <c r="AA128" s="35">
        <v>0</v>
      </c>
      <c r="AB128" s="35">
        <v>0</v>
      </c>
      <c r="AC128" s="35">
        <v>0</v>
      </c>
      <c r="AD128" s="35">
        <v>0</v>
      </c>
      <c r="AE128" s="35">
        <v>0</v>
      </c>
      <c r="AF128" s="35">
        <v>18525</v>
      </c>
      <c r="AG128" s="35">
        <v>86707</v>
      </c>
      <c r="AH128" s="35">
        <v>0</v>
      </c>
      <c r="AI128" s="35">
        <v>0</v>
      </c>
      <c r="AJ128" s="35">
        <v>0</v>
      </c>
      <c r="AK128" s="35">
        <v>1076</v>
      </c>
      <c r="AL128" s="35">
        <v>0</v>
      </c>
      <c r="AM128" s="35">
        <v>0</v>
      </c>
      <c r="AN128" s="40">
        <f t="shared" si="23"/>
        <v>106308</v>
      </c>
      <c r="AP128" s="35">
        <v>67074</v>
      </c>
      <c r="AQ128" s="35">
        <v>15</v>
      </c>
      <c r="AR128" s="35">
        <v>0</v>
      </c>
      <c r="AS128" s="35">
        <v>25</v>
      </c>
      <c r="AT128" s="35">
        <v>0</v>
      </c>
      <c r="AU128" s="35">
        <v>29600</v>
      </c>
      <c r="AV128" s="40">
        <f t="shared" si="24"/>
        <v>96714</v>
      </c>
      <c r="AX128" s="40">
        <f t="shared" si="15"/>
        <v>905958</v>
      </c>
    </row>
    <row r="129" spans="1:50" x14ac:dyDescent="0.2">
      <c r="A129" s="29">
        <v>7</v>
      </c>
      <c r="B129" s="29">
        <v>202307</v>
      </c>
      <c r="C129" s="29">
        <v>11</v>
      </c>
      <c r="D129" s="35">
        <v>0</v>
      </c>
      <c r="E129" s="35">
        <v>0</v>
      </c>
      <c r="F129" s="35">
        <v>44</v>
      </c>
      <c r="G129" s="35">
        <v>28153</v>
      </c>
      <c r="H129" s="35">
        <v>0</v>
      </c>
      <c r="I129" s="35">
        <v>23037</v>
      </c>
      <c r="J129" s="35">
        <v>0</v>
      </c>
      <c r="K129" s="35">
        <v>0</v>
      </c>
      <c r="L129" s="35">
        <v>0</v>
      </c>
      <c r="M129" s="35">
        <v>4515</v>
      </c>
      <c r="N129" s="35">
        <v>226</v>
      </c>
      <c r="O129" s="35">
        <v>499</v>
      </c>
      <c r="P129" s="35">
        <v>1418</v>
      </c>
      <c r="Q129" s="35">
        <v>0</v>
      </c>
      <c r="R129" s="35">
        <v>117</v>
      </c>
      <c r="S129" s="35">
        <v>117726</v>
      </c>
      <c r="T129" s="40">
        <f t="shared" si="14"/>
        <v>175735</v>
      </c>
      <c r="V129" s="35">
        <v>24352</v>
      </c>
      <c r="W129" s="35">
        <v>0</v>
      </c>
      <c r="X129" s="40">
        <f t="shared" si="22"/>
        <v>24352</v>
      </c>
      <c r="Z129" s="35">
        <v>0</v>
      </c>
      <c r="AA129" s="35">
        <v>0</v>
      </c>
      <c r="AB129" s="35">
        <v>0</v>
      </c>
      <c r="AC129" s="35">
        <v>0</v>
      </c>
      <c r="AD129" s="35">
        <v>0</v>
      </c>
      <c r="AE129" s="35">
        <v>0</v>
      </c>
      <c r="AF129" s="35">
        <v>5555</v>
      </c>
      <c r="AG129" s="35">
        <v>0</v>
      </c>
      <c r="AH129" s="35">
        <v>1184</v>
      </c>
      <c r="AI129" s="35">
        <v>0</v>
      </c>
      <c r="AJ129" s="35">
        <v>0</v>
      </c>
      <c r="AK129" s="35">
        <v>0</v>
      </c>
      <c r="AL129" s="35">
        <v>0</v>
      </c>
      <c r="AM129" s="35">
        <v>0</v>
      </c>
      <c r="AN129" s="40">
        <f t="shared" si="23"/>
        <v>6739</v>
      </c>
      <c r="AP129" s="35">
        <v>0</v>
      </c>
      <c r="AQ129" s="35">
        <v>0</v>
      </c>
      <c r="AR129" s="35">
        <v>0</v>
      </c>
      <c r="AS129" s="35">
        <v>0</v>
      </c>
      <c r="AT129" s="35">
        <v>0</v>
      </c>
      <c r="AU129" s="35">
        <v>0</v>
      </c>
      <c r="AV129" s="40">
        <f t="shared" si="24"/>
        <v>0</v>
      </c>
      <c r="AX129" s="40">
        <f t="shared" si="15"/>
        <v>206826</v>
      </c>
    </row>
    <row r="130" spans="1:50" x14ac:dyDescent="0.2">
      <c r="A130" s="29">
        <v>7</v>
      </c>
      <c r="B130" s="29">
        <v>202307</v>
      </c>
      <c r="C130" s="29">
        <v>12</v>
      </c>
      <c r="D130" s="35">
        <v>0</v>
      </c>
      <c r="E130" s="35">
        <v>0</v>
      </c>
      <c r="F130" s="35">
        <v>0</v>
      </c>
      <c r="G130" s="35">
        <v>14436</v>
      </c>
      <c r="H130" s="35">
        <v>0</v>
      </c>
      <c r="I130" s="35">
        <v>10745</v>
      </c>
      <c r="J130" s="35">
        <v>0</v>
      </c>
      <c r="K130" s="35">
        <v>46668</v>
      </c>
      <c r="L130" s="35">
        <v>156</v>
      </c>
      <c r="M130" s="35">
        <v>980093</v>
      </c>
      <c r="N130" s="35">
        <v>1036</v>
      </c>
      <c r="O130" s="35">
        <v>0</v>
      </c>
      <c r="P130" s="35">
        <v>0</v>
      </c>
      <c r="Q130" s="35">
        <v>1617</v>
      </c>
      <c r="R130" s="35">
        <v>0</v>
      </c>
      <c r="S130" s="35">
        <v>58321</v>
      </c>
      <c r="T130" s="40">
        <f t="shared" si="14"/>
        <v>1113072</v>
      </c>
      <c r="V130" s="35">
        <v>4401</v>
      </c>
      <c r="W130" s="35">
        <v>0</v>
      </c>
      <c r="X130" s="40">
        <f t="shared" si="22"/>
        <v>4401</v>
      </c>
      <c r="Z130" s="35">
        <v>0</v>
      </c>
      <c r="AA130" s="35">
        <v>0</v>
      </c>
      <c r="AB130" s="35">
        <v>0</v>
      </c>
      <c r="AC130" s="35">
        <v>0</v>
      </c>
      <c r="AD130" s="35">
        <v>0</v>
      </c>
      <c r="AE130" s="35">
        <v>0</v>
      </c>
      <c r="AF130" s="35">
        <v>55619</v>
      </c>
      <c r="AG130" s="35">
        <v>0</v>
      </c>
      <c r="AH130" s="35">
        <v>0</v>
      </c>
      <c r="AI130" s="35">
        <v>308</v>
      </c>
      <c r="AJ130" s="35">
        <v>0</v>
      </c>
      <c r="AK130" s="35">
        <v>0</v>
      </c>
      <c r="AL130" s="35">
        <v>0</v>
      </c>
      <c r="AM130" s="35">
        <v>0</v>
      </c>
      <c r="AN130" s="40">
        <f t="shared" si="23"/>
        <v>55927</v>
      </c>
      <c r="AP130" s="35">
        <v>0</v>
      </c>
      <c r="AQ130" s="35">
        <v>0</v>
      </c>
      <c r="AR130" s="35">
        <v>543</v>
      </c>
      <c r="AS130" s="35">
        <v>0</v>
      </c>
      <c r="AT130" s="35">
        <v>276</v>
      </c>
      <c r="AU130" s="35">
        <v>0</v>
      </c>
      <c r="AV130" s="40">
        <f t="shared" si="24"/>
        <v>819</v>
      </c>
      <c r="AX130" s="40">
        <f t="shared" si="15"/>
        <v>1174219</v>
      </c>
    </row>
    <row r="131" spans="1:50" x14ac:dyDescent="0.2">
      <c r="A131" s="29">
        <v>7</v>
      </c>
      <c r="B131" s="29">
        <v>202307</v>
      </c>
      <c r="C131" s="29">
        <v>15</v>
      </c>
      <c r="D131" s="35">
        <v>0</v>
      </c>
      <c r="E131" s="35">
        <v>12027</v>
      </c>
      <c r="F131" s="35">
        <v>0</v>
      </c>
      <c r="G131" s="35">
        <v>13603</v>
      </c>
      <c r="H131" s="35">
        <v>0</v>
      </c>
      <c r="I131" s="35">
        <v>6750</v>
      </c>
      <c r="J131" s="35">
        <v>20431</v>
      </c>
      <c r="K131" s="35">
        <v>27353</v>
      </c>
      <c r="L131" s="35">
        <v>14507</v>
      </c>
      <c r="M131" s="35">
        <v>421983</v>
      </c>
      <c r="N131" s="35">
        <v>1178</v>
      </c>
      <c r="O131" s="35">
        <v>424</v>
      </c>
      <c r="P131" s="35">
        <v>2855</v>
      </c>
      <c r="Q131" s="35">
        <v>4382</v>
      </c>
      <c r="R131" s="35">
        <v>0</v>
      </c>
      <c r="S131" s="35">
        <v>54426</v>
      </c>
      <c r="T131" s="40">
        <f t="shared" ref="T131:T194" si="25">SUM(D131:S131)</f>
        <v>579919</v>
      </c>
      <c r="V131" s="35">
        <v>2364</v>
      </c>
      <c r="W131" s="35">
        <v>0</v>
      </c>
      <c r="X131" s="40">
        <f t="shared" si="22"/>
        <v>2364</v>
      </c>
      <c r="Z131" s="35">
        <v>0</v>
      </c>
      <c r="AA131" s="35">
        <v>614</v>
      </c>
      <c r="AB131" s="35">
        <v>1474</v>
      </c>
      <c r="AC131" s="35">
        <v>0</v>
      </c>
      <c r="AD131" s="35">
        <v>0</v>
      </c>
      <c r="AE131" s="35">
        <v>705</v>
      </c>
      <c r="AF131" s="35">
        <v>29212</v>
      </c>
      <c r="AG131" s="35">
        <v>1686</v>
      </c>
      <c r="AH131" s="35">
        <v>0</v>
      </c>
      <c r="AI131" s="35">
        <v>0</v>
      </c>
      <c r="AJ131" s="35">
        <v>0</v>
      </c>
      <c r="AK131" s="35">
        <v>462</v>
      </c>
      <c r="AL131" s="35">
        <v>965</v>
      </c>
      <c r="AM131" s="35">
        <v>0</v>
      </c>
      <c r="AN131" s="40">
        <f t="shared" si="23"/>
        <v>35118</v>
      </c>
      <c r="AP131" s="35">
        <v>230</v>
      </c>
      <c r="AQ131" s="35">
        <v>0</v>
      </c>
      <c r="AR131" s="35">
        <v>1088</v>
      </c>
      <c r="AS131" s="35">
        <v>0</v>
      </c>
      <c r="AT131" s="35">
        <v>3098</v>
      </c>
      <c r="AU131" s="35">
        <v>0</v>
      </c>
      <c r="AV131" s="40">
        <f t="shared" si="24"/>
        <v>4416</v>
      </c>
      <c r="AX131" s="40">
        <f t="shared" si="15"/>
        <v>621817</v>
      </c>
    </row>
    <row r="132" spans="1:50" x14ac:dyDescent="0.2">
      <c r="A132" s="29">
        <v>7</v>
      </c>
      <c r="B132" s="29">
        <v>202307</v>
      </c>
      <c r="C132" s="29">
        <v>21</v>
      </c>
      <c r="D132" s="35">
        <v>0</v>
      </c>
      <c r="E132" s="35">
        <v>0</v>
      </c>
      <c r="F132" s="35">
        <v>0</v>
      </c>
      <c r="G132" s="35">
        <v>0</v>
      </c>
      <c r="H132" s="35">
        <v>0</v>
      </c>
      <c r="I132" s="35">
        <v>0</v>
      </c>
      <c r="J132" s="35">
        <v>0</v>
      </c>
      <c r="K132" s="35">
        <v>0</v>
      </c>
      <c r="L132" s="35">
        <v>0</v>
      </c>
      <c r="M132" s="35">
        <v>0</v>
      </c>
      <c r="N132" s="35">
        <v>0</v>
      </c>
      <c r="O132" s="35">
        <v>0</v>
      </c>
      <c r="P132" s="35">
        <v>0</v>
      </c>
      <c r="Q132" s="35">
        <v>0</v>
      </c>
      <c r="R132" s="35">
        <v>0</v>
      </c>
      <c r="S132" s="35">
        <v>0</v>
      </c>
      <c r="T132" s="40">
        <f t="shared" si="25"/>
        <v>0</v>
      </c>
      <c r="V132" s="35">
        <v>0</v>
      </c>
      <c r="W132" s="35">
        <v>0</v>
      </c>
      <c r="X132" s="40">
        <f t="shared" si="22"/>
        <v>0</v>
      </c>
      <c r="Z132" s="35">
        <v>0</v>
      </c>
      <c r="AA132" s="35">
        <v>0</v>
      </c>
      <c r="AB132" s="35">
        <v>0</v>
      </c>
      <c r="AC132" s="35">
        <v>0</v>
      </c>
      <c r="AD132" s="35">
        <v>0</v>
      </c>
      <c r="AE132" s="35">
        <v>0</v>
      </c>
      <c r="AF132" s="35">
        <v>0</v>
      </c>
      <c r="AG132" s="35">
        <v>0</v>
      </c>
      <c r="AH132" s="35">
        <v>0</v>
      </c>
      <c r="AI132" s="35">
        <v>0</v>
      </c>
      <c r="AJ132" s="35">
        <v>0</v>
      </c>
      <c r="AK132" s="35">
        <v>0</v>
      </c>
      <c r="AL132" s="35">
        <v>0</v>
      </c>
      <c r="AM132" s="35">
        <v>0</v>
      </c>
      <c r="AN132" s="40">
        <f t="shared" si="23"/>
        <v>0</v>
      </c>
      <c r="AP132" s="35">
        <v>0</v>
      </c>
      <c r="AQ132" s="35">
        <v>0</v>
      </c>
      <c r="AR132" s="35">
        <v>0</v>
      </c>
      <c r="AS132" s="35">
        <v>0</v>
      </c>
      <c r="AT132" s="35">
        <v>0</v>
      </c>
      <c r="AU132" s="35">
        <v>0</v>
      </c>
      <c r="AV132" s="40">
        <f t="shared" si="24"/>
        <v>0</v>
      </c>
      <c r="AX132" s="40">
        <f t="shared" ref="AX132:AX195" si="26">AV132+AN132+X132+T132</f>
        <v>0</v>
      </c>
    </row>
    <row r="133" spans="1:50" x14ac:dyDescent="0.2">
      <c r="A133" s="29">
        <v>7</v>
      </c>
      <c r="B133" s="29">
        <v>202307</v>
      </c>
      <c r="C133" s="29">
        <v>23</v>
      </c>
      <c r="D133" s="35">
        <v>4087</v>
      </c>
      <c r="E133" s="35">
        <v>1099200</v>
      </c>
      <c r="F133" s="35">
        <v>30957</v>
      </c>
      <c r="G133" s="35">
        <v>1407138</v>
      </c>
      <c r="H133" s="35">
        <v>10149</v>
      </c>
      <c r="I133" s="35">
        <v>1521916</v>
      </c>
      <c r="J133" s="35">
        <v>526838</v>
      </c>
      <c r="K133" s="35">
        <v>2528772</v>
      </c>
      <c r="L133" s="35">
        <v>2688021</v>
      </c>
      <c r="M133" s="35">
        <v>19287833</v>
      </c>
      <c r="N133" s="35">
        <v>191548</v>
      </c>
      <c r="O133" s="35">
        <v>40538</v>
      </c>
      <c r="P133" s="35">
        <v>109514</v>
      </c>
      <c r="Q133" s="35">
        <v>1870401</v>
      </c>
      <c r="R133" s="35">
        <v>479845</v>
      </c>
      <c r="S133" s="35">
        <v>6250238</v>
      </c>
      <c r="T133" s="40">
        <f t="shared" si="25"/>
        <v>38046995</v>
      </c>
      <c r="V133" s="35">
        <v>828109</v>
      </c>
      <c r="W133" s="35">
        <v>12599</v>
      </c>
      <c r="X133" s="40">
        <f t="shared" si="22"/>
        <v>840708</v>
      </c>
      <c r="Z133" s="35">
        <v>1318</v>
      </c>
      <c r="AA133" s="35">
        <v>7817</v>
      </c>
      <c r="AB133" s="35">
        <v>63094</v>
      </c>
      <c r="AC133" s="35">
        <v>27054</v>
      </c>
      <c r="AD133" s="35">
        <v>4859</v>
      </c>
      <c r="AE133" s="35">
        <v>99183</v>
      </c>
      <c r="AF133" s="35">
        <v>469791</v>
      </c>
      <c r="AG133" s="35">
        <v>118193</v>
      </c>
      <c r="AH133" s="35">
        <v>33167</v>
      </c>
      <c r="AI133" s="35">
        <v>11918</v>
      </c>
      <c r="AJ133" s="35">
        <v>33172</v>
      </c>
      <c r="AK133" s="35">
        <v>80256</v>
      </c>
      <c r="AL133" s="35">
        <v>131911</v>
      </c>
      <c r="AM133" s="35">
        <v>0</v>
      </c>
      <c r="AN133" s="40">
        <f t="shared" si="23"/>
        <v>1081733</v>
      </c>
      <c r="AP133" s="35">
        <v>151147</v>
      </c>
      <c r="AQ133" s="35">
        <v>12713</v>
      </c>
      <c r="AR133" s="35">
        <v>199384</v>
      </c>
      <c r="AS133" s="35">
        <v>7284</v>
      </c>
      <c r="AT133" s="35">
        <v>1217840</v>
      </c>
      <c r="AU133" s="35">
        <v>1564</v>
      </c>
      <c r="AV133" s="40">
        <f t="shared" si="24"/>
        <v>1589932</v>
      </c>
      <c r="AX133" s="40">
        <f t="shared" si="26"/>
        <v>41559368</v>
      </c>
    </row>
    <row r="134" spans="1:50" x14ac:dyDescent="0.2">
      <c r="A134" s="29">
        <v>7</v>
      </c>
      <c r="B134" s="29">
        <v>202307</v>
      </c>
      <c r="C134" s="29">
        <v>31</v>
      </c>
      <c r="D134" s="35">
        <v>0</v>
      </c>
      <c r="E134" s="35">
        <v>0</v>
      </c>
      <c r="F134" s="35">
        <v>0</v>
      </c>
      <c r="G134" s="35">
        <v>0</v>
      </c>
      <c r="H134" s="35">
        <v>0</v>
      </c>
      <c r="I134" s="35">
        <v>0</v>
      </c>
      <c r="J134" s="35">
        <v>0</v>
      </c>
      <c r="K134" s="35">
        <v>0</v>
      </c>
      <c r="L134" s="35">
        <v>0</v>
      </c>
      <c r="M134" s="35">
        <v>10628916</v>
      </c>
      <c r="N134" s="35">
        <v>0</v>
      </c>
      <c r="O134" s="35">
        <v>0</v>
      </c>
      <c r="P134" s="35">
        <v>0</v>
      </c>
      <c r="Q134" s="35">
        <v>0</v>
      </c>
      <c r="R134" s="35">
        <v>0</v>
      </c>
      <c r="S134" s="35">
        <v>0</v>
      </c>
      <c r="T134" s="40">
        <f t="shared" si="25"/>
        <v>10628916</v>
      </c>
      <c r="V134" s="35">
        <v>0</v>
      </c>
      <c r="W134" s="35">
        <v>0</v>
      </c>
      <c r="X134" s="40">
        <f t="shared" si="22"/>
        <v>0</v>
      </c>
      <c r="Z134" s="35">
        <v>595200</v>
      </c>
      <c r="AA134" s="35">
        <v>0</v>
      </c>
      <c r="AB134" s="35">
        <v>0</v>
      </c>
      <c r="AC134" s="35">
        <v>0</v>
      </c>
      <c r="AD134" s="35">
        <v>0</v>
      </c>
      <c r="AE134" s="35">
        <v>0</v>
      </c>
      <c r="AF134" s="35">
        <v>0</v>
      </c>
      <c r="AG134" s="35">
        <v>0</v>
      </c>
      <c r="AH134" s="35">
        <v>0</v>
      </c>
      <c r="AI134" s="35">
        <v>0</v>
      </c>
      <c r="AJ134" s="35">
        <v>0</v>
      </c>
      <c r="AK134" s="35">
        <v>0</v>
      </c>
      <c r="AL134" s="35">
        <v>0</v>
      </c>
      <c r="AM134" s="35">
        <v>0</v>
      </c>
      <c r="AN134" s="40">
        <f t="shared" si="23"/>
        <v>595200</v>
      </c>
      <c r="AP134" s="35">
        <v>0</v>
      </c>
      <c r="AQ134" s="35">
        <v>0</v>
      </c>
      <c r="AR134" s="35">
        <v>0</v>
      </c>
      <c r="AS134" s="35">
        <v>0</v>
      </c>
      <c r="AT134" s="35">
        <v>0</v>
      </c>
      <c r="AU134" s="35">
        <v>0</v>
      </c>
      <c r="AV134" s="40">
        <f t="shared" si="24"/>
        <v>0</v>
      </c>
      <c r="AX134" s="40">
        <f t="shared" si="26"/>
        <v>11224116</v>
      </c>
    </row>
    <row r="135" spans="1:50" x14ac:dyDescent="0.2">
      <c r="A135" s="29">
        <v>7</v>
      </c>
      <c r="B135" s="29">
        <v>202307</v>
      </c>
      <c r="C135" s="29">
        <v>32</v>
      </c>
      <c r="D135" s="35">
        <v>0</v>
      </c>
      <c r="E135" s="35">
        <v>0</v>
      </c>
      <c r="F135" s="35">
        <v>0</v>
      </c>
      <c r="G135" s="35">
        <v>0</v>
      </c>
      <c r="H135" s="35">
        <v>0</v>
      </c>
      <c r="I135" s="35">
        <v>0</v>
      </c>
      <c r="J135" s="35">
        <v>0</v>
      </c>
      <c r="K135" s="35">
        <v>0</v>
      </c>
      <c r="L135" s="35">
        <v>0</v>
      </c>
      <c r="M135" s="35">
        <v>58915338</v>
      </c>
      <c r="N135" s="35">
        <v>0</v>
      </c>
      <c r="O135" s="35">
        <v>0</v>
      </c>
      <c r="P135" s="35">
        <v>0</v>
      </c>
      <c r="Q135" s="35">
        <v>0</v>
      </c>
      <c r="R135" s="35">
        <v>0</v>
      </c>
      <c r="S135" s="35">
        <v>0</v>
      </c>
      <c r="T135" s="40">
        <f t="shared" si="25"/>
        <v>58915338</v>
      </c>
      <c r="V135" s="35">
        <v>0</v>
      </c>
      <c r="W135" s="35">
        <v>0</v>
      </c>
      <c r="X135" s="40">
        <f t="shared" si="22"/>
        <v>0</v>
      </c>
      <c r="Z135" s="35">
        <v>0</v>
      </c>
      <c r="AA135" s="35">
        <v>0</v>
      </c>
      <c r="AB135" s="35">
        <v>0</v>
      </c>
      <c r="AC135" s="35">
        <v>0</v>
      </c>
      <c r="AD135" s="35">
        <v>0</v>
      </c>
      <c r="AE135" s="35">
        <v>0</v>
      </c>
      <c r="AF135" s="35">
        <v>0</v>
      </c>
      <c r="AG135" s="35">
        <v>0</v>
      </c>
      <c r="AH135" s="35">
        <v>0</v>
      </c>
      <c r="AI135" s="35">
        <v>0</v>
      </c>
      <c r="AJ135" s="35">
        <v>0</v>
      </c>
      <c r="AK135" s="35">
        <v>0</v>
      </c>
      <c r="AL135" s="35">
        <v>0</v>
      </c>
      <c r="AM135" s="35">
        <v>0</v>
      </c>
      <c r="AN135" s="40">
        <f t="shared" si="23"/>
        <v>0</v>
      </c>
      <c r="AP135" s="35">
        <v>0</v>
      </c>
      <c r="AQ135" s="35">
        <v>0</v>
      </c>
      <c r="AR135" s="35">
        <v>0</v>
      </c>
      <c r="AS135" s="35">
        <v>0</v>
      </c>
      <c r="AT135" s="35">
        <v>0</v>
      </c>
      <c r="AU135" s="35">
        <v>0</v>
      </c>
      <c r="AV135" s="40">
        <f t="shared" si="24"/>
        <v>0</v>
      </c>
      <c r="AX135" s="40">
        <f t="shared" si="26"/>
        <v>58915338</v>
      </c>
    </row>
    <row r="136" spans="1:50" x14ac:dyDescent="0.2">
      <c r="A136" s="29">
        <v>8</v>
      </c>
      <c r="B136" s="29">
        <v>202308</v>
      </c>
      <c r="C136" s="29">
        <v>1</v>
      </c>
      <c r="D136" s="35">
        <v>154053</v>
      </c>
      <c r="E136" s="35">
        <v>2372689</v>
      </c>
      <c r="F136" s="35">
        <v>96844</v>
      </c>
      <c r="G136" s="35">
        <v>14869134</v>
      </c>
      <c r="H136" s="35">
        <v>494678</v>
      </c>
      <c r="I136" s="35">
        <v>14725586</v>
      </c>
      <c r="J136" s="35">
        <v>10828100</v>
      </c>
      <c r="K136" s="35">
        <v>13101725</v>
      </c>
      <c r="L136" s="35">
        <v>22190674</v>
      </c>
      <c r="M136" s="35">
        <v>68095514</v>
      </c>
      <c r="N136" s="35">
        <v>564181</v>
      </c>
      <c r="O136" s="35">
        <v>529462</v>
      </c>
      <c r="P136" s="35">
        <v>488636</v>
      </c>
      <c r="Q136" s="35">
        <v>7145789</v>
      </c>
      <c r="R136" s="35">
        <v>397714</v>
      </c>
      <c r="S136" s="35">
        <v>26401429</v>
      </c>
      <c r="T136" s="40">
        <f t="shared" si="25"/>
        <v>182456208</v>
      </c>
      <c r="V136" s="35">
        <v>2428215</v>
      </c>
      <c r="W136" s="35">
        <v>30678</v>
      </c>
      <c r="X136" s="40">
        <f>SUM(V136:W136)</f>
        <v>2458893</v>
      </c>
      <c r="Z136" s="35">
        <v>6976</v>
      </c>
      <c r="AA136" s="35">
        <v>8470</v>
      </c>
      <c r="AB136" s="35">
        <v>1215290</v>
      </c>
      <c r="AC136" s="35">
        <v>445825</v>
      </c>
      <c r="AD136" s="35">
        <v>136689</v>
      </c>
      <c r="AE136" s="35">
        <v>752834</v>
      </c>
      <c r="AF136" s="35">
        <v>2403567</v>
      </c>
      <c r="AG136" s="35">
        <v>2614157</v>
      </c>
      <c r="AH136" s="35">
        <v>20032</v>
      </c>
      <c r="AI136" s="35">
        <v>960643</v>
      </c>
      <c r="AJ136" s="35">
        <v>82885</v>
      </c>
      <c r="AK136" s="35">
        <v>1203035</v>
      </c>
      <c r="AL136" s="35">
        <v>302649</v>
      </c>
      <c r="AM136" s="35">
        <v>0</v>
      </c>
      <c r="AN136" s="40">
        <f>SUM(Z136:AM136)</f>
        <v>10153052</v>
      </c>
      <c r="AO136" s="35"/>
      <c r="AP136" s="35">
        <v>702549</v>
      </c>
      <c r="AQ136" s="35">
        <v>112423</v>
      </c>
      <c r="AR136" s="35">
        <v>3216558</v>
      </c>
      <c r="AS136" s="35">
        <v>116023</v>
      </c>
      <c r="AT136" s="35">
        <v>5553995</v>
      </c>
      <c r="AU136" s="35">
        <v>39790</v>
      </c>
      <c r="AV136" s="40">
        <f>SUM(AP136:AU136)</f>
        <v>9741338</v>
      </c>
      <c r="AX136" s="40">
        <f t="shared" si="26"/>
        <v>204809491</v>
      </c>
    </row>
    <row r="137" spans="1:50" x14ac:dyDescent="0.2">
      <c r="A137" s="29">
        <v>8</v>
      </c>
      <c r="B137" s="29">
        <v>202308</v>
      </c>
      <c r="C137" s="29">
        <v>2</v>
      </c>
      <c r="D137" s="35">
        <v>107</v>
      </c>
      <c r="E137" s="35">
        <v>0</v>
      </c>
      <c r="F137" s="35">
        <v>0</v>
      </c>
      <c r="G137" s="35">
        <v>41218</v>
      </c>
      <c r="H137" s="35">
        <v>3147</v>
      </c>
      <c r="I137" s="35">
        <v>34111</v>
      </c>
      <c r="J137" s="35">
        <v>5317</v>
      </c>
      <c r="K137" s="35">
        <v>15982</v>
      </c>
      <c r="L137" s="35">
        <v>66574</v>
      </c>
      <c r="M137" s="35">
        <v>140324</v>
      </c>
      <c r="N137" s="35">
        <v>463</v>
      </c>
      <c r="O137" s="35">
        <v>560</v>
      </c>
      <c r="P137" s="35">
        <v>821</v>
      </c>
      <c r="Q137" s="35">
        <v>22560</v>
      </c>
      <c r="R137" s="35">
        <v>243</v>
      </c>
      <c r="S137" s="35">
        <v>37745</v>
      </c>
      <c r="T137" s="40">
        <f t="shared" si="25"/>
        <v>369172</v>
      </c>
      <c r="V137" s="35">
        <v>713</v>
      </c>
      <c r="W137" s="35">
        <v>0</v>
      </c>
      <c r="X137" s="40">
        <f t="shared" ref="X137:X154" si="27">SUM(V137:W137)</f>
        <v>713</v>
      </c>
      <c r="Z137" s="35">
        <v>0</v>
      </c>
      <c r="AA137" s="35">
        <v>0</v>
      </c>
      <c r="AB137" s="35">
        <v>3096</v>
      </c>
      <c r="AC137" s="35">
        <v>1933</v>
      </c>
      <c r="AD137" s="35">
        <v>1937</v>
      </c>
      <c r="AE137" s="35">
        <v>1162</v>
      </c>
      <c r="AF137" s="35">
        <v>3369</v>
      </c>
      <c r="AG137" s="35">
        <v>8259</v>
      </c>
      <c r="AH137" s="35">
        <v>0</v>
      </c>
      <c r="AI137" s="35">
        <v>966</v>
      </c>
      <c r="AJ137" s="35">
        <v>0</v>
      </c>
      <c r="AK137" s="35">
        <v>4501</v>
      </c>
      <c r="AL137" s="35">
        <v>0</v>
      </c>
      <c r="AM137" s="35">
        <v>0</v>
      </c>
      <c r="AN137" s="40">
        <f t="shared" ref="AN137:AN154" si="28">SUM(Z137:AM137)</f>
        <v>25223</v>
      </c>
      <c r="AP137" s="35">
        <v>1397</v>
      </c>
      <c r="AQ137" s="35">
        <v>0</v>
      </c>
      <c r="AR137" s="35">
        <v>9414</v>
      </c>
      <c r="AS137" s="35">
        <v>0</v>
      </c>
      <c r="AT137" s="35">
        <v>39590</v>
      </c>
      <c r="AU137" s="35">
        <v>0</v>
      </c>
      <c r="AV137" s="40">
        <f t="shared" ref="AV137:AV154" si="29">SUM(AP137:AU137)</f>
        <v>50401</v>
      </c>
      <c r="AX137" s="40">
        <f t="shared" si="26"/>
        <v>445509</v>
      </c>
    </row>
    <row r="138" spans="1:50" x14ac:dyDescent="0.2">
      <c r="A138" s="29">
        <v>8</v>
      </c>
      <c r="B138" s="29">
        <v>202308</v>
      </c>
      <c r="C138" s="29">
        <v>3</v>
      </c>
      <c r="D138" s="35">
        <v>2136</v>
      </c>
      <c r="E138" s="35">
        <v>89485</v>
      </c>
      <c r="F138" s="35">
        <v>0</v>
      </c>
      <c r="G138" s="35">
        <v>119279</v>
      </c>
      <c r="H138" s="35">
        <v>0</v>
      </c>
      <c r="I138" s="35">
        <v>112748</v>
      </c>
      <c r="J138" s="35">
        <v>380857</v>
      </c>
      <c r="K138" s="35">
        <v>464099</v>
      </c>
      <c r="L138" s="35">
        <v>409024</v>
      </c>
      <c r="M138" s="35">
        <v>1879649</v>
      </c>
      <c r="N138" s="35">
        <v>2137</v>
      </c>
      <c r="O138" s="35">
        <v>2796</v>
      </c>
      <c r="P138" s="35">
        <v>1428</v>
      </c>
      <c r="Q138" s="35">
        <v>7575</v>
      </c>
      <c r="R138" s="35">
        <v>2103</v>
      </c>
      <c r="S138" s="35">
        <v>1275600</v>
      </c>
      <c r="T138" s="40">
        <f t="shared" si="25"/>
        <v>4748916</v>
      </c>
      <c r="V138" s="35">
        <v>42379</v>
      </c>
      <c r="W138" s="35">
        <v>1871</v>
      </c>
      <c r="X138" s="40">
        <f t="shared" si="27"/>
        <v>44250</v>
      </c>
      <c r="Z138" s="35">
        <v>0</v>
      </c>
      <c r="AA138" s="35">
        <v>0</v>
      </c>
      <c r="AB138" s="35">
        <v>33710</v>
      </c>
      <c r="AC138" s="35">
        <v>38847</v>
      </c>
      <c r="AD138" s="35">
        <v>2889</v>
      </c>
      <c r="AE138" s="35">
        <v>12347</v>
      </c>
      <c r="AF138" s="35">
        <v>146212</v>
      </c>
      <c r="AG138" s="35">
        <v>21608</v>
      </c>
      <c r="AH138" s="35">
        <v>0</v>
      </c>
      <c r="AI138" s="35">
        <v>12493</v>
      </c>
      <c r="AJ138" s="35">
        <v>1026</v>
      </c>
      <c r="AK138" s="35">
        <v>16274</v>
      </c>
      <c r="AL138" s="35">
        <v>5143</v>
      </c>
      <c r="AM138" s="35">
        <v>0</v>
      </c>
      <c r="AN138" s="40">
        <f t="shared" si="28"/>
        <v>290549</v>
      </c>
      <c r="AP138" s="35">
        <v>1367</v>
      </c>
      <c r="AQ138" s="35">
        <v>253</v>
      </c>
      <c r="AR138" s="35">
        <v>0</v>
      </c>
      <c r="AS138" s="35">
        <v>0</v>
      </c>
      <c r="AT138" s="35">
        <v>3072</v>
      </c>
      <c r="AU138" s="35">
        <v>0</v>
      </c>
      <c r="AV138" s="40">
        <f t="shared" si="29"/>
        <v>4692</v>
      </c>
      <c r="AX138" s="40">
        <f t="shared" si="26"/>
        <v>5088407</v>
      </c>
    </row>
    <row r="139" spans="1:50" x14ac:dyDescent="0.2">
      <c r="A139" s="29">
        <v>8</v>
      </c>
      <c r="B139" s="29">
        <v>202308</v>
      </c>
      <c r="C139" s="29">
        <v>6</v>
      </c>
      <c r="D139" s="35">
        <v>2277</v>
      </c>
      <c r="E139" s="35">
        <v>3774912</v>
      </c>
      <c r="F139" s="35">
        <v>159102</v>
      </c>
      <c r="G139" s="35">
        <v>7243802</v>
      </c>
      <c r="H139" s="35">
        <v>0</v>
      </c>
      <c r="I139" s="35">
        <v>3378856</v>
      </c>
      <c r="J139" s="35">
        <v>2478260</v>
      </c>
      <c r="K139" s="35">
        <v>8794980</v>
      </c>
      <c r="L139" s="35">
        <v>9961758</v>
      </c>
      <c r="M139" s="35">
        <v>141649054</v>
      </c>
      <c r="N139" s="35">
        <v>479122</v>
      </c>
      <c r="O139" s="35">
        <v>13257</v>
      </c>
      <c r="P139" s="35">
        <v>109622</v>
      </c>
      <c r="Q139" s="35">
        <v>8538345</v>
      </c>
      <c r="R139" s="35">
        <v>917056</v>
      </c>
      <c r="S139" s="35">
        <v>29404052</v>
      </c>
      <c r="T139" s="40">
        <f t="shared" si="25"/>
        <v>216904455</v>
      </c>
      <c r="V139" s="35">
        <v>1236500</v>
      </c>
      <c r="W139" s="35">
        <v>6414</v>
      </c>
      <c r="X139" s="40">
        <f t="shared" si="27"/>
        <v>1242914</v>
      </c>
      <c r="Z139" s="35">
        <v>0</v>
      </c>
      <c r="AA139" s="35">
        <v>43871</v>
      </c>
      <c r="AB139" s="35">
        <v>938857</v>
      </c>
      <c r="AC139" s="35">
        <v>40000</v>
      </c>
      <c r="AD139" s="35">
        <v>63840</v>
      </c>
      <c r="AE139" s="35">
        <v>557265</v>
      </c>
      <c r="AF139" s="35">
        <v>3671605</v>
      </c>
      <c r="AG139" s="35">
        <v>527504</v>
      </c>
      <c r="AH139" s="35">
        <v>16640</v>
      </c>
      <c r="AI139" s="35">
        <v>171000</v>
      </c>
      <c r="AJ139" s="35">
        <v>85120</v>
      </c>
      <c r="AK139" s="35">
        <v>135068</v>
      </c>
      <c r="AL139" s="35">
        <v>333149</v>
      </c>
      <c r="AM139" s="35">
        <v>0</v>
      </c>
      <c r="AN139" s="40">
        <f t="shared" si="28"/>
        <v>6583919</v>
      </c>
      <c r="AP139" s="35">
        <v>356266</v>
      </c>
      <c r="AQ139" s="35">
        <v>0</v>
      </c>
      <c r="AR139" s="35">
        <v>1070722</v>
      </c>
      <c r="AS139" s="35">
        <v>0</v>
      </c>
      <c r="AT139" s="35">
        <v>4547771</v>
      </c>
      <c r="AU139" s="35">
        <v>0</v>
      </c>
      <c r="AV139" s="40">
        <f t="shared" si="29"/>
        <v>5974759</v>
      </c>
      <c r="AX139" s="40">
        <f t="shared" si="26"/>
        <v>230706047</v>
      </c>
    </row>
    <row r="140" spans="1:50" x14ac:dyDescent="0.2">
      <c r="A140" s="29">
        <v>8</v>
      </c>
      <c r="B140" s="29">
        <v>202308</v>
      </c>
      <c r="C140" s="29" t="s">
        <v>230</v>
      </c>
      <c r="D140" s="35">
        <v>0</v>
      </c>
      <c r="E140" s="35">
        <v>37048</v>
      </c>
      <c r="F140" s="35">
        <v>0</v>
      </c>
      <c r="G140" s="35">
        <v>897824</v>
      </c>
      <c r="H140" s="35">
        <v>45025</v>
      </c>
      <c r="I140" s="35">
        <v>120300</v>
      </c>
      <c r="J140" s="35">
        <v>39360</v>
      </c>
      <c r="K140" s="35">
        <v>890704</v>
      </c>
      <c r="L140" s="35">
        <v>298212</v>
      </c>
      <c r="M140" s="35">
        <v>7146087</v>
      </c>
      <c r="N140" s="35">
        <v>1400</v>
      </c>
      <c r="O140" s="35">
        <v>2840</v>
      </c>
      <c r="P140" s="35">
        <v>1440</v>
      </c>
      <c r="Q140" s="35">
        <v>520316</v>
      </c>
      <c r="R140" s="35">
        <v>17160</v>
      </c>
      <c r="S140" s="35">
        <v>1283460</v>
      </c>
      <c r="T140" s="40">
        <f t="shared" si="25"/>
        <v>11301176</v>
      </c>
      <c r="V140" s="35">
        <v>22720</v>
      </c>
      <c r="W140" s="35">
        <v>0</v>
      </c>
      <c r="X140" s="40">
        <f t="shared" si="27"/>
        <v>22720</v>
      </c>
      <c r="Z140" s="35">
        <v>0</v>
      </c>
      <c r="AA140" s="35">
        <v>5731</v>
      </c>
      <c r="AB140" s="35">
        <v>8840</v>
      </c>
      <c r="AC140" s="35">
        <v>0</v>
      </c>
      <c r="AD140" s="35">
        <v>0</v>
      </c>
      <c r="AE140" s="35">
        <v>13557</v>
      </c>
      <c r="AF140" s="35">
        <v>420778</v>
      </c>
      <c r="AG140" s="35">
        <v>8480</v>
      </c>
      <c r="AH140" s="35">
        <v>0</v>
      </c>
      <c r="AI140" s="35">
        <v>400</v>
      </c>
      <c r="AJ140" s="35">
        <v>27520</v>
      </c>
      <c r="AK140" s="35">
        <v>0</v>
      </c>
      <c r="AL140" s="35">
        <v>0</v>
      </c>
      <c r="AM140" s="35">
        <v>0</v>
      </c>
      <c r="AN140" s="40">
        <f t="shared" si="28"/>
        <v>485306</v>
      </c>
      <c r="AP140" s="35">
        <v>0</v>
      </c>
      <c r="AQ140" s="35">
        <v>0</v>
      </c>
      <c r="AR140" s="35">
        <v>157316</v>
      </c>
      <c r="AS140" s="35">
        <v>84360</v>
      </c>
      <c r="AT140" s="35">
        <v>418186</v>
      </c>
      <c r="AU140" s="35">
        <v>21280</v>
      </c>
      <c r="AV140" s="40">
        <f t="shared" si="29"/>
        <v>681142</v>
      </c>
      <c r="AX140" s="40">
        <f t="shared" si="26"/>
        <v>12490344</v>
      </c>
    </row>
    <row r="141" spans="1:50" x14ac:dyDescent="0.2">
      <c r="A141" s="29">
        <v>8</v>
      </c>
      <c r="B141" s="29">
        <v>202308</v>
      </c>
      <c r="C141" s="29" t="s">
        <v>231</v>
      </c>
      <c r="D141" s="35">
        <v>0</v>
      </c>
      <c r="E141" s="35">
        <v>0</v>
      </c>
      <c r="F141" s="35">
        <v>0</v>
      </c>
      <c r="G141" s="35">
        <v>0</v>
      </c>
      <c r="H141" s="35">
        <v>0</v>
      </c>
      <c r="I141" s="35">
        <v>0</v>
      </c>
      <c r="J141" s="35">
        <v>0</v>
      </c>
      <c r="K141" s="35">
        <v>0</v>
      </c>
      <c r="L141" s="35">
        <v>0</v>
      </c>
      <c r="M141" s="35">
        <v>0</v>
      </c>
      <c r="N141" s="35">
        <v>0</v>
      </c>
      <c r="O141" s="35">
        <v>0</v>
      </c>
      <c r="P141" s="35">
        <v>0</v>
      </c>
      <c r="Q141" s="35">
        <v>0</v>
      </c>
      <c r="R141" s="35">
        <v>0</v>
      </c>
      <c r="S141" s="35">
        <v>0</v>
      </c>
      <c r="T141" s="40">
        <f t="shared" si="25"/>
        <v>0</v>
      </c>
      <c r="V141" s="35">
        <v>0</v>
      </c>
      <c r="W141" s="35">
        <v>0</v>
      </c>
      <c r="X141" s="40">
        <f t="shared" si="27"/>
        <v>0</v>
      </c>
      <c r="Z141" s="35">
        <v>0</v>
      </c>
      <c r="AA141" s="35">
        <v>0</v>
      </c>
      <c r="AB141" s="35">
        <v>0</v>
      </c>
      <c r="AC141" s="35">
        <v>0</v>
      </c>
      <c r="AD141" s="35">
        <v>0</v>
      </c>
      <c r="AE141" s="35">
        <v>0</v>
      </c>
      <c r="AF141" s="35">
        <v>0</v>
      </c>
      <c r="AG141" s="35">
        <v>0</v>
      </c>
      <c r="AH141" s="35">
        <v>0</v>
      </c>
      <c r="AI141" s="35">
        <v>0</v>
      </c>
      <c r="AJ141" s="35">
        <v>0</v>
      </c>
      <c r="AK141" s="35">
        <v>0</v>
      </c>
      <c r="AL141" s="35">
        <v>0</v>
      </c>
      <c r="AM141" s="35">
        <v>0</v>
      </c>
      <c r="AN141" s="40">
        <f t="shared" si="28"/>
        <v>0</v>
      </c>
      <c r="AP141" s="35">
        <v>0</v>
      </c>
      <c r="AQ141" s="35">
        <v>0</v>
      </c>
      <c r="AR141" s="35">
        <v>0</v>
      </c>
      <c r="AS141" s="35">
        <v>0</v>
      </c>
      <c r="AT141" s="35">
        <v>0</v>
      </c>
      <c r="AU141" s="35">
        <v>0</v>
      </c>
      <c r="AV141" s="40">
        <f t="shared" si="29"/>
        <v>0</v>
      </c>
      <c r="AX141" s="40">
        <f t="shared" si="26"/>
        <v>0</v>
      </c>
    </row>
    <row r="142" spans="1:50" x14ac:dyDescent="0.2">
      <c r="A142" s="29">
        <v>8</v>
      </c>
      <c r="B142" s="29">
        <v>202308</v>
      </c>
      <c r="C142" s="29">
        <v>7</v>
      </c>
      <c r="D142" s="35">
        <v>0</v>
      </c>
      <c r="E142" s="35">
        <v>6961</v>
      </c>
      <c r="F142" s="35">
        <v>0</v>
      </c>
      <c r="G142" s="35">
        <v>4085</v>
      </c>
      <c r="H142" s="35">
        <v>0</v>
      </c>
      <c r="I142" s="35">
        <v>10294</v>
      </c>
      <c r="J142" s="35">
        <v>7534</v>
      </c>
      <c r="K142" s="35">
        <v>15284</v>
      </c>
      <c r="L142" s="35">
        <v>26728</v>
      </c>
      <c r="M142" s="35">
        <v>201732</v>
      </c>
      <c r="N142" s="35">
        <v>1695</v>
      </c>
      <c r="O142" s="35">
        <v>177</v>
      </c>
      <c r="P142" s="35">
        <v>304</v>
      </c>
      <c r="Q142" s="35">
        <v>711</v>
      </c>
      <c r="R142" s="35">
        <v>259</v>
      </c>
      <c r="S142" s="35">
        <v>50592</v>
      </c>
      <c r="T142" s="40">
        <f t="shared" si="25"/>
        <v>326356</v>
      </c>
      <c r="V142" s="35">
        <v>3151</v>
      </c>
      <c r="W142" s="35">
        <v>78</v>
      </c>
      <c r="X142" s="40">
        <f t="shared" si="27"/>
        <v>3229</v>
      </c>
      <c r="Z142" s="35">
        <v>0</v>
      </c>
      <c r="AA142" s="35">
        <v>0</v>
      </c>
      <c r="AB142" s="35">
        <v>285</v>
      </c>
      <c r="AC142" s="35">
        <v>444</v>
      </c>
      <c r="AD142" s="35">
        <v>296</v>
      </c>
      <c r="AE142" s="35">
        <v>69</v>
      </c>
      <c r="AF142" s="35">
        <v>7077</v>
      </c>
      <c r="AG142" s="35">
        <v>779</v>
      </c>
      <c r="AH142" s="35">
        <v>444</v>
      </c>
      <c r="AI142" s="35">
        <v>0</v>
      </c>
      <c r="AJ142" s="35">
        <v>0</v>
      </c>
      <c r="AK142" s="35">
        <v>56</v>
      </c>
      <c r="AL142" s="35">
        <v>646</v>
      </c>
      <c r="AM142" s="35">
        <v>0</v>
      </c>
      <c r="AN142" s="40">
        <f t="shared" si="28"/>
        <v>10096</v>
      </c>
      <c r="AP142" s="35">
        <v>427</v>
      </c>
      <c r="AQ142" s="35">
        <v>208</v>
      </c>
      <c r="AR142" s="35">
        <v>39</v>
      </c>
      <c r="AS142" s="35">
        <v>97</v>
      </c>
      <c r="AT142" s="35">
        <v>305</v>
      </c>
      <c r="AU142" s="35">
        <v>0</v>
      </c>
      <c r="AV142" s="40">
        <f t="shared" si="29"/>
        <v>1076</v>
      </c>
      <c r="AX142" s="40">
        <f t="shared" si="26"/>
        <v>340757</v>
      </c>
    </row>
    <row r="143" spans="1:50" x14ac:dyDescent="0.2">
      <c r="A143" s="29">
        <v>8</v>
      </c>
      <c r="B143" s="29">
        <v>202308</v>
      </c>
      <c r="C143" s="29">
        <v>8</v>
      </c>
      <c r="D143" s="35">
        <v>0</v>
      </c>
      <c r="E143" s="35">
        <v>0</v>
      </c>
      <c r="F143" s="35">
        <v>0</v>
      </c>
      <c r="G143" s="35">
        <v>0</v>
      </c>
      <c r="H143" s="35">
        <v>0</v>
      </c>
      <c r="I143" s="35">
        <v>390900</v>
      </c>
      <c r="J143" s="35">
        <v>481120</v>
      </c>
      <c r="K143" s="35">
        <v>0</v>
      </c>
      <c r="L143" s="35">
        <v>1900800</v>
      </c>
      <c r="M143" s="35">
        <v>48323609</v>
      </c>
      <c r="N143" s="35">
        <v>0</v>
      </c>
      <c r="O143" s="35">
        <v>0</v>
      </c>
      <c r="P143" s="35">
        <v>0</v>
      </c>
      <c r="Q143" s="35">
        <v>4800</v>
      </c>
      <c r="R143" s="35">
        <v>0</v>
      </c>
      <c r="S143" s="35">
        <v>10639500</v>
      </c>
      <c r="T143" s="40">
        <f t="shared" si="25"/>
        <v>61740729</v>
      </c>
      <c r="V143" s="35">
        <v>0</v>
      </c>
      <c r="W143" s="35">
        <v>0</v>
      </c>
      <c r="X143" s="40">
        <f t="shared" si="27"/>
        <v>0</v>
      </c>
      <c r="Z143" s="35">
        <v>136800</v>
      </c>
      <c r="AA143" s="35">
        <v>0</v>
      </c>
      <c r="AB143" s="35">
        <v>2919600</v>
      </c>
      <c r="AC143" s="35">
        <v>0</v>
      </c>
      <c r="AD143" s="35">
        <v>0</v>
      </c>
      <c r="AE143" s="35">
        <v>1519200</v>
      </c>
      <c r="AF143" s="35">
        <v>0</v>
      </c>
      <c r="AG143" s="35">
        <v>0</v>
      </c>
      <c r="AH143" s="35">
        <v>0</v>
      </c>
      <c r="AI143" s="35">
        <v>0</v>
      </c>
      <c r="AJ143" s="35">
        <v>0</v>
      </c>
      <c r="AK143" s="35">
        <v>0</v>
      </c>
      <c r="AL143" s="35">
        <v>0</v>
      </c>
      <c r="AM143" s="35">
        <v>0</v>
      </c>
      <c r="AN143" s="40">
        <f t="shared" si="28"/>
        <v>4575600</v>
      </c>
      <c r="AP143" s="35">
        <v>0</v>
      </c>
      <c r="AQ143" s="35">
        <v>0</v>
      </c>
      <c r="AR143" s="35">
        <v>0</v>
      </c>
      <c r="AS143" s="35">
        <v>0</v>
      </c>
      <c r="AT143" s="35">
        <v>584100</v>
      </c>
      <c r="AU143" s="35">
        <v>0</v>
      </c>
      <c r="AV143" s="40">
        <f t="shared" si="29"/>
        <v>584100</v>
      </c>
      <c r="AX143" s="40">
        <f t="shared" si="26"/>
        <v>66900429</v>
      </c>
    </row>
    <row r="144" spans="1:50" x14ac:dyDescent="0.2">
      <c r="A144" s="29">
        <v>8</v>
      </c>
      <c r="B144" s="29">
        <v>202308</v>
      </c>
      <c r="C144" s="29">
        <v>9</v>
      </c>
      <c r="D144" s="35">
        <v>0</v>
      </c>
      <c r="E144" s="35">
        <v>0</v>
      </c>
      <c r="F144" s="35">
        <v>0</v>
      </c>
      <c r="G144" s="35">
        <v>576000</v>
      </c>
      <c r="H144" s="35">
        <v>0</v>
      </c>
      <c r="I144" s="35">
        <v>0</v>
      </c>
      <c r="J144" s="35">
        <v>0</v>
      </c>
      <c r="K144" s="35">
        <v>0</v>
      </c>
      <c r="L144" s="35">
        <v>0</v>
      </c>
      <c r="M144" s="35">
        <v>17385525</v>
      </c>
      <c r="N144" s="35">
        <v>0</v>
      </c>
      <c r="O144" s="35">
        <v>0</v>
      </c>
      <c r="P144" s="35">
        <v>0</v>
      </c>
      <c r="Q144" s="35">
        <v>0</v>
      </c>
      <c r="R144" s="35">
        <v>0</v>
      </c>
      <c r="S144" s="35">
        <v>19184000</v>
      </c>
      <c r="T144" s="40">
        <f t="shared" si="25"/>
        <v>37145525</v>
      </c>
      <c r="V144" s="35">
        <v>1723964</v>
      </c>
      <c r="W144" s="35">
        <v>0</v>
      </c>
      <c r="X144" s="40">
        <f t="shared" si="27"/>
        <v>1723964</v>
      </c>
      <c r="Z144" s="35">
        <v>0</v>
      </c>
      <c r="AA144" s="35">
        <v>0</v>
      </c>
      <c r="AB144" s="35">
        <v>0</v>
      </c>
      <c r="AC144" s="35">
        <v>0</v>
      </c>
      <c r="AD144" s="35">
        <v>0</v>
      </c>
      <c r="AE144" s="35">
        <v>0</v>
      </c>
      <c r="AF144" s="35">
        <v>2345000</v>
      </c>
      <c r="AG144" s="35">
        <v>0</v>
      </c>
      <c r="AH144" s="35">
        <v>0</v>
      </c>
      <c r="AI144" s="35">
        <v>0</v>
      </c>
      <c r="AJ144" s="35">
        <v>0</v>
      </c>
      <c r="AK144" s="35">
        <v>11520</v>
      </c>
      <c r="AL144" s="35">
        <v>0</v>
      </c>
      <c r="AM144" s="35">
        <v>0</v>
      </c>
      <c r="AN144" s="40">
        <f t="shared" si="28"/>
        <v>2356520</v>
      </c>
      <c r="AP144" s="35">
        <v>0</v>
      </c>
      <c r="AQ144" s="35">
        <v>0</v>
      </c>
      <c r="AR144" s="35">
        <v>0</v>
      </c>
      <c r="AS144" s="35">
        <v>0</v>
      </c>
      <c r="AT144" s="35">
        <v>0</v>
      </c>
      <c r="AU144" s="35">
        <v>0</v>
      </c>
      <c r="AV144" s="40">
        <f t="shared" si="29"/>
        <v>0</v>
      </c>
      <c r="AX144" s="40">
        <f t="shared" si="26"/>
        <v>41226009</v>
      </c>
    </row>
    <row r="145" spans="1:50" x14ac:dyDescent="0.2">
      <c r="A145" s="29">
        <v>8</v>
      </c>
      <c r="B145" s="29">
        <v>202308</v>
      </c>
      <c r="C145" s="29" t="s">
        <v>234</v>
      </c>
      <c r="D145" s="35">
        <v>0</v>
      </c>
      <c r="E145" s="35">
        <v>0</v>
      </c>
      <c r="F145" s="35">
        <v>0</v>
      </c>
      <c r="G145" s="35">
        <v>0</v>
      </c>
      <c r="H145" s="35">
        <v>0</v>
      </c>
      <c r="I145" s="35">
        <v>0</v>
      </c>
      <c r="J145" s="35">
        <v>0</v>
      </c>
      <c r="K145" s="35">
        <v>0</v>
      </c>
      <c r="L145" s="35">
        <v>0</v>
      </c>
      <c r="M145" s="35">
        <v>403200</v>
      </c>
      <c r="N145" s="35">
        <v>0</v>
      </c>
      <c r="O145" s="35">
        <v>0</v>
      </c>
      <c r="P145" s="35">
        <v>0</v>
      </c>
      <c r="Q145" s="35">
        <v>0</v>
      </c>
      <c r="R145" s="35">
        <v>0</v>
      </c>
      <c r="S145" s="35">
        <v>0</v>
      </c>
      <c r="T145" s="40">
        <f t="shared" si="25"/>
        <v>403200</v>
      </c>
      <c r="V145" s="35">
        <v>0</v>
      </c>
      <c r="W145" s="35">
        <v>0</v>
      </c>
      <c r="X145" s="40">
        <f t="shared" si="27"/>
        <v>0</v>
      </c>
      <c r="Z145" s="35">
        <v>0</v>
      </c>
      <c r="AA145" s="35">
        <v>0</v>
      </c>
      <c r="AB145" s="35">
        <v>0</v>
      </c>
      <c r="AC145" s="35">
        <v>0</v>
      </c>
      <c r="AD145" s="35">
        <v>0</v>
      </c>
      <c r="AE145" s="35">
        <v>0</v>
      </c>
      <c r="AF145" s="35">
        <v>0</v>
      </c>
      <c r="AG145" s="35">
        <v>0</v>
      </c>
      <c r="AH145" s="35">
        <v>0</v>
      </c>
      <c r="AI145" s="35">
        <v>0</v>
      </c>
      <c r="AJ145" s="35">
        <v>0</v>
      </c>
      <c r="AK145" s="35">
        <v>0</v>
      </c>
      <c r="AL145" s="35">
        <v>0</v>
      </c>
      <c r="AM145" s="35">
        <v>0</v>
      </c>
      <c r="AN145" s="40">
        <f t="shared" si="28"/>
        <v>0</v>
      </c>
      <c r="AP145" s="35">
        <v>0</v>
      </c>
      <c r="AQ145" s="35">
        <v>0</v>
      </c>
      <c r="AR145" s="35">
        <v>0</v>
      </c>
      <c r="AS145" s="35">
        <v>0</v>
      </c>
      <c r="AT145" s="35">
        <v>0</v>
      </c>
      <c r="AU145" s="35">
        <v>0</v>
      </c>
      <c r="AV145" s="40">
        <f t="shared" si="29"/>
        <v>0</v>
      </c>
      <c r="AX145" s="40">
        <f t="shared" si="26"/>
        <v>403200</v>
      </c>
    </row>
    <row r="146" spans="1:50" x14ac:dyDescent="0.2">
      <c r="A146" s="29">
        <v>8</v>
      </c>
      <c r="B146" s="29">
        <v>202308</v>
      </c>
      <c r="C146" s="29" t="s">
        <v>235</v>
      </c>
      <c r="D146" s="35">
        <v>0</v>
      </c>
      <c r="E146" s="35">
        <v>0</v>
      </c>
      <c r="F146" s="35">
        <v>0</v>
      </c>
      <c r="G146" s="35">
        <v>0</v>
      </c>
      <c r="H146" s="35">
        <v>0</v>
      </c>
      <c r="I146" s="35">
        <v>0</v>
      </c>
      <c r="J146" s="35">
        <v>0</v>
      </c>
      <c r="K146" s="35">
        <v>0</v>
      </c>
      <c r="L146" s="35">
        <v>0</v>
      </c>
      <c r="M146" s="35">
        <v>144648</v>
      </c>
      <c r="N146" s="35">
        <v>0</v>
      </c>
      <c r="O146" s="35">
        <v>0</v>
      </c>
      <c r="P146" s="35">
        <v>0</v>
      </c>
      <c r="Q146" s="35">
        <v>0</v>
      </c>
      <c r="R146" s="35">
        <v>0</v>
      </c>
      <c r="S146" s="35">
        <v>0</v>
      </c>
      <c r="T146" s="40">
        <f t="shared" si="25"/>
        <v>144648</v>
      </c>
      <c r="V146" s="35">
        <v>0</v>
      </c>
      <c r="W146" s="35">
        <v>0</v>
      </c>
      <c r="X146" s="40">
        <f t="shared" si="27"/>
        <v>0</v>
      </c>
      <c r="Z146" s="35">
        <v>0</v>
      </c>
      <c r="AA146" s="35">
        <v>0</v>
      </c>
      <c r="AB146" s="35">
        <v>23343200</v>
      </c>
      <c r="AC146" s="35">
        <v>0</v>
      </c>
      <c r="AD146" s="35">
        <v>0</v>
      </c>
      <c r="AE146" s="35">
        <v>0</v>
      </c>
      <c r="AF146" s="35">
        <v>0</v>
      </c>
      <c r="AG146" s="35">
        <v>0</v>
      </c>
      <c r="AH146" s="35">
        <v>0</v>
      </c>
      <c r="AI146" s="35">
        <v>0</v>
      </c>
      <c r="AJ146" s="35">
        <v>0</v>
      </c>
      <c r="AK146" s="35">
        <v>0</v>
      </c>
      <c r="AL146" s="35">
        <v>0</v>
      </c>
      <c r="AM146" s="35">
        <v>0</v>
      </c>
      <c r="AN146" s="40">
        <f t="shared" si="28"/>
        <v>23343200</v>
      </c>
      <c r="AP146" s="35">
        <v>0</v>
      </c>
      <c r="AQ146" s="35">
        <v>0</v>
      </c>
      <c r="AR146" s="35">
        <v>0</v>
      </c>
      <c r="AS146" s="35">
        <v>0</v>
      </c>
      <c r="AT146" s="35">
        <v>0</v>
      </c>
      <c r="AU146" s="35">
        <v>0</v>
      </c>
      <c r="AV146" s="40">
        <f t="shared" si="29"/>
        <v>0</v>
      </c>
      <c r="AX146" s="40">
        <f t="shared" si="26"/>
        <v>23487848</v>
      </c>
    </row>
    <row r="147" spans="1:50" x14ac:dyDescent="0.2">
      <c r="A147" s="29">
        <v>8</v>
      </c>
      <c r="B147" s="29">
        <v>202308</v>
      </c>
      <c r="C147" s="29">
        <v>10</v>
      </c>
      <c r="D147" s="35">
        <v>470</v>
      </c>
      <c r="E147" s="35">
        <v>10370</v>
      </c>
      <c r="F147" s="35">
        <v>0</v>
      </c>
      <c r="G147" s="35">
        <v>14167</v>
      </c>
      <c r="H147" s="35">
        <v>0</v>
      </c>
      <c r="I147" s="35">
        <v>35811</v>
      </c>
      <c r="J147" s="35">
        <v>835</v>
      </c>
      <c r="K147" s="35">
        <v>0</v>
      </c>
      <c r="L147" s="35">
        <v>14645</v>
      </c>
      <c r="M147" s="35">
        <v>86940</v>
      </c>
      <c r="N147" s="35">
        <v>7382</v>
      </c>
      <c r="O147" s="35">
        <v>21288</v>
      </c>
      <c r="P147" s="35">
        <v>24043</v>
      </c>
      <c r="Q147" s="35">
        <v>70279</v>
      </c>
      <c r="R147" s="35">
        <v>21073</v>
      </c>
      <c r="S147" s="35">
        <v>27094</v>
      </c>
      <c r="T147" s="40">
        <f t="shared" si="25"/>
        <v>334397</v>
      </c>
      <c r="V147" s="35">
        <v>166522</v>
      </c>
      <c r="W147" s="35">
        <v>72047</v>
      </c>
      <c r="X147" s="40">
        <f t="shared" si="27"/>
        <v>238569</v>
      </c>
      <c r="Z147" s="35">
        <v>0</v>
      </c>
      <c r="AA147" s="35">
        <v>0</v>
      </c>
      <c r="AB147" s="35">
        <v>0</v>
      </c>
      <c r="AC147" s="35">
        <v>0</v>
      </c>
      <c r="AD147" s="35">
        <v>0</v>
      </c>
      <c r="AE147" s="35">
        <v>0</v>
      </c>
      <c r="AF147" s="35">
        <v>17811</v>
      </c>
      <c r="AG147" s="35">
        <v>4358</v>
      </c>
      <c r="AH147" s="35">
        <v>0</v>
      </c>
      <c r="AI147" s="35">
        <v>0</v>
      </c>
      <c r="AJ147" s="35">
        <v>0</v>
      </c>
      <c r="AK147" s="35">
        <v>1472</v>
      </c>
      <c r="AL147" s="35">
        <v>0</v>
      </c>
      <c r="AM147" s="35">
        <v>0</v>
      </c>
      <c r="AN147" s="40">
        <f t="shared" si="28"/>
        <v>23641</v>
      </c>
      <c r="AP147" s="35">
        <v>61219</v>
      </c>
      <c r="AQ147" s="35">
        <v>9</v>
      </c>
      <c r="AR147" s="35">
        <v>0</v>
      </c>
      <c r="AS147" s="35">
        <v>6840</v>
      </c>
      <c r="AT147" s="35">
        <v>0</v>
      </c>
      <c r="AU147" s="35">
        <v>21960</v>
      </c>
      <c r="AV147" s="40">
        <f t="shared" si="29"/>
        <v>90028</v>
      </c>
      <c r="AX147" s="40">
        <f t="shared" si="26"/>
        <v>686635</v>
      </c>
    </row>
    <row r="148" spans="1:50" x14ac:dyDescent="0.2">
      <c r="A148" s="29">
        <v>8</v>
      </c>
      <c r="B148" s="29">
        <v>202308</v>
      </c>
      <c r="C148" s="29">
        <v>11</v>
      </c>
      <c r="D148" s="35">
        <v>0</v>
      </c>
      <c r="E148" s="35">
        <v>0</v>
      </c>
      <c r="F148" s="35">
        <v>44</v>
      </c>
      <c r="G148" s="35">
        <v>27847</v>
      </c>
      <c r="H148" s="35">
        <v>0</v>
      </c>
      <c r="I148" s="35">
        <v>22795</v>
      </c>
      <c r="J148" s="35">
        <v>0</v>
      </c>
      <c r="K148" s="35">
        <v>0</v>
      </c>
      <c r="L148" s="35">
        <v>0</v>
      </c>
      <c r="M148" s="35">
        <v>4515</v>
      </c>
      <c r="N148" s="35">
        <v>5091</v>
      </c>
      <c r="O148" s="35">
        <v>499</v>
      </c>
      <c r="P148" s="35">
        <v>1418</v>
      </c>
      <c r="Q148" s="35">
        <v>1274</v>
      </c>
      <c r="R148" s="35">
        <v>117</v>
      </c>
      <c r="S148" s="35">
        <v>116698</v>
      </c>
      <c r="T148" s="40">
        <f t="shared" si="25"/>
        <v>180298</v>
      </c>
      <c r="V148" s="35">
        <v>24352</v>
      </c>
      <c r="W148" s="35">
        <v>0</v>
      </c>
      <c r="X148" s="40">
        <f t="shared" si="27"/>
        <v>24352</v>
      </c>
      <c r="Z148" s="35">
        <v>0</v>
      </c>
      <c r="AA148" s="35">
        <v>0</v>
      </c>
      <c r="AB148" s="35">
        <v>0</v>
      </c>
      <c r="AC148" s="35">
        <v>0</v>
      </c>
      <c r="AD148" s="35">
        <v>0</v>
      </c>
      <c r="AE148" s="35">
        <v>0</v>
      </c>
      <c r="AF148" s="35">
        <v>5555</v>
      </c>
      <c r="AG148" s="35">
        <v>0</v>
      </c>
      <c r="AH148" s="35">
        <v>1184</v>
      </c>
      <c r="AI148" s="35">
        <v>0</v>
      </c>
      <c r="AJ148" s="35">
        <v>0</v>
      </c>
      <c r="AK148" s="35">
        <v>0</v>
      </c>
      <c r="AL148" s="35">
        <v>0</v>
      </c>
      <c r="AM148" s="35">
        <v>0</v>
      </c>
      <c r="AN148" s="40">
        <f t="shared" si="28"/>
        <v>6739</v>
      </c>
      <c r="AP148" s="35">
        <v>0</v>
      </c>
      <c r="AQ148" s="35">
        <v>0</v>
      </c>
      <c r="AR148" s="35">
        <v>0</v>
      </c>
      <c r="AS148" s="35">
        <v>0</v>
      </c>
      <c r="AT148" s="35">
        <v>0</v>
      </c>
      <c r="AU148" s="35">
        <v>0</v>
      </c>
      <c r="AV148" s="40">
        <f t="shared" si="29"/>
        <v>0</v>
      </c>
      <c r="AX148" s="40">
        <f t="shared" si="26"/>
        <v>211389</v>
      </c>
    </row>
    <row r="149" spans="1:50" x14ac:dyDescent="0.2">
      <c r="A149" s="29">
        <v>8</v>
      </c>
      <c r="B149" s="29">
        <v>202308</v>
      </c>
      <c r="C149" s="29">
        <v>12</v>
      </c>
      <c r="D149" s="35">
        <v>0</v>
      </c>
      <c r="E149" s="35">
        <v>0</v>
      </c>
      <c r="F149" s="35">
        <v>0</v>
      </c>
      <c r="G149" s="35">
        <v>14432</v>
      </c>
      <c r="H149" s="35">
        <v>0</v>
      </c>
      <c r="I149" s="35">
        <v>10745</v>
      </c>
      <c r="J149" s="35">
        <v>0</v>
      </c>
      <c r="K149" s="35">
        <v>46668</v>
      </c>
      <c r="L149" s="35">
        <v>156</v>
      </c>
      <c r="M149" s="35">
        <v>971757</v>
      </c>
      <c r="N149" s="35">
        <v>1546</v>
      </c>
      <c r="O149" s="35">
        <v>0</v>
      </c>
      <c r="P149" s="35">
        <v>0</v>
      </c>
      <c r="Q149" s="35">
        <v>10278</v>
      </c>
      <c r="R149" s="35">
        <v>0</v>
      </c>
      <c r="S149" s="35">
        <v>58321</v>
      </c>
      <c r="T149" s="40">
        <f t="shared" si="25"/>
        <v>1113903</v>
      </c>
      <c r="V149" s="35">
        <v>4401</v>
      </c>
      <c r="W149" s="35">
        <v>0</v>
      </c>
      <c r="X149" s="40">
        <f t="shared" si="27"/>
        <v>4401</v>
      </c>
      <c r="Z149" s="35">
        <v>0</v>
      </c>
      <c r="AA149" s="35">
        <v>0</v>
      </c>
      <c r="AB149" s="35">
        <v>0</v>
      </c>
      <c r="AC149" s="35">
        <v>0</v>
      </c>
      <c r="AD149" s="35">
        <v>0</v>
      </c>
      <c r="AE149" s="35">
        <v>0</v>
      </c>
      <c r="AF149" s="35">
        <v>55417</v>
      </c>
      <c r="AG149" s="35">
        <v>0</v>
      </c>
      <c r="AH149" s="35">
        <v>0</v>
      </c>
      <c r="AI149" s="35">
        <v>308</v>
      </c>
      <c r="AJ149" s="35">
        <v>0</v>
      </c>
      <c r="AK149" s="35">
        <v>0</v>
      </c>
      <c r="AL149" s="35">
        <v>70365</v>
      </c>
      <c r="AM149" s="35">
        <v>0</v>
      </c>
      <c r="AN149" s="40">
        <f t="shared" si="28"/>
        <v>126090</v>
      </c>
      <c r="AP149" s="35">
        <v>0</v>
      </c>
      <c r="AQ149" s="35">
        <v>0</v>
      </c>
      <c r="AR149" s="35">
        <v>543</v>
      </c>
      <c r="AS149" s="35">
        <v>0</v>
      </c>
      <c r="AT149" s="35">
        <v>276</v>
      </c>
      <c r="AU149" s="35">
        <v>0</v>
      </c>
      <c r="AV149" s="40">
        <f t="shared" si="29"/>
        <v>819</v>
      </c>
      <c r="AX149" s="40">
        <f t="shared" si="26"/>
        <v>1245213</v>
      </c>
    </row>
    <row r="150" spans="1:50" x14ac:dyDescent="0.2">
      <c r="A150" s="29">
        <v>8</v>
      </c>
      <c r="B150" s="29">
        <v>202308</v>
      </c>
      <c r="C150" s="29">
        <v>15</v>
      </c>
      <c r="D150" s="35">
        <v>0</v>
      </c>
      <c r="E150" s="35">
        <v>9892</v>
      </c>
      <c r="F150" s="35">
        <v>0</v>
      </c>
      <c r="G150" s="35">
        <v>14225</v>
      </c>
      <c r="H150" s="35">
        <v>0</v>
      </c>
      <c r="I150" s="35">
        <v>7767</v>
      </c>
      <c r="J150" s="35">
        <v>10315</v>
      </c>
      <c r="K150" s="35">
        <v>21695</v>
      </c>
      <c r="L150" s="35">
        <v>21594</v>
      </c>
      <c r="M150" s="35">
        <v>388629</v>
      </c>
      <c r="N150" s="35">
        <v>803</v>
      </c>
      <c r="O150" s="35">
        <v>543</v>
      </c>
      <c r="P150" s="35">
        <v>902</v>
      </c>
      <c r="Q150" s="35">
        <v>8610</v>
      </c>
      <c r="R150" s="35">
        <v>0</v>
      </c>
      <c r="S150" s="35">
        <v>67502</v>
      </c>
      <c r="T150" s="40">
        <f t="shared" si="25"/>
        <v>552477</v>
      </c>
      <c r="V150" s="35">
        <v>2396</v>
      </c>
      <c r="W150" s="35">
        <v>18</v>
      </c>
      <c r="X150" s="40">
        <f t="shared" si="27"/>
        <v>2414</v>
      </c>
      <c r="Z150" s="35">
        <v>0</v>
      </c>
      <c r="AA150" s="35">
        <v>2230</v>
      </c>
      <c r="AB150" s="35">
        <v>1419</v>
      </c>
      <c r="AC150" s="35">
        <v>0</v>
      </c>
      <c r="AD150" s="35">
        <v>0</v>
      </c>
      <c r="AE150" s="35">
        <v>86</v>
      </c>
      <c r="AF150" s="35">
        <v>48697</v>
      </c>
      <c r="AG150" s="35">
        <v>562</v>
      </c>
      <c r="AH150" s="35">
        <v>0</v>
      </c>
      <c r="AI150" s="35">
        <v>0</v>
      </c>
      <c r="AJ150" s="35">
        <v>0</v>
      </c>
      <c r="AK150" s="35">
        <v>476</v>
      </c>
      <c r="AL150" s="35">
        <v>276</v>
      </c>
      <c r="AM150" s="35">
        <v>0</v>
      </c>
      <c r="AN150" s="40">
        <f t="shared" si="28"/>
        <v>53746</v>
      </c>
      <c r="AP150" s="35">
        <v>219</v>
      </c>
      <c r="AQ150" s="35">
        <v>0</v>
      </c>
      <c r="AR150" s="35">
        <v>1014</v>
      </c>
      <c r="AS150" s="35">
        <v>0</v>
      </c>
      <c r="AT150" s="35">
        <v>2260</v>
      </c>
      <c r="AU150" s="35">
        <v>0</v>
      </c>
      <c r="AV150" s="40">
        <f t="shared" si="29"/>
        <v>3493</v>
      </c>
      <c r="AX150" s="40">
        <f t="shared" si="26"/>
        <v>612130</v>
      </c>
    </row>
    <row r="151" spans="1:50" x14ac:dyDescent="0.2">
      <c r="A151" s="29">
        <v>8</v>
      </c>
      <c r="B151" s="29">
        <v>202308</v>
      </c>
      <c r="C151" s="29">
        <v>21</v>
      </c>
      <c r="D151" s="35">
        <v>0</v>
      </c>
      <c r="E151" s="35">
        <v>0</v>
      </c>
      <c r="F151" s="35">
        <v>0</v>
      </c>
      <c r="G151" s="35">
        <v>0</v>
      </c>
      <c r="H151" s="35">
        <v>0</v>
      </c>
      <c r="I151" s="35">
        <v>0</v>
      </c>
      <c r="J151" s="35">
        <v>0</v>
      </c>
      <c r="K151" s="35">
        <v>0</v>
      </c>
      <c r="L151" s="35">
        <v>0</v>
      </c>
      <c r="M151" s="35">
        <v>0</v>
      </c>
      <c r="N151" s="35">
        <v>0</v>
      </c>
      <c r="O151" s="35">
        <v>0</v>
      </c>
      <c r="P151" s="35">
        <v>0</v>
      </c>
      <c r="Q151" s="35">
        <v>0</v>
      </c>
      <c r="R151" s="35">
        <v>0</v>
      </c>
      <c r="S151" s="35">
        <v>0</v>
      </c>
      <c r="T151" s="40">
        <f t="shared" si="25"/>
        <v>0</v>
      </c>
      <c r="V151" s="35">
        <v>0</v>
      </c>
      <c r="W151" s="35">
        <v>0</v>
      </c>
      <c r="X151" s="40">
        <f t="shared" si="27"/>
        <v>0</v>
      </c>
      <c r="Z151" s="35">
        <v>0</v>
      </c>
      <c r="AA151" s="35">
        <v>0</v>
      </c>
      <c r="AB151" s="35">
        <v>0</v>
      </c>
      <c r="AC151" s="35">
        <v>0</v>
      </c>
      <c r="AD151" s="35">
        <v>0</v>
      </c>
      <c r="AE151" s="35">
        <v>0</v>
      </c>
      <c r="AF151" s="35">
        <v>0</v>
      </c>
      <c r="AG151" s="35">
        <v>0</v>
      </c>
      <c r="AH151" s="35">
        <v>0</v>
      </c>
      <c r="AI151" s="35">
        <v>0</v>
      </c>
      <c r="AJ151" s="35">
        <v>0</v>
      </c>
      <c r="AK151" s="35">
        <v>0</v>
      </c>
      <c r="AL151" s="35">
        <v>0</v>
      </c>
      <c r="AM151" s="35">
        <v>0</v>
      </c>
      <c r="AN151" s="40">
        <f t="shared" si="28"/>
        <v>0</v>
      </c>
      <c r="AP151" s="35">
        <v>0</v>
      </c>
      <c r="AQ151" s="35">
        <v>0</v>
      </c>
      <c r="AR151" s="35">
        <v>0</v>
      </c>
      <c r="AS151" s="35">
        <v>0</v>
      </c>
      <c r="AT151" s="35">
        <v>0</v>
      </c>
      <c r="AU151" s="35">
        <v>0</v>
      </c>
      <c r="AV151" s="40">
        <f t="shared" si="29"/>
        <v>0</v>
      </c>
      <c r="AX151" s="40">
        <f t="shared" si="26"/>
        <v>0</v>
      </c>
    </row>
    <row r="152" spans="1:50" x14ac:dyDescent="0.2">
      <c r="A152" s="29">
        <v>8</v>
      </c>
      <c r="B152" s="29">
        <v>202308</v>
      </c>
      <c r="C152" s="29">
        <v>23</v>
      </c>
      <c r="D152" s="35">
        <v>3124</v>
      </c>
      <c r="E152" s="35">
        <v>1184145</v>
      </c>
      <c r="F152" s="35">
        <v>25280</v>
      </c>
      <c r="G152" s="35">
        <v>1485995</v>
      </c>
      <c r="H152" s="35">
        <v>11652</v>
      </c>
      <c r="I152" s="35">
        <v>1587022</v>
      </c>
      <c r="J152" s="35">
        <v>635460</v>
      </c>
      <c r="K152" s="35">
        <v>2791018</v>
      </c>
      <c r="L152" s="35">
        <v>3502585</v>
      </c>
      <c r="M152" s="35">
        <v>20337607</v>
      </c>
      <c r="N152" s="35">
        <v>293304</v>
      </c>
      <c r="O152" s="35">
        <v>40478</v>
      </c>
      <c r="P152" s="35">
        <v>103888</v>
      </c>
      <c r="Q152" s="35">
        <v>2105208</v>
      </c>
      <c r="R152" s="35">
        <v>485447</v>
      </c>
      <c r="S152" s="35">
        <v>7012616</v>
      </c>
      <c r="T152" s="40">
        <f t="shared" si="25"/>
        <v>41604829</v>
      </c>
      <c r="V152" s="35">
        <v>777625</v>
      </c>
      <c r="W152" s="35">
        <v>14168</v>
      </c>
      <c r="X152" s="40">
        <f t="shared" si="27"/>
        <v>791793</v>
      </c>
      <c r="Z152" s="35">
        <v>996</v>
      </c>
      <c r="AA152" s="35">
        <v>8505</v>
      </c>
      <c r="AB152" s="35">
        <v>79523</v>
      </c>
      <c r="AC152" s="35">
        <v>32450</v>
      </c>
      <c r="AD152" s="35">
        <v>22390</v>
      </c>
      <c r="AE152" s="35">
        <v>101124</v>
      </c>
      <c r="AF152" s="35">
        <v>523023</v>
      </c>
      <c r="AG152" s="35">
        <v>116856</v>
      </c>
      <c r="AH152" s="35">
        <v>26424</v>
      </c>
      <c r="AI152" s="35">
        <v>11960</v>
      </c>
      <c r="AJ152" s="35">
        <v>32265</v>
      </c>
      <c r="AK152" s="35">
        <v>110014</v>
      </c>
      <c r="AL152" s="35">
        <v>143912</v>
      </c>
      <c r="AM152" s="35">
        <v>0</v>
      </c>
      <c r="AN152" s="40">
        <f t="shared" si="28"/>
        <v>1209442</v>
      </c>
      <c r="AP152" s="35">
        <v>133513</v>
      </c>
      <c r="AQ152" s="35">
        <v>9990</v>
      </c>
      <c r="AR152" s="35">
        <v>303966</v>
      </c>
      <c r="AS152" s="35">
        <v>11434</v>
      </c>
      <c r="AT152" s="35">
        <v>1437439</v>
      </c>
      <c r="AU152" s="35">
        <v>1754</v>
      </c>
      <c r="AV152" s="40">
        <f t="shared" si="29"/>
        <v>1898096</v>
      </c>
      <c r="AX152" s="40">
        <f t="shared" si="26"/>
        <v>45504160</v>
      </c>
    </row>
    <row r="153" spans="1:50" x14ac:dyDescent="0.2">
      <c r="A153" s="29">
        <v>8</v>
      </c>
      <c r="B153" s="29">
        <v>202308</v>
      </c>
      <c r="C153" s="29">
        <v>31</v>
      </c>
      <c r="D153" s="35">
        <v>0</v>
      </c>
      <c r="E153" s="35">
        <v>0</v>
      </c>
      <c r="F153" s="35">
        <v>0</v>
      </c>
      <c r="G153" s="35">
        <v>0</v>
      </c>
      <c r="H153" s="35">
        <v>0</v>
      </c>
      <c r="I153" s="35">
        <v>0</v>
      </c>
      <c r="J153" s="35">
        <v>0</v>
      </c>
      <c r="K153" s="35">
        <v>0</v>
      </c>
      <c r="L153" s="35">
        <v>0</v>
      </c>
      <c r="M153" s="35">
        <v>10954925</v>
      </c>
      <c r="N153" s="35">
        <v>0</v>
      </c>
      <c r="O153" s="35">
        <v>0</v>
      </c>
      <c r="P153" s="35">
        <v>0</v>
      </c>
      <c r="Q153" s="35">
        <v>0</v>
      </c>
      <c r="R153" s="35">
        <v>0</v>
      </c>
      <c r="S153" s="35">
        <v>0</v>
      </c>
      <c r="T153" s="40">
        <f t="shared" si="25"/>
        <v>10954925</v>
      </c>
      <c r="V153" s="35">
        <v>0</v>
      </c>
      <c r="W153" s="35">
        <v>0</v>
      </c>
      <c r="X153" s="40">
        <f t="shared" si="27"/>
        <v>0</v>
      </c>
      <c r="Z153" s="35">
        <v>487200</v>
      </c>
      <c r="AA153" s="35">
        <v>0</v>
      </c>
      <c r="AB153" s="35">
        <v>0</v>
      </c>
      <c r="AC153" s="35">
        <v>0</v>
      </c>
      <c r="AD153" s="35">
        <v>0</v>
      </c>
      <c r="AE153" s="35">
        <v>0</v>
      </c>
      <c r="AF153" s="35">
        <v>0</v>
      </c>
      <c r="AG153" s="35">
        <v>0</v>
      </c>
      <c r="AH153" s="35">
        <v>0</v>
      </c>
      <c r="AI153" s="35">
        <v>0</v>
      </c>
      <c r="AJ153" s="35">
        <v>0</v>
      </c>
      <c r="AK153" s="35">
        <v>0</v>
      </c>
      <c r="AL153" s="35">
        <v>0</v>
      </c>
      <c r="AM153" s="35">
        <v>0</v>
      </c>
      <c r="AN153" s="40">
        <f t="shared" si="28"/>
        <v>487200</v>
      </c>
      <c r="AP153" s="35">
        <v>0</v>
      </c>
      <c r="AQ153" s="35">
        <v>0</v>
      </c>
      <c r="AR153" s="35">
        <v>0</v>
      </c>
      <c r="AS153" s="35">
        <v>0</v>
      </c>
      <c r="AT153" s="35">
        <v>0</v>
      </c>
      <c r="AU153" s="35">
        <v>0</v>
      </c>
      <c r="AV153" s="40">
        <f t="shared" si="29"/>
        <v>0</v>
      </c>
      <c r="AX153" s="40">
        <f t="shared" si="26"/>
        <v>11442125</v>
      </c>
    </row>
    <row r="154" spans="1:50" x14ac:dyDescent="0.2">
      <c r="A154" s="29">
        <v>8</v>
      </c>
      <c r="B154" s="29">
        <v>202308</v>
      </c>
      <c r="C154" s="29">
        <v>32</v>
      </c>
      <c r="D154" s="35">
        <v>0</v>
      </c>
      <c r="E154" s="35">
        <v>0</v>
      </c>
      <c r="F154" s="35">
        <v>0</v>
      </c>
      <c r="G154" s="35">
        <v>0</v>
      </c>
      <c r="H154" s="35">
        <v>0</v>
      </c>
      <c r="I154" s="35">
        <v>0</v>
      </c>
      <c r="J154" s="35">
        <v>0</v>
      </c>
      <c r="K154" s="35">
        <v>0</v>
      </c>
      <c r="L154" s="35">
        <v>0</v>
      </c>
      <c r="M154" s="35">
        <v>19040659</v>
      </c>
      <c r="N154" s="35">
        <v>0</v>
      </c>
      <c r="O154" s="35">
        <v>0</v>
      </c>
      <c r="P154" s="35">
        <v>0</v>
      </c>
      <c r="Q154" s="35">
        <v>0</v>
      </c>
      <c r="R154" s="35">
        <v>0</v>
      </c>
      <c r="S154" s="35">
        <v>0</v>
      </c>
      <c r="T154" s="40">
        <f t="shared" si="25"/>
        <v>19040659</v>
      </c>
      <c r="V154" s="35">
        <v>0</v>
      </c>
      <c r="W154" s="35">
        <v>0</v>
      </c>
      <c r="X154" s="40">
        <f t="shared" si="27"/>
        <v>0</v>
      </c>
      <c r="Z154" s="35">
        <v>0</v>
      </c>
      <c r="AA154" s="35">
        <v>0</v>
      </c>
      <c r="AB154" s="35">
        <v>0</v>
      </c>
      <c r="AC154" s="35">
        <v>0</v>
      </c>
      <c r="AD154" s="35">
        <v>0</v>
      </c>
      <c r="AE154" s="35">
        <v>0</v>
      </c>
      <c r="AF154" s="35">
        <v>0</v>
      </c>
      <c r="AG154" s="35">
        <v>0</v>
      </c>
      <c r="AH154" s="35">
        <v>0</v>
      </c>
      <c r="AI154" s="35">
        <v>0</v>
      </c>
      <c r="AJ154" s="35">
        <v>0</v>
      </c>
      <c r="AK154" s="35">
        <v>0</v>
      </c>
      <c r="AL154" s="35">
        <v>0</v>
      </c>
      <c r="AM154" s="35">
        <v>0</v>
      </c>
      <c r="AN154" s="40">
        <f t="shared" si="28"/>
        <v>0</v>
      </c>
      <c r="AP154" s="35">
        <v>0</v>
      </c>
      <c r="AQ154" s="35">
        <v>0</v>
      </c>
      <c r="AR154" s="35">
        <v>0</v>
      </c>
      <c r="AS154" s="35">
        <v>0</v>
      </c>
      <c r="AT154" s="35">
        <v>0</v>
      </c>
      <c r="AU154" s="35">
        <v>0</v>
      </c>
      <c r="AV154" s="40">
        <f t="shared" si="29"/>
        <v>0</v>
      </c>
      <c r="AX154" s="40">
        <f t="shared" si="26"/>
        <v>19040659</v>
      </c>
    </row>
    <row r="155" spans="1:50" x14ac:dyDescent="0.2">
      <c r="A155" s="29">
        <v>9</v>
      </c>
      <c r="B155" s="29">
        <v>202309</v>
      </c>
      <c r="C155" s="29">
        <v>1</v>
      </c>
      <c r="D155" s="35">
        <v>163668</v>
      </c>
      <c r="E155" s="35">
        <v>1947128</v>
      </c>
      <c r="F155" s="35">
        <v>105510</v>
      </c>
      <c r="G155" s="35">
        <v>11751641</v>
      </c>
      <c r="H155" s="35">
        <v>388935</v>
      </c>
      <c r="I155" s="35">
        <v>10952339</v>
      </c>
      <c r="J155" s="35">
        <v>8705310</v>
      </c>
      <c r="K155" s="35">
        <v>10329213</v>
      </c>
      <c r="L155" s="35">
        <v>17319729</v>
      </c>
      <c r="M155" s="35">
        <v>54636803</v>
      </c>
      <c r="N155" s="35">
        <v>457647</v>
      </c>
      <c r="O155" s="35">
        <v>427920</v>
      </c>
      <c r="P155" s="35">
        <v>469733</v>
      </c>
      <c r="Q155" s="35">
        <v>6149067</v>
      </c>
      <c r="R155" s="35">
        <v>343886</v>
      </c>
      <c r="S155" s="35">
        <v>20571379</v>
      </c>
      <c r="T155" s="40">
        <f t="shared" si="25"/>
        <v>144719908</v>
      </c>
      <c r="V155" s="35">
        <v>1993426</v>
      </c>
      <c r="W155" s="35">
        <v>17044</v>
      </c>
      <c r="X155" s="40">
        <f>SUM(V155:W155)</f>
        <v>2010470</v>
      </c>
      <c r="Z155" s="35">
        <v>7557</v>
      </c>
      <c r="AA155" s="35">
        <v>7968</v>
      </c>
      <c r="AB155" s="35">
        <v>986556</v>
      </c>
      <c r="AC155" s="35">
        <v>349068</v>
      </c>
      <c r="AD155" s="35">
        <v>108446</v>
      </c>
      <c r="AE155" s="35">
        <v>617311</v>
      </c>
      <c r="AF155" s="35">
        <v>1913433</v>
      </c>
      <c r="AG155" s="35">
        <v>2093273</v>
      </c>
      <c r="AH155" s="35">
        <v>16518</v>
      </c>
      <c r="AI155" s="35">
        <v>787234</v>
      </c>
      <c r="AJ155" s="35">
        <v>67038</v>
      </c>
      <c r="AK155" s="35">
        <v>946673</v>
      </c>
      <c r="AL155" s="35">
        <v>258683</v>
      </c>
      <c r="AM155" s="35">
        <v>0</v>
      </c>
      <c r="AN155" s="40">
        <f>SUM(Z155:AM155)</f>
        <v>8159758</v>
      </c>
      <c r="AO155" s="35"/>
      <c r="AP155" s="35">
        <v>625147</v>
      </c>
      <c r="AQ155" s="35">
        <v>116611</v>
      </c>
      <c r="AR155" s="35">
        <v>2679453</v>
      </c>
      <c r="AS155" s="35">
        <v>89063</v>
      </c>
      <c r="AT155" s="35">
        <v>4813142</v>
      </c>
      <c r="AU155" s="35">
        <v>32925</v>
      </c>
      <c r="AV155" s="40">
        <f>SUM(AP155:AU155)</f>
        <v>8356341</v>
      </c>
      <c r="AX155" s="40">
        <f t="shared" si="26"/>
        <v>163246477</v>
      </c>
    </row>
    <row r="156" spans="1:50" x14ac:dyDescent="0.2">
      <c r="A156" s="29">
        <v>9</v>
      </c>
      <c r="B156" s="29">
        <v>202309</v>
      </c>
      <c r="C156" s="29">
        <v>2</v>
      </c>
      <c r="D156" s="35">
        <v>153</v>
      </c>
      <c r="E156" s="35">
        <v>0</v>
      </c>
      <c r="F156" s="35">
        <v>0</v>
      </c>
      <c r="G156" s="35">
        <v>35694</v>
      </c>
      <c r="H156" s="35">
        <v>2380</v>
      </c>
      <c r="I156" s="35">
        <v>24236</v>
      </c>
      <c r="J156" s="35">
        <v>4355</v>
      </c>
      <c r="K156" s="35">
        <v>12667</v>
      </c>
      <c r="L156" s="35">
        <v>56581</v>
      </c>
      <c r="M156" s="35">
        <v>124954</v>
      </c>
      <c r="N156" s="35">
        <v>447</v>
      </c>
      <c r="O156" s="35">
        <v>601</v>
      </c>
      <c r="P156" s="35">
        <v>1217</v>
      </c>
      <c r="Q156" s="35">
        <v>20481</v>
      </c>
      <c r="R156" s="35">
        <v>256</v>
      </c>
      <c r="S156" s="35">
        <v>28656</v>
      </c>
      <c r="T156" s="40">
        <f t="shared" si="25"/>
        <v>312678</v>
      </c>
      <c r="V156" s="35">
        <v>504</v>
      </c>
      <c r="W156" s="35">
        <v>0</v>
      </c>
      <c r="X156" s="40">
        <f t="shared" ref="X156:X173" si="30">SUM(V156:W156)</f>
        <v>504</v>
      </c>
      <c r="Z156" s="35">
        <v>0</v>
      </c>
      <c r="AA156" s="35">
        <v>0</v>
      </c>
      <c r="AB156" s="35">
        <v>3685</v>
      </c>
      <c r="AC156" s="35">
        <v>1756</v>
      </c>
      <c r="AD156" s="35">
        <v>1888</v>
      </c>
      <c r="AE156" s="35">
        <v>821</v>
      </c>
      <c r="AF156" s="35">
        <v>2820</v>
      </c>
      <c r="AG156" s="35">
        <v>7285</v>
      </c>
      <c r="AH156" s="35">
        <v>0</v>
      </c>
      <c r="AI156" s="35">
        <v>736</v>
      </c>
      <c r="AJ156" s="35">
        <v>0</v>
      </c>
      <c r="AK156" s="35">
        <v>3466</v>
      </c>
      <c r="AL156" s="35">
        <v>0</v>
      </c>
      <c r="AM156" s="35">
        <v>0</v>
      </c>
      <c r="AN156" s="40">
        <f t="shared" ref="AN156:AN173" si="31">SUM(Z156:AM156)</f>
        <v>22457</v>
      </c>
      <c r="AP156" s="35">
        <v>1487</v>
      </c>
      <c r="AQ156" s="35">
        <v>0</v>
      </c>
      <c r="AR156" s="35">
        <v>11511</v>
      </c>
      <c r="AS156" s="35">
        <v>0</v>
      </c>
      <c r="AT156" s="35">
        <v>33687</v>
      </c>
      <c r="AU156" s="35">
        <v>0</v>
      </c>
      <c r="AV156" s="40">
        <f t="shared" ref="AV156:AV173" si="32">SUM(AP156:AU156)</f>
        <v>46685</v>
      </c>
      <c r="AX156" s="40">
        <f t="shared" si="26"/>
        <v>382324</v>
      </c>
    </row>
    <row r="157" spans="1:50" x14ac:dyDescent="0.2">
      <c r="A157" s="29">
        <v>9</v>
      </c>
      <c r="B157" s="29">
        <v>202309</v>
      </c>
      <c r="C157" s="29">
        <v>3</v>
      </c>
      <c r="D157" s="35">
        <v>1730</v>
      </c>
      <c r="E157" s="35">
        <v>74337</v>
      </c>
      <c r="F157" s="35">
        <v>0</v>
      </c>
      <c r="G157" s="35">
        <v>96231</v>
      </c>
      <c r="H157" s="35">
        <v>0</v>
      </c>
      <c r="I157" s="35">
        <v>89420</v>
      </c>
      <c r="J157" s="35">
        <v>330251</v>
      </c>
      <c r="K157" s="35">
        <v>384303</v>
      </c>
      <c r="L157" s="35">
        <v>343833</v>
      </c>
      <c r="M157" s="35">
        <v>1560857</v>
      </c>
      <c r="N157" s="35">
        <v>1541</v>
      </c>
      <c r="O157" s="35">
        <v>1622</v>
      </c>
      <c r="P157" s="35">
        <v>1714</v>
      </c>
      <c r="Q157" s="35">
        <v>6698</v>
      </c>
      <c r="R157" s="35">
        <v>1728</v>
      </c>
      <c r="S157" s="35">
        <v>1071017</v>
      </c>
      <c r="T157" s="40">
        <f t="shared" si="25"/>
        <v>3965282</v>
      </c>
      <c r="V157" s="35">
        <v>34435</v>
      </c>
      <c r="W157" s="35">
        <v>1523</v>
      </c>
      <c r="X157" s="40">
        <f t="shared" si="30"/>
        <v>35958</v>
      </c>
      <c r="Z157" s="35">
        <v>0</v>
      </c>
      <c r="AA157" s="35">
        <v>0</v>
      </c>
      <c r="AB157" s="35">
        <v>36251</v>
      </c>
      <c r="AC157" s="35">
        <v>32781</v>
      </c>
      <c r="AD157" s="35">
        <v>2436</v>
      </c>
      <c r="AE157" s="35">
        <v>9096</v>
      </c>
      <c r="AF157" s="35">
        <v>124357</v>
      </c>
      <c r="AG157" s="35">
        <v>17032</v>
      </c>
      <c r="AH157" s="35">
        <v>0</v>
      </c>
      <c r="AI157" s="35">
        <v>11085</v>
      </c>
      <c r="AJ157" s="35">
        <v>755</v>
      </c>
      <c r="AK157" s="35">
        <v>11683</v>
      </c>
      <c r="AL157" s="35">
        <v>4801</v>
      </c>
      <c r="AM157" s="35">
        <v>0</v>
      </c>
      <c r="AN157" s="40">
        <f t="shared" si="31"/>
        <v>250277</v>
      </c>
      <c r="AP157" s="35">
        <v>922</v>
      </c>
      <c r="AQ157" s="35">
        <v>268</v>
      </c>
      <c r="AR157" s="35">
        <v>0</v>
      </c>
      <c r="AS157" s="35">
        <v>0</v>
      </c>
      <c r="AT157" s="35">
        <v>2718</v>
      </c>
      <c r="AU157" s="35">
        <v>0</v>
      </c>
      <c r="AV157" s="40">
        <f t="shared" si="32"/>
        <v>3908</v>
      </c>
      <c r="AX157" s="40">
        <f t="shared" si="26"/>
        <v>4255425</v>
      </c>
    </row>
    <row r="158" spans="1:50" x14ac:dyDescent="0.2">
      <c r="A158" s="29">
        <v>9</v>
      </c>
      <c r="B158" s="29">
        <v>202309</v>
      </c>
      <c r="C158" s="29">
        <v>6</v>
      </c>
      <c r="D158" s="35">
        <v>2308</v>
      </c>
      <c r="E158" s="35">
        <v>2876968</v>
      </c>
      <c r="F158" s="35">
        <v>201314</v>
      </c>
      <c r="G158" s="35">
        <v>7069098</v>
      </c>
      <c r="H158" s="35">
        <v>0</v>
      </c>
      <c r="I158" s="35">
        <v>2962050</v>
      </c>
      <c r="J158" s="35">
        <v>2751194</v>
      </c>
      <c r="K158" s="35">
        <v>7652839</v>
      </c>
      <c r="L158" s="35">
        <v>9514585</v>
      </c>
      <c r="M158" s="35">
        <v>133616246</v>
      </c>
      <c r="N158" s="35">
        <v>509660</v>
      </c>
      <c r="O158" s="35">
        <v>13658</v>
      </c>
      <c r="P158" s="35">
        <v>70200</v>
      </c>
      <c r="Q158" s="35">
        <v>8610972</v>
      </c>
      <c r="R158" s="35">
        <v>920044</v>
      </c>
      <c r="S158" s="35">
        <v>27572529</v>
      </c>
      <c r="T158" s="40">
        <f t="shared" si="25"/>
        <v>204343665</v>
      </c>
      <c r="V158" s="35">
        <v>1001067</v>
      </c>
      <c r="W158" s="35">
        <v>6629</v>
      </c>
      <c r="X158" s="40">
        <f t="shared" si="30"/>
        <v>1007696</v>
      </c>
      <c r="Z158" s="35">
        <v>0</v>
      </c>
      <c r="AA158" s="35">
        <v>46156</v>
      </c>
      <c r="AB158" s="35">
        <v>1037175</v>
      </c>
      <c r="AC158" s="35">
        <v>61720</v>
      </c>
      <c r="AD158" s="35">
        <v>78720</v>
      </c>
      <c r="AE158" s="35">
        <v>507154</v>
      </c>
      <c r="AF158" s="35">
        <v>2662464</v>
      </c>
      <c r="AG158" s="35">
        <v>549710</v>
      </c>
      <c r="AH158" s="35">
        <v>16080</v>
      </c>
      <c r="AI158" s="35">
        <v>143400</v>
      </c>
      <c r="AJ158" s="35">
        <v>81840</v>
      </c>
      <c r="AK158" s="35">
        <v>127826</v>
      </c>
      <c r="AL158" s="35">
        <v>273117</v>
      </c>
      <c r="AM158" s="35">
        <v>0</v>
      </c>
      <c r="AN158" s="40">
        <f t="shared" si="31"/>
        <v>5585362</v>
      </c>
      <c r="AP158" s="35">
        <v>369504</v>
      </c>
      <c r="AQ158" s="35">
        <v>0</v>
      </c>
      <c r="AR158" s="35">
        <v>1038367</v>
      </c>
      <c r="AS158" s="35">
        <v>0</v>
      </c>
      <c r="AT158" s="35">
        <v>3981005</v>
      </c>
      <c r="AU158" s="35">
        <v>0</v>
      </c>
      <c r="AV158" s="40">
        <f t="shared" si="32"/>
        <v>5388876</v>
      </c>
      <c r="AX158" s="40">
        <f t="shared" si="26"/>
        <v>216325599</v>
      </c>
    </row>
    <row r="159" spans="1:50" x14ac:dyDescent="0.2">
      <c r="A159" s="29">
        <v>9</v>
      </c>
      <c r="B159" s="29">
        <v>202309</v>
      </c>
      <c r="C159" s="29" t="s">
        <v>230</v>
      </c>
      <c r="D159" s="35">
        <v>0</v>
      </c>
      <c r="E159" s="35">
        <v>35925</v>
      </c>
      <c r="F159" s="35">
        <v>0</v>
      </c>
      <c r="G159" s="35">
        <v>789255</v>
      </c>
      <c r="H159" s="35">
        <v>32935</v>
      </c>
      <c r="I159" s="35">
        <v>99680</v>
      </c>
      <c r="J159" s="35">
        <v>255960</v>
      </c>
      <c r="K159" s="35">
        <v>1029569</v>
      </c>
      <c r="L159" s="35">
        <v>302932</v>
      </c>
      <c r="M159" s="35">
        <v>6012394</v>
      </c>
      <c r="N159" s="35">
        <v>2960</v>
      </c>
      <c r="O159" s="35">
        <v>1640</v>
      </c>
      <c r="P159" s="35">
        <v>2120</v>
      </c>
      <c r="Q159" s="35">
        <v>515730</v>
      </c>
      <c r="R159" s="35">
        <v>8000</v>
      </c>
      <c r="S159" s="35">
        <v>1089999</v>
      </c>
      <c r="T159" s="40">
        <f t="shared" si="25"/>
        <v>10179099</v>
      </c>
      <c r="V159" s="35">
        <v>0</v>
      </c>
      <c r="W159" s="35">
        <v>0</v>
      </c>
      <c r="X159" s="40">
        <f t="shared" si="30"/>
        <v>0</v>
      </c>
      <c r="Z159" s="35">
        <v>0</v>
      </c>
      <c r="AA159" s="35">
        <v>4777</v>
      </c>
      <c r="AB159" s="35">
        <v>8600</v>
      </c>
      <c r="AC159" s="35">
        <v>0</v>
      </c>
      <c r="AD159" s="35">
        <v>0</v>
      </c>
      <c r="AE159" s="35">
        <v>9192</v>
      </c>
      <c r="AF159" s="35">
        <v>428530</v>
      </c>
      <c r="AG159" s="35">
        <v>8240</v>
      </c>
      <c r="AH159" s="35">
        <v>0</v>
      </c>
      <c r="AI159" s="35">
        <v>600</v>
      </c>
      <c r="AJ159" s="35">
        <v>0</v>
      </c>
      <c r="AK159" s="35">
        <v>0</v>
      </c>
      <c r="AL159" s="35">
        <v>0</v>
      </c>
      <c r="AM159" s="35">
        <v>0</v>
      </c>
      <c r="AN159" s="40">
        <f t="shared" si="31"/>
        <v>459939</v>
      </c>
      <c r="AP159" s="35">
        <v>0</v>
      </c>
      <c r="AQ159" s="35">
        <v>0</v>
      </c>
      <c r="AR159" s="35">
        <v>381405</v>
      </c>
      <c r="AS159" s="35">
        <v>62400</v>
      </c>
      <c r="AT159" s="35">
        <v>525033</v>
      </c>
      <c r="AU159" s="35">
        <v>18240</v>
      </c>
      <c r="AV159" s="40">
        <f t="shared" si="32"/>
        <v>987078</v>
      </c>
      <c r="AX159" s="40">
        <f t="shared" si="26"/>
        <v>11626116</v>
      </c>
    </row>
    <row r="160" spans="1:50" x14ac:dyDescent="0.2">
      <c r="A160" s="29">
        <v>9</v>
      </c>
      <c r="B160" s="29">
        <v>202309</v>
      </c>
      <c r="C160" s="29" t="s">
        <v>231</v>
      </c>
      <c r="D160" s="35">
        <v>0</v>
      </c>
      <c r="E160" s="35">
        <v>0</v>
      </c>
      <c r="F160" s="35">
        <v>0</v>
      </c>
      <c r="G160" s="35">
        <v>0</v>
      </c>
      <c r="H160" s="35">
        <v>0</v>
      </c>
      <c r="I160" s="35">
        <v>0</v>
      </c>
      <c r="J160" s="35">
        <v>0</v>
      </c>
      <c r="K160" s="35">
        <v>0</v>
      </c>
      <c r="L160" s="35">
        <v>0</v>
      </c>
      <c r="M160" s="35">
        <v>0</v>
      </c>
      <c r="N160" s="35">
        <v>0</v>
      </c>
      <c r="O160" s="35">
        <v>0</v>
      </c>
      <c r="P160" s="35">
        <v>0</v>
      </c>
      <c r="Q160" s="35">
        <v>0</v>
      </c>
      <c r="R160" s="35">
        <v>0</v>
      </c>
      <c r="S160" s="35">
        <v>0</v>
      </c>
      <c r="T160" s="40">
        <f t="shared" si="25"/>
        <v>0</v>
      </c>
      <c r="V160" s="35">
        <v>0</v>
      </c>
      <c r="W160" s="35">
        <v>0</v>
      </c>
      <c r="X160" s="40">
        <f t="shared" si="30"/>
        <v>0</v>
      </c>
      <c r="Z160" s="35">
        <v>0</v>
      </c>
      <c r="AA160" s="35">
        <v>0</v>
      </c>
      <c r="AB160" s="35">
        <v>0</v>
      </c>
      <c r="AC160" s="35">
        <v>0</v>
      </c>
      <c r="AD160" s="35">
        <v>0</v>
      </c>
      <c r="AE160" s="35">
        <v>0</v>
      </c>
      <c r="AF160" s="35">
        <v>0</v>
      </c>
      <c r="AG160" s="35">
        <v>0</v>
      </c>
      <c r="AH160" s="35">
        <v>0</v>
      </c>
      <c r="AI160" s="35">
        <v>0</v>
      </c>
      <c r="AJ160" s="35">
        <v>0</v>
      </c>
      <c r="AK160" s="35">
        <v>0</v>
      </c>
      <c r="AL160" s="35">
        <v>0</v>
      </c>
      <c r="AM160" s="35">
        <v>0</v>
      </c>
      <c r="AN160" s="40">
        <f t="shared" si="31"/>
        <v>0</v>
      </c>
      <c r="AP160" s="35">
        <v>0</v>
      </c>
      <c r="AQ160" s="35">
        <v>0</v>
      </c>
      <c r="AR160" s="35">
        <v>0</v>
      </c>
      <c r="AS160" s="35">
        <v>0</v>
      </c>
      <c r="AT160" s="35">
        <v>0</v>
      </c>
      <c r="AU160" s="35">
        <v>0</v>
      </c>
      <c r="AV160" s="40">
        <f t="shared" si="32"/>
        <v>0</v>
      </c>
      <c r="AX160" s="40">
        <f t="shared" si="26"/>
        <v>0</v>
      </c>
    </row>
    <row r="161" spans="1:50" x14ac:dyDescent="0.2">
      <c r="A161" s="29">
        <v>9</v>
      </c>
      <c r="B161" s="29">
        <v>202309</v>
      </c>
      <c r="C161" s="29">
        <v>7</v>
      </c>
      <c r="D161" s="35">
        <v>0</v>
      </c>
      <c r="E161" s="35">
        <v>7016</v>
      </c>
      <c r="F161" s="35">
        <v>0</v>
      </c>
      <c r="G161" s="35">
        <v>4085</v>
      </c>
      <c r="H161" s="35">
        <v>0</v>
      </c>
      <c r="I161" s="35">
        <v>10444</v>
      </c>
      <c r="J161" s="35">
        <v>7274</v>
      </c>
      <c r="K161" s="35">
        <v>16385</v>
      </c>
      <c r="L161" s="35">
        <v>25221</v>
      </c>
      <c r="M161" s="35">
        <v>195404</v>
      </c>
      <c r="N161" s="35">
        <v>1924</v>
      </c>
      <c r="O161" s="35">
        <v>177</v>
      </c>
      <c r="P161" s="35">
        <v>304</v>
      </c>
      <c r="Q161" s="35">
        <v>716</v>
      </c>
      <c r="R161" s="35">
        <v>259</v>
      </c>
      <c r="S161" s="35">
        <v>47967</v>
      </c>
      <c r="T161" s="40">
        <f t="shared" si="25"/>
        <v>317176</v>
      </c>
      <c r="V161" s="35">
        <v>3055</v>
      </c>
      <c r="W161" s="35">
        <v>78</v>
      </c>
      <c r="X161" s="40">
        <f t="shared" si="30"/>
        <v>3133</v>
      </c>
      <c r="Z161" s="35">
        <v>0</v>
      </c>
      <c r="AA161" s="35">
        <v>0</v>
      </c>
      <c r="AB161" s="35">
        <v>285</v>
      </c>
      <c r="AC161" s="35">
        <v>444</v>
      </c>
      <c r="AD161" s="35">
        <v>296</v>
      </c>
      <c r="AE161" s="35">
        <v>69</v>
      </c>
      <c r="AF161" s="35">
        <v>7306</v>
      </c>
      <c r="AG161" s="35">
        <v>779</v>
      </c>
      <c r="AH161" s="35">
        <v>444</v>
      </c>
      <c r="AI161" s="35">
        <v>0</v>
      </c>
      <c r="AJ161" s="35">
        <v>0</v>
      </c>
      <c r="AK161" s="35">
        <v>56</v>
      </c>
      <c r="AL161" s="35">
        <v>646</v>
      </c>
      <c r="AM161" s="35">
        <v>0</v>
      </c>
      <c r="AN161" s="40">
        <f t="shared" si="31"/>
        <v>10325</v>
      </c>
      <c r="AP161" s="35">
        <v>427</v>
      </c>
      <c r="AQ161" s="35">
        <v>208</v>
      </c>
      <c r="AR161" s="35">
        <v>39</v>
      </c>
      <c r="AS161" s="35">
        <v>97</v>
      </c>
      <c r="AT161" s="35">
        <v>309</v>
      </c>
      <c r="AU161" s="35">
        <v>0</v>
      </c>
      <c r="AV161" s="40">
        <f t="shared" si="32"/>
        <v>1080</v>
      </c>
      <c r="AX161" s="40">
        <f t="shared" si="26"/>
        <v>331714</v>
      </c>
    </row>
    <row r="162" spans="1:50" x14ac:dyDescent="0.2">
      <c r="A162" s="29">
        <v>9</v>
      </c>
      <c r="B162" s="29">
        <v>202309</v>
      </c>
      <c r="C162" s="29">
        <v>8</v>
      </c>
      <c r="D162" s="35">
        <v>0</v>
      </c>
      <c r="E162" s="35">
        <v>0</v>
      </c>
      <c r="F162" s="35">
        <v>0</v>
      </c>
      <c r="G162" s="35">
        <v>0</v>
      </c>
      <c r="H162" s="35">
        <v>0</v>
      </c>
      <c r="I162" s="35">
        <v>0</v>
      </c>
      <c r="J162" s="35">
        <v>463840</v>
      </c>
      <c r="K162" s="35">
        <v>589500</v>
      </c>
      <c r="L162" s="35">
        <v>1645200</v>
      </c>
      <c r="M162" s="35">
        <v>51341190</v>
      </c>
      <c r="N162" s="35">
        <v>0</v>
      </c>
      <c r="O162" s="35">
        <v>0</v>
      </c>
      <c r="P162" s="35">
        <v>0</v>
      </c>
      <c r="Q162" s="35">
        <v>4500</v>
      </c>
      <c r="R162" s="35">
        <v>0</v>
      </c>
      <c r="S162" s="35">
        <v>10907700</v>
      </c>
      <c r="T162" s="40">
        <f t="shared" si="25"/>
        <v>64951930</v>
      </c>
      <c r="V162" s="35">
        <v>0</v>
      </c>
      <c r="W162" s="35">
        <v>0</v>
      </c>
      <c r="X162" s="40">
        <f t="shared" si="30"/>
        <v>0</v>
      </c>
      <c r="Z162" s="35">
        <v>145800</v>
      </c>
      <c r="AA162" s="35">
        <v>0</v>
      </c>
      <c r="AB162" s="35">
        <v>2592000</v>
      </c>
      <c r="AC162" s="35">
        <v>0</v>
      </c>
      <c r="AD162" s="35">
        <v>0</v>
      </c>
      <c r="AE162" s="35">
        <v>1378800</v>
      </c>
      <c r="AF162" s="35">
        <v>3104400</v>
      </c>
      <c r="AG162" s="35">
        <v>0</v>
      </c>
      <c r="AH162" s="35">
        <v>0</v>
      </c>
      <c r="AI162" s="35">
        <v>0</v>
      </c>
      <c r="AJ162" s="35">
        <v>0</v>
      </c>
      <c r="AK162" s="35">
        <v>0</v>
      </c>
      <c r="AL162" s="35">
        <v>0</v>
      </c>
      <c r="AM162" s="35">
        <v>0</v>
      </c>
      <c r="AN162" s="40">
        <f t="shared" si="31"/>
        <v>7221000</v>
      </c>
      <c r="AP162" s="35">
        <v>0</v>
      </c>
      <c r="AQ162" s="35">
        <v>0</v>
      </c>
      <c r="AR162" s="35">
        <v>0</v>
      </c>
      <c r="AS162" s="35">
        <v>0</v>
      </c>
      <c r="AT162" s="35">
        <v>557000</v>
      </c>
      <c r="AU162" s="35">
        <v>0</v>
      </c>
      <c r="AV162" s="40">
        <f t="shared" si="32"/>
        <v>557000</v>
      </c>
      <c r="AX162" s="40">
        <f t="shared" si="26"/>
        <v>72729930</v>
      </c>
    </row>
    <row r="163" spans="1:50" x14ac:dyDescent="0.2">
      <c r="A163" s="29">
        <v>9</v>
      </c>
      <c r="B163" s="29">
        <v>202309</v>
      </c>
      <c r="C163" s="29">
        <v>9</v>
      </c>
      <c r="D163" s="35">
        <v>0</v>
      </c>
      <c r="E163" s="35">
        <v>0</v>
      </c>
      <c r="F163" s="35">
        <v>0</v>
      </c>
      <c r="G163" s="35">
        <v>655200</v>
      </c>
      <c r="H163" s="35">
        <v>0</v>
      </c>
      <c r="I163" s="35">
        <v>0</v>
      </c>
      <c r="J163" s="35">
        <v>0</v>
      </c>
      <c r="K163" s="35">
        <v>0</v>
      </c>
      <c r="L163" s="35">
        <v>0</v>
      </c>
      <c r="M163" s="35">
        <v>16922175</v>
      </c>
      <c r="N163" s="35">
        <v>0</v>
      </c>
      <c r="O163" s="35">
        <v>0</v>
      </c>
      <c r="P163" s="35">
        <v>0</v>
      </c>
      <c r="Q163" s="35">
        <v>0</v>
      </c>
      <c r="R163" s="35">
        <v>0</v>
      </c>
      <c r="S163" s="35">
        <v>24687200</v>
      </c>
      <c r="T163" s="40">
        <f t="shared" si="25"/>
        <v>42264575</v>
      </c>
      <c r="V163" s="35">
        <v>1345679</v>
      </c>
      <c r="W163" s="35">
        <v>0</v>
      </c>
      <c r="X163" s="40">
        <f t="shared" si="30"/>
        <v>1345679</v>
      </c>
      <c r="Z163" s="35">
        <v>0</v>
      </c>
      <c r="AA163" s="35">
        <v>0</v>
      </c>
      <c r="AB163" s="35">
        <v>0</v>
      </c>
      <c r="AC163" s="35">
        <v>0</v>
      </c>
      <c r="AD163" s="35">
        <v>0</v>
      </c>
      <c r="AE163" s="35">
        <v>0</v>
      </c>
      <c r="AF163" s="35">
        <v>1680000</v>
      </c>
      <c r="AG163" s="35">
        <v>0</v>
      </c>
      <c r="AH163" s="35">
        <v>0</v>
      </c>
      <c r="AI163" s="35">
        <v>0</v>
      </c>
      <c r="AJ163" s="35">
        <v>0</v>
      </c>
      <c r="AK163" s="35">
        <v>31200</v>
      </c>
      <c r="AL163" s="35">
        <v>0</v>
      </c>
      <c r="AM163" s="35">
        <v>0</v>
      </c>
      <c r="AN163" s="40">
        <f t="shared" si="31"/>
        <v>1711200</v>
      </c>
      <c r="AP163" s="35">
        <v>0</v>
      </c>
      <c r="AQ163" s="35">
        <v>0</v>
      </c>
      <c r="AR163" s="35">
        <v>0</v>
      </c>
      <c r="AS163" s="35">
        <v>0</v>
      </c>
      <c r="AT163" s="35">
        <v>0</v>
      </c>
      <c r="AU163" s="35">
        <v>0</v>
      </c>
      <c r="AV163" s="40">
        <f t="shared" si="32"/>
        <v>0</v>
      </c>
      <c r="AX163" s="40">
        <f t="shared" si="26"/>
        <v>45321454</v>
      </c>
    </row>
    <row r="164" spans="1:50" x14ac:dyDescent="0.2">
      <c r="A164" s="29">
        <v>9</v>
      </c>
      <c r="B164" s="29">
        <v>202309</v>
      </c>
      <c r="C164" s="29" t="s">
        <v>234</v>
      </c>
      <c r="D164" s="35">
        <v>0</v>
      </c>
      <c r="E164" s="35">
        <v>0</v>
      </c>
      <c r="F164" s="35">
        <v>0</v>
      </c>
      <c r="G164" s="35">
        <v>0</v>
      </c>
      <c r="H164" s="35">
        <v>0</v>
      </c>
      <c r="I164" s="35">
        <v>0</v>
      </c>
      <c r="J164" s="35">
        <v>0</v>
      </c>
      <c r="K164" s="35">
        <v>0</v>
      </c>
      <c r="L164" s="35">
        <v>0</v>
      </c>
      <c r="M164" s="35">
        <v>392400</v>
      </c>
      <c r="N164" s="35">
        <v>0</v>
      </c>
      <c r="O164" s="35">
        <v>0</v>
      </c>
      <c r="P164" s="35">
        <v>0</v>
      </c>
      <c r="Q164" s="35">
        <v>0</v>
      </c>
      <c r="R164" s="35">
        <v>0</v>
      </c>
      <c r="S164" s="35">
        <v>0</v>
      </c>
      <c r="T164" s="40">
        <f t="shared" si="25"/>
        <v>392400</v>
      </c>
      <c r="V164" s="35">
        <v>0</v>
      </c>
      <c r="W164" s="35">
        <v>0</v>
      </c>
      <c r="X164" s="40">
        <f t="shared" si="30"/>
        <v>0</v>
      </c>
      <c r="Z164" s="35">
        <v>0</v>
      </c>
      <c r="AA164" s="35">
        <v>0</v>
      </c>
      <c r="AB164" s="35">
        <v>0</v>
      </c>
      <c r="AC164" s="35">
        <v>0</v>
      </c>
      <c r="AD164" s="35">
        <v>0</v>
      </c>
      <c r="AE164" s="35">
        <v>0</v>
      </c>
      <c r="AF164" s="35">
        <v>0</v>
      </c>
      <c r="AG164" s="35">
        <v>0</v>
      </c>
      <c r="AH164" s="35">
        <v>0</v>
      </c>
      <c r="AI164" s="35">
        <v>0</v>
      </c>
      <c r="AJ164" s="35">
        <v>0</v>
      </c>
      <c r="AK164" s="35">
        <v>0</v>
      </c>
      <c r="AL164" s="35">
        <v>0</v>
      </c>
      <c r="AM164" s="35">
        <v>0</v>
      </c>
      <c r="AN164" s="40">
        <f t="shared" si="31"/>
        <v>0</v>
      </c>
      <c r="AP164" s="35">
        <v>0</v>
      </c>
      <c r="AQ164" s="35">
        <v>0</v>
      </c>
      <c r="AR164" s="35">
        <v>0</v>
      </c>
      <c r="AS164" s="35">
        <v>0</v>
      </c>
      <c r="AT164" s="35">
        <v>0</v>
      </c>
      <c r="AU164" s="35">
        <v>0</v>
      </c>
      <c r="AV164" s="40">
        <f t="shared" si="32"/>
        <v>0</v>
      </c>
      <c r="AX164" s="40">
        <f t="shared" si="26"/>
        <v>392400</v>
      </c>
    </row>
    <row r="165" spans="1:50" x14ac:dyDescent="0.2">
      <c r="A165" s="29">
        <v>9</v>
      </c>
      <c r="B165" s="29">
        <v>202309</v>
      </c>
      <c r="C165" s="29" t="s">
        <v>235</v>
      </c>
      <c r="D165" s="35">
        <v>0</v>
      </c>
      <c r="E165" s="35">
        <v>0</v>
      </c>
      <c r="F165" s="35">
        <v>0</v>
      </c>
      <c r="G165" s="35">
        <v>0</v>
      </c>
      <c r="H165" s="35">
        <v>0</v>
      </c>
      <c r="I165" s="35">
        <v>0</v>
      </c>
      <c r="J165" s="35">
        <v>0</v>
      </c>
      <c r="K165" s="35">
        <v>0</v>
      </c>
      <c r="L165" s="35">
        <v>0</v>
      </c>
      <c r="M165" s="35">
        <v>156184</v>
      </c>
      <c r="N165" s="35">
        <v>0</v>
      </c>
      <c r="O165" s="35">
        <v>0</v>
      </c>
      <c r="P165" s="35">
        <v>0</v>
      </c>
      <c r="Q165" s="35">
        <v>0</v>
      </c>
      <c r="R165" s="35">
        <v>0</v>
      </c>
      <c r="S165" s="35">
        <v>3577396</v>
      </c>
      <c r="T165" s="40">
        <f t="shared" si="25"/>
        <v>3733580</v>
      </c>
      <c r="V165" s="35">
        <v>0</v>
      </c>
      <c r="W165" s="35">
        <v>0</v>
      </c>
      <c r="X165" s="40">
        <f t="shared" si="30"/>
        <v>0</v>
      </c>
      <c r="Z165" s="35">
        <v>0</v>
      </c>
      <c r="AA165" s="35">
        <v>0</v>
      </c>
      <c r="AB165" s="35">
        <v>23710000</v>
      </c>
      <c r="AC165" s="35">
        <v>0</v>
      </c>
      <c r="AD165" s="35">
        <v>0</v>
      </c>
      <c r="AE165" s="35">
        <v>0</v>
      </c>
      <c r="AF165" s="35">
        <v>0</v>
      </c>
      <c r="AG165" s="35">
        <v>0</v>
      </c>
      <c r="AH165" s="35">
        <v>0</v>
      </c>
      <c r="AI165" s="35">
        <v>0</v>
      </c>
      <c r="AJ165" s="35">
        <v>0</v>
      </c>
      <c r="AK165" s="35">
        <v>0</v>
      </c>
      <c r="AL165" s="35">
        <v>0</v>
      </c>
      <c r="AM165" s="35">
        <v>0</v>
      </c>
      <c r="AN165" s="40">
        <f t="shared" si="31"/>
        <v>23710000</v>
      </c>
      <c r="AP165" s="35">
        <v>0</v>
      </c>
      <c r="AQ165" s="35">
        <v>0</v>
      </c>
      <c r="AR165" s="35">
        <v>0</v>
      </c>
      <c r="AS165" s="35">
        <v>0</v>
      </c>
      <c r="AT165" s="35">
        <v>0</v>
      </c>
      <c r="AU165" s="35">
        <v>0</v>
      </c>
      <c r="AV165" s="40">
        <f t="shared" si="32"/>
        <v>0</v>
      </c>
      <c r="AX165" s="40">
        <f t="shared" si="26"/>
        <v>27443580</v>
      </c>
    </row>
    <row r="166" spans="1:50" x14ac:dyDescent="0.2">
      <c r="A166" s="29">
        <v>9</v>
      </c>
      <c r="B166" s="29">
        <v>202309</v>
      </c>
      <c r="C166" s="29">
        <v>10</v>
      </c>
      <c r="D166" s="35">
        <v>376</v>
      </c>
      <c r="E166" s="35">
        <v>7919</v>
      </c>
      <c r="F166" s="35">
        <v>0</v>
      </c>
      <c r="G166" s="35">
        <v>12865</v>
      </c>
      <c r="H166" s="35">
        <v>0</v>
      </c>
      <c r="I166" s="35">
        <v>1210</v>
      </c>
      <c r="J166" s="35">
        <v>726</v>
      </c>
      <c r="K166" s="35">
        <v>0</v>
      </c>
      <c r="L166" s="35">
        <v>13011</v>
      </c>
      <c r="M166" s="35">
        <v>94878</v>
      </c>
      <c r="N166" s="35">
        <v>5121</v>
      </c>
      <c r="O166" s="35">
        <v>43</v>
      </c>
      <c r="P166" s="35">
        <v>13055</v>
      </c>
      <c r="Q166" s="35">
        <v>54982</v>
      </c>
      <c r="R166" s="35">
        <v>19901</v>
      </c>
      <c r="S166" s="35">
        <v>21911</v>
      </c>
      <c r="T166" s="40">
        <f t="shared" si="25"/>
        <v>245998</v>
      </c>
      <c r="V166" s="35">
        <v>16660</v>
      </c>
      <c r="W166" s="35">
        <v>46359</v>
      </c>
      <c r="X166" s="40">
        <f t="shared" si="30"/>
        <v>63019</v>
      </c>
      <c r="Z166" s="35">
        <v>0</v>
      </c>
      <c r="AA166" s="35">
        <v>0</v>
      </c>
      <c r="AB166" s="35">
        <v>0</v>
      </c>
      <c r="AC166" s="35">
        <v>0</v>
      </c>
      <c r="AD166" s="35">
        <v>0</v>
      </c>
      <c r="AE166" s="35">
        <v>0</v>
      </c>
      <c r="AF166" s="35">
        <v>31040</v>
      </c>
      <c r="AG166" s="35">
        <v>3393</v>
      </c>
      <c r="AH166" s="35">
        <v>0</v>
      </c>
      <c r="AI166" s="35">
        <v>0</v>
      </c>
      <c r="AJ166" s="35">
        <v>0</v>
      </c>
      <c r="AK166" s="35">
        <v>1225</v>
      </c>
      <c r="AL166" s="35">
        <v>0</v>
      </c>
      <c r="AM166" s="35">
        <v>0</v>
      </c>
      <c r="AN166" s="40">
        <f t="shared" si="31"/>
        <v>35658</v>
      </c>
      <c r="AP166" s="35">
        <v>8739</v>
      </c>
      <c r="AQ166" s="35">
        <v>13</v>
      </c>
      <c r="AR166" s="35">
        <v>0</v>
      </c>
      <c r="AS166" s="35">
        <v>2196</v>
      </c>
      <c r="AT166" s="35">
        <v>0</v>
      </c>
      <c r="AU166" s="35">
        <v>12160</v>
      </c>
      <c r="AV166" s="40">
        <f t="shared" si="32"/>
        <v>23108</v>
      </c>
      <c r="AX166" s="40">
        <f t="shared" si="26"/>
        <v>367783</v>
      </c>
    </row>
    <row r="167" spans="1:50" x14ac:dyDescent="0.2">
      <c r="A167" s="29">
        <v>9</v>
      </c>
      <c r="B167" s="29">
        <v>202309</v>
      </c>
      <c r="C167" s="29">
        <v>11</v>
      </c>
      <c r="D167" s="35">
        <v>0</v>
      </c>
      <c r="E167" s="35">
        <v>0</v>
      </c>
      <c r="F167" s="35">
        <v>44</v>
      </c>
      <c r="G167" s="35">
        <v>27842</v>
      </c>
      <c r="H167" s="35">
        <v>0</v>
      </c>
      <c r="I167" s="35">
        <v>22791</v>
      </c>
      <c r="J167" s="35">
        <v>0</v>
      </c>
      <c r="K167" s="35">
        <v>0</v>
      </c>
      <c r="L167" s="35">
        <v>0</v>
      </c>
      <c r="M167" s="35">
        <v>4515</v>
      </c>
      <c r="N167" s="35">
        <v>226</v>
      </c>
      <c r="O167" s="35">
        <v>499</v>
      </c>
      <c r="P167" s="35">
        <v>0</v>
      </c>
      <c r="Q167" s="35">
        <v>2548</v>
      </c>
      <c r="R167" s="35">
        <v>117</v>
      </c>
      <c r="S167" s="35">
        <v>115451</v>
      </c>
      <c r="T167" s="40">
        <f t="shared" si="25"/>
        <v>174033</v>
      </c>
      <c r="V167" s="35">
        <v>24352</v>
      </c>
      <c r="W167" s="35">
        <v>0</v>
      </c>
      <c r="X167" s="40">
        <f t="shared" si="30"/>
        <v>24352</v>
      </c>
      <c r="Z167" s="35">
        <v>0</v>
      </c>
      <c r="AA167" s="35">
        <v>0</v>
      </c>
      <c r="AB167" s="35">
        <v>0</v>
      </c>
      <c r="AC167" s="35">
        <v>0</v>
      </c>
      <c r="AD167" s="35">
        <v>0</v>
      </c>
      <c r="AE167" s="35">
        <v>0</v>
      </c>
      <c r="AF167" s="35">
        <v>5304</v>
      </c>
      <c r="AG167" s="35">
        <v>0</v>
      </c>
      <c r="AH167" s="35">
        <v>1184</v>
      </c>
      <c r="AI167" s="35">
        <v>0</v>
      </c>
      <c r="AJ167" s="35">
        <v>0</v>
      </c>
      <c r="AK167" s="35">
        <v>0</v>
      </c>
      <c r="AL167" s="35">
        <v>0</v>
      </c>
      <c r="AM167" s="35">
        <v>0</v>
      </c>
      <c r="AN167" s="40">
        <f t="shared" si="31"/>
        <v>6488</v>
      </c>
      <c r="AP167" s="35">
        <v>0</v>
      </c>
      <c r="AQ167" s="35">
        <v>0</v>
      </c>
      <c r="AR167" s="35">
        <v>0</v>
      </c>
      <c r="AS167" s="35">
        <v>0</v>
      </c>
      <c r="AT167" s="35">
        <v>0</v>
      </c>
      <c r="AU167" s="35">
        <v>0</v>
      </c>
      <c r="AV167" s="40">
        <f t="shared" si="32"/>
        <v>0</v>
      </c>
      <c r="AX167" s="40">
        <f t="shared" si="26"/>
        <v>204873</v>
      </c>
    </row>
    <row r="168" spans="1:50" x14ac:dyDescent="0.2">
      <c r="A168" s="29">
        <v>9</v>
      </c>
      <c r="B168" s="29">
        <v>202309</v>
      </c>
      <c r="C168" s="29">
        <v>12</v>
      </c>
      <c r="D168" s="35">
        <v>0</v>
      </c>
      <c r="E168" s="35">
        <v>0</v>
      </c>
      <c r="F168" s="35">
        <v>0</v>
      </c>
      <c r="G168" s="35">
        <v>14432</v>
      </c>
      <c r="H168" s="35">
        <v>0</v>
      </c>
      <c r="I168" s="35">
        <v>10745</v>
      </c>
      <c r="J168" s="35">
        <v>0</v>
      </c>
      <c r="K168" s="35">
        <v>46668</v>
      </c>
      <c r="L168" s="35">
        <v>156</v>
      </c>
      <c r="M168" s="35">
        <v>971757</v>
      </c>
      <c r="N168" s="35">
        <v>1036</v>
      </c>
      <c r="O168" s="35">
        <v>0</v>
      </c>
      <c r="P168" s="35">
        <v>0</v>
      </c>
      <c r="Q168" s="35">
        <v>18939</v>
      </c>
      <c r="R168" s="35">
        <v>0</v>
      </c>
      <c r="S168" s="35">
        <v>58321</v>
      </c>
      <c r="T168" s="40">
        <f t="shared" si="25"/>
        <v>1122054</v>
      </c>
      <c r="V168" s="35">
        <v>4401</v>
      </c>
      <c r="W168" s="35">
        <v>0</v>
      </c>
      <c r="X168" s="40">
        <f t="shared" si="30"/>
        <v>4401</v>
      </c>
      <c r="Z168" s="35">
        <v>0</v>
      </c>
      <c r="AA168" s="35">
        <v>0</v>
      </c>
      <c r="AB168" s="35">
        <v>0</v>
      </c>
      <c r="AC168" s="35">
        <v>0</v>
      </c>
      <c r="AD168" s="35">
        <v>0</v>
      </c>
      <c r="AE168" s="35">
        <v>0</v>
      </c>
      <c r="AF168" s="35">
        <v>55373</v>
      </c>
      <c r="AG168" s="35">
        <v>0</v>
      </c>
      <c r="AH168" s="35">
        <v>0</v>
      </c>
      <c r="AI168" s="35">
        <v>308</v>
      </c>
      <c r="AJ168" s="35">
        <v>0</v>
      </c>
      <c r="AK168" s="35">
        <v>0</v>
      </c>
      <c r="AL168" s="35">
        <v>35189</v>
      </c>
      <c r="AM168" s="35">
        <v>0</v>
      </c>
      <c r="AN168" s="40">
        <f t="shared" si="31"/>
        <v>90870</v>
      </c>
      <c r="AP168" s="35">
        <v>0</v>
      </c>
      <c r="AQ168" s="35">
        <v>0</v>
      </c>
      <c r="AR168" s="35">
        <v>543</v>
      </c>
      <c r="AS168" s="35">
        <v>0</v>
      </c>
      <c r="AT168" s="35">
        <v>276</v>
      </c>
      <c r="AU168" s="35">
        <v>0</v>
      </c>
      <c r="AV168" s="40">
        <f t="shared" si="32"/>
        <v>819</v>
      </c>
      <c r="AX168" s="40">
        <f t="shared" si="26"/>
        <v>1218144</v>
      </c>
    </row>
    <row r="169" spans="1:50" x14ac:dyDescent="0.2">
      <c r="A169" s="29">
        <v>9</v>
      </c>
      <c r="B169" s="29">
        <v>202309</v>
      </c>
      <c r="C169" s="29">
        <v>15</v>
      </c>
      <c r="D169" s="35">
        <v>0</v>
      </c>
      <c r="E169" s="35">
        <v>11822</v>
      </c>
      <c r="F169" s="35">
        <v>0</v>
      </c>
      <c r="G169" s="35">
        <v>14026</v>
      </c>
      <c r="H169" s="35">
        <v>0</v>
      </c>
      <c r="I169" s="35">
        <v>7733</v>
      </c>
      <c r="J169" s="35">
        <v>14172</v>
      </c>
      <c r="K169" s="35">
        <v>31499</v>
      </c>
      <c r="L169" s="35">
        <v>14388</v>
      </c>
      <c r="M169" s="35">
        <v>435809</v>
      </c>
      <c r="N169" s="35">
        <v>1567</v>
      </c>
      <c r="O169" s="35">
        <v>277</v>
      </c>
      <c r="P169" s="35">
        <v>0</v>
      </c>
      <c r="Q169" s="35">
        <v>10383</v>
      </c>
      <c r="R169" s="35">
        <v>0</v>
      </c>
      <c r="S169" s="35">
        <v>69811</v>
      </c>
      <c r="T169" s="40">
        <f t="shared" si="25"/>
        <v>611487</v>
      </c>
      <c r="V169" s="35">
        <v>2751</v>
      </c>
      <c r="W169" s="35">
        <v>65</v>
      </c>
      <c r="X169" s="40">
        <f t="shared" si="30"/>
        <v>2816</v>
      </c>
      <c r="Z169" s="35">
        <v>0</v>
      </c>
      <c r="AA169" s="35">
        <v>2046</v>
      </c>
      <c r="AB169" s="35">
        <v>1473</v>
      </c>
      <c r="AC169" s="35">
        <v>0</v>
      </c>
      <c r="AD169" s="35">
        <v>0</v>
      </c>
      <c r="AE169" s="35">
        <v>732</v>
      </c>
      <c r="AF169" s="35">
        <v>32207</v>
      </c>
      <c r="AG169" s="35">
        <v>1772</v>
      </c>
      <c r="AH169" s="35">
        <v>0</v>
      </c>
      <c r="AI169" s="35">
        <v>0</v>
      </c>
      <c r="AJ169" s="35">
        <v>0</v>
      </c>
      <c r="AK169" s="35">
        <v>81</v>
      </c>
      <c r="AL169" s="35">
        <v>997</v>
      </c>
      <c r="AM169" s="35">
        <v>0</v>
      </c>
      <c r="AN169" s="40">
        <f t="shared" si="31"/>
        <v>39308</v>
      </c>
      <c r="AP169" s="35">
        <v>220</v>
      </c>
      <c r="AQ169" s="35">
        <v>0</v>
      </c>
      <c r="AR169" s="35">
        <v>0</v>
      </c>
      <c r="AS169" s="35">
        <v>0</v>
      </c>
      <c r="AT169" s="35">
        <v>3771</v>
      </c>
      <c r="AU169" s="35">
        <v>0</v>
      </c>
      <c r="AV169" s="40">
        <f t="shared" si="32"/>
        <v>3991</v>
      </c>
      <c r="AX169" s="40">
        <f t="shared" si="26"/>
        <v>657602</v>
      </c>
    </row>
    <row r="170" spans="1:50" x14ac:dyDescent="0.2">
      <c r="A170" s="29">
        <v>9</v>
      </c>
      <c r="B170" s="29">
        <v>202309</v>
      </c>
      <c r="C170" s="29">
        <v>21</v>
      </c>
      <c r="D170" s="35">
        <v>0</v>
      </c>
      <c r="E170" s="35">
        <v>0</v>
      </c>
      <c r="F170" s="35">
        <v>0</v>
      </c>
      <c r="G170" s="35">
        <v>0</v>
      </c>
      <c r="H170" s="35">
        <v>0</v>
      </c>
      <c r="I170" s="35">
        <v>0</v>
      </c>
      <c r="J170" s="35">
        <v>0</v>
      </c>
      <c r="K170" s="35">
        <v>0</v>
      </c>
      <c r="L170" s="35">
        <v>0</v>
      </c>
      <c r="M170" s="35">
        <v>0</v>
      </c>
      <c r="N170" s="35">
        <v>0</v>
      </c>
      <c r="O170" s="35">
        <v>0</v>
      </c>
      <c r="P170" s="35">
        <v>0</v>
      </c>
      <c r="Q170" s="35">
        <v>0</v>
      </c>
      <c r="R170" s="35">
        <v>0</v>
      </c>
      <c r="S170" s="35">
        <v>0</v>
      </c>
      <c r="T170" s="40">
        <f t="shared" si="25"/>
        <v>0</v>
      </c>
      <c r="V170" s="35">
        <v>0</v>
      </c>
      <c r="W170" s="35">
        <v>0</v>
      </c>
      <c r="X170" s="40">
        <f t="shared" si="30"/>
        <v>0</v>
      </c>
      <c r="Z170" s="35">
        <v>0</v>
      </c>
      <c r="AA170" s="35">
        <v>0</v>
      </c>
      <c r="AB170" s="35">
        <v>0</v>
      </c>
      <c r="AC170" s="35">
        <v>0</v>
      </c>
      <c r="AD170" s="35">
        <v>0</v>
      </c>
      <c r="AE170" s="35">
        <v>0</v>
      </c>
      <c r="AF170" s="35">
        <v>0</v>
      </c>
      <c r="AG170" s="35">
        <v>0</v>
      </c>
      <c r="AH170" s="35">
        <v>0</v>
      </c>
      <c r="AI170" s="35">
        <v>0</v>
      </c>
      <c r="AJ170" s="35">
        <v>0</v>
      </c>
      <c r="AK170" s="35">
        <v>0</v>
      </c>
      <c r="AL170" s="35">
        <v>0</v>
      </c>
      <c r="AM170" s="35">
        <v>0</v>
      </c>
      <c r="AN170" s="40">
        <f t="shared" si="31"/>
        <v>0</v>
      </c>
      <c r="AP170" s="35">
        <v>0</v>
      </c>
      <c r="AQ170" s="35">
        <v>0</v>
      </c>
      <c r="AR170" s="35">
        <v>0</v>
      </c>
      <c r="AS170" s="35">
        <v>0</v>
      </c>
      <c r="AT170" s="35">
        <v>0</v>
      </c>
      <c r="AU170" s="35">
        <v>0</v>
      </c>
      <c r="AV170" s="40">
        <f t="shared" si="32"/>
        <v>0</v>
      </c>
      <c r="AX170" s="40">
        <f t="shared" si="26"/>
        <v>0</v>
      </c>
    </row>
    <row r="171" spans="1:50" x14ac:dyDescent="0.2">
      <c r="A171" s="29">
        <v>9</v>
      </c>
      <c r="B171" s="29">
        <v>202309</v>
      </c>
      <c r="C171" s="29">
        <v>23</v>
      </c>
      <c r="D171" s="35">
        <v>4075</v>
      </c>
      <c r="E171" s="35">
        <v>1101021</v>
      </c>
      <c r="F171" s="35">
        <v>25987</v>
      </c>
      <c r="G171" s="35">
        <v>1369236</v>
      </c>
      <c r="H171" s="35">
        <v>11554</v>
      </c>
      <c r="I171" s="35">
        <v>1451527</v>
      </c>
      <c r="J171" s="35">
        <v>639373</v>
      </c>
      <c r="K171" s="35">
        <v>2578024</v>
      </c>
      <c r="L171" s="35">
        <v>3097723</v>
      </c>
      <c r="M171" s="35">
        <v>18458282</v>
      </c>
      <c r="N171" s="35">
        <v>232162</v>
      </c>
      <c r="O171" s="35">
        <v>37338</v>
      </c>
      <c r="P171" s="35">
        <v>87312</v>
      </c>
      <c r="Q171" s="35">
        <v>1912802</v>
      </c>
      <c r="R171" s="35">
        <v>459391</v>
      </c>
      <c r="S171" s="35">
        <v>6113031</v>
      </c>
      <c r="T171" s="40">
        <f t="shared" si="25"/>
        <v>37578838</v>
      </c>
      <c r="V171" s="35">
        <v>722798</v>
      </c>
      <c r="W171" s="35">
        <v>12083</v>
      </c>
      <c r="X171" s="40">
        <f t="shared" si="30"/>
        <v>734881</v>
      </c>
      <c r="Z171" s="35">
        <v>1066</v>
      </c>
      <c r="AA171" s="35">
        <v>7966</v>
      </c>
      <c r="AB171" s="35">
        <v>63587</v>
      </c>
      <c r="AC171" s="35">
        <v>22974</v>
      </c>
      <c r="AD171" s="35">
        <v>6582</v>
      </c>
      <c r="AE171" s="35">
        <v>99300</v>
      </c>
      <c r="AF171" s="35">
        <v>492275</v>
      </c>
      <c r="AG171" s="35">
        <v>110703</v>
      </c>
      <c r="AH171" s="35">
        <v>27705</v>
      </c>
      <c r="AI171" s="35">
        <v>11532</v>
      </c>
      <c r="AJ171" s="35">
        <v>31207</v>
      </c>
      <c r="AK171" s="35">
        <v>84353</v>
      </c>
      <c r="AL171" s="35">
        <v>141305</v>
      </c>
      <c r="AM171" s="35">
        <v>0</v>
      </c>
      <c r="AN171" s="40">
        <f t="shared" si="31"/>
        <v>1100555</v>
      </c>
      <c r="AP171" s="35">
        <v>124449</v>
      </c>
      <c r="AQ171" s="35">
        <v>10359</v>
      </c>
      <c r="AR171" s="35">
        <v>275218</v>
      </c>
      <c r="AS171" s="35">
        <v>8357</v>
      </c>
      <c r="AT171" s="35">
        <v>1306982</v>
      </c>
      <c r="AU171" s="35">
        <v>1232</v>
      </c>
      <c r="AV171" s="40">
        <f t="shared" si="32"/>
        <v>1726597</v>
      </c>
      <c r="AX171" s="40">
        <f t="shared" si="26"/>
        <v>41140871</v>
      </c>
    </row>
    <row r="172" spans="1:50" x14ac:dyDescent="0.2">
      <c r="A172" s="29">
        <v>9</v>
      </c>
      <c r="B172" s="29">
        <v>202309</v>
      </c>
      <c r="C172" s="29">
        <v>31</v>
      </c>
      <c r="D172" s="35">
        <v>0</v>
      </c>
      <c r="E172" s="35">
        <v>0</v>
      </c>
      <c r="F172" s="35">
        <v>0</v>
      </c>
      <c r="G172" s="35">
        <v>0</v>
      </c>
      <c r="H172" s="35">
        <v>0</v>
      </c>
      <c r="I172" s="35">
        <v>0</v>
      </c>
      <c r="J172" s="35">
        <v>0</v>
      </c>
      <c r="K172" s="35">
        <v>0</v>
      </c>
      <c r="L172" s="35">
        <v>0</v>
      </c>
      <c r="M172" s="35">
        <v>15034828</v>
      </c>
      <c r="N172" s="35">
        <v>0</v>
      </c>
      <c r="O172" s="35">
        <v>0</v>
      </c>
      <c r="P172" s="35">
        <v>0</v>
      </c>
      <c r="Q172" s="35">
        <v>0</v>
      </c>
      <c r="R172" s="35">
        <v>0</v>
      </c>
      <c r="S172" s="35">
        <v>0</v>
      </c>
      <c r="T172" s="40">
        <f t="shared" si="25"/>
        <v>15034828</v>
      </c>
      <c r="V172" s="35">
        <v>0</v>
      </c>
      <c r="W172" s="35">
        <v>0</v>
      </c>
      <c r="X172" s="40">
        <f t="shared" si="30"/>
        <v>0</v>
      </c>
      <c r="Z172" s="35">
        <v>501600</v>
      </c>
      <c r="AA172" s="35">
        <v>0</v>
      </c>
      <c r="AB172" s="35">
        <v>0</v>
      </c>
      <c r="AC172" s="35">
        <v>0</v>
      </c>
      <c r="AD172" s="35">
        <v>0</v>
      </c>
      <c r="AE172" s="35">
        <v>0</v>
      </c>
      <c r="AF172" s="35">
        <v>0</v>
      </c>
      <c r="AG172" s="35">
        <v>0</v>
      </c>
      <c r="AH172" s="35">
        <v>0</v>
      </c>
      <c r="AI172" s="35">
        <v>0</v>
      </c>
      <c r="AJ172" s="35">
        <v>0</v>
      </c>
      <c r="AK172" s="35">
        <v>0</v>
      </c>
      <c r="AL172" s="35">
        <v>0</v>
      </c>
      <c r="AM172" s="35">
        <v>0</v>
      </c>
      <c r="AN172" s="40">
        <f t="shared" si="31"/>
        <v>501600</v>
      </c>
      <c r="AP172" s="35">
        <v>0</v>
      </c>
      <c r="AQ172" s="35">
        <v>0</v>
      </c>
      <c r="AR172" s="35">
        <v>0</v>
      </c>
      <c r="AS172" s="35">
        <v>0</v>
      </c>
      <c r="AT172" s="35">
        <v>0</v>
      </c>
      <c r="AU172" s="35">
        <v>0</v>
      </c>
      <c r="AV172" s="40">
        <f t="shared" si="32"/>
        <v>0</v>
      </c>
      <c r="AX172" s="40">
        <f t="shared" si="26"/>
        <v>15536428</v>
      </c>
    </row>
    <row r="173" spans="1:50" x14ac:dyDescent="0.2">
      <c r="A173" s="29">
        <v>9</v>
      </c>
      <c r="B173" s="29">
        <v>202309</v>
      </c>
      <c r="C173" s="29">
        <v>32</v>
      </c>
      <c r="D173" s="35">
        <v>0</v>
      </c>
      <c r="E173" s="35">
        <v>0</v>
      </c>
      <c r="F173" s="35">
        <v>0</v>
      </c>
      <c r="G173" s="35">
        <v>0</v>
      </c>
      <c r="H173" s="35">
        <v>0</v>
      </c>
      <c r="I173" s="35">
        <v>0</v>
      </c>
      <c r="J173" s="35">
        <v>0</v>
      </c>
      <c r="K173" s="35">
        <v>0</v>
      </c>
      <c r="L173" s="35">
        <v>0</v>
      </c>
      <c r="M173" s="35">
        <v>18771505</v>
      </c>
      <c r="N173" s="35">
        <v>0</v>
      </c>
      <c r="O173" s="35">
        <v>0</v>
      </c>
      <c r="P173" s="35">
        <v>0</v>
      </c>
      <c r="Q173" s="35">
        <v>0</v>
      </c>
      <c r="R173" s="35">
        <v>0</v>
      </c>
      <c r="S173" s="35">
        <v>0</v>
      </c>
      <c r="T173" s="40">
        <f t="shared" si="25"/>
        <v>18771505</v>
      </c>
      <c r="V173" s="35">
        <v>0</v>
      </c>
      <c r="W173" s="35">
        <v>0</v>
      </c>
      <c r="X173" s="40">
        <f t="shared" si="30"/>
        <v>0</v>
      </c>
      <c r="Z173" s="35">
        <v>0</v>
      </c>
      <c r="AA173" s="35">
        <v>0</v>
      </c>
      <c r="AB173" s="35">
        <v>0</v>
      </c>
      <c r="AC173" s="35">
        <v>0</v>
      </c>
      <c r="AD173" s="35">
        <v>0</v>
      </c>
      <c r="AE173" s="35">
        <v>0</v>
      </c>
      <c r="AF173" s="35">
        <v>0</v>
      </c>
      <c r="AG173" s="35">
        <v>0</v>
      </c>
      <c r="AH173" s="35">
        <v>0</v>
      </c>
      <c r="AI173" s="35">
        <v>0</v>
      </c>
      <c r="AJ173" s="35">
        <v>0</v>
      </c>
      <c r="AK173" s="35">
        <v>0</v>
      </c>
      <c r="AL173" s="35">
        <v>0</v>
      </c>
      <c r="AM173" s="35">
        <v>0</v>
      </c>
      <c r="AN173" s="40">
        <f t="shared" si="31"/>
        <v>0</v>
      </c>
      <c r="AP173" s="35">
        <v>0</v>
      </c>
      <c r="AQ173" s="35">
        <v>0</v>
      </c>
      <c r="AR173" s="35">
        <v>0</v>
      </c>
      <c r="AS173" s="35">
        <v>0</v>
      </c>
      <c r="AT173" s="35">
        <v>0</v>
      </c>
      <c r="AU173" s="35">
        <v>0</v>
      </c>
      <c r="AV173" s="40">
        <f t="shared" si="32"/>
        <v>0</v>
      </c>
      <c r="AX173" s="40">
        <f t="shared" si="26"/>
        <v>18771505</v>
      </c>
    </row>
    <row r="174" spans="1:50" x14ac:dyDescent="0.2">
      <c r="A174" s="29">
        <v>10</v>
      </c>
      <c r="B174" s="29">
        <v>202310</v>
      </c>
      <c r="C174" s="29">
        <v>1</v>
      </c>
      <c r="D174" s="35">
        <v>113007</v>
      </c>
      <c r="E174" s="35">
        <v>1324629</v>
      </c>
      <c r="F174" s="35">
        <v>175254</v>
      </c>
      <c r="G174" s="35">
        <v>7779930</v>
      </c>
      <c r="H174" s="35">
        <v>314288</v>
      </c>
      <c r="I174" s="35">
        <v>7487390</v>
      </c>
      <c r="J174" s="35">
        <v>5739969</v>
      </c>
      <c r="K174" s="35">
        <v>6507979</v>
      </c>
      <c r="L174" s="35">
        <v>12129233</v>
      </c>
      <c r="M174" s="35">
        <v>34970064</v>
      </c>
      <c r="N174" s="35">
        <v>515570</v>
      </c>
      <c r="O174" s="35">
        <v>408617</v>
      </c>
      <c r="P174" s="35">
        <v>443536</v>
      </c>
      <c r="Q174" s="35">
        <v>5938986</v>
      </c>
      <c r="R174" s="35">
        <v>243464</v>
      </c>
      <c r="S174" s="35">
        <v>13595168</v>
      </c>
      <c r="T174" s="40">
        <f t="shared" si="25"/>
        <v>97687084</v>
      </c>
      <c r="V174" s="35">
        <v>1383540</v>
      </c>
      <c r="W174" s="35">
        <v>10174</v>
      </c>
      <c r="X174" s="40">
        <f>SUM(V174:W174)</f>
        <v>1393714</v>
      </c>
      <c r="Z174" s="35">
        <v>8432</v>
      </c>
      <c r="AA174" s="35">
        <v>6946</v>
      </c>
      <c r="AB174" s="35">
        <v>621591</v>
      </c>
      <c r="AC174" s="35">
        <v>233455</v>
      </c>
      <c r="AD174" s="35">
        <v>75645</v>
      </c>
      <c r="AE174" s="35">
        <v>430246</v>
      </c>
      <c r="AF174" s="35">
        <v>1341428</v>
      </c>
      <c r="AG174" s="35">
        <v>1376585</v>
      </c>
      <c r="AH174" s="35">
        <v>9612</v>
      </c>
      <c r="AI174" s="35">
        <v>544109</v>
      </c>
      <c r="AJ174" s="35">
        <v>49706</v>
      </c>
      <c r="AK174" s="35">
        <v>691309</v>
      </c>
      <c r="AL174" s="35">
        <v>156583</v>
      </c>
      <c r="AM174" s="35">
        <v>0</v>
      </c>
      <c r="AN174" s="40">
        <f>SUM(Z174:AM174)</f>
        <v>5545647</v>
      </c>
      <c r="AO174" s="35"/>
      <c r="AP174" s="35">
        <v>640834</v>
      </c>
      <c r="AQ174" s="35">
        <v>120698</v>
      </c>
      <c r="AR174" s="35">
        <v>2455013</v>
      </c>
      <c r="AS174" s="35">
        <v>79426</v>
      </c>
      <c r="AT174" s="35">
        <v>4454908</v>
      </c>
      <c r="AU174" s="35">
        <v>28067</v>
      </c>
      <c r="AV174" s="40">
        <f>SUM(AP174:AU174)</f>
        <v>7778946</v>
      </c>
      <c r="AX174" s="40">
        <f t="shared" si="26"/>
        <v>112405391</v>
      </c>
    </row>
    <row r="175" spans="1:50" x14ac:dyDescent="0.2">
      <c r="A175" s="29">
        <v>10</v>
      </c>
      <c r="B175" s="29">
        <v>202310</v>
      </c>
      <c r="C175" s="29">
        <v>2</v>
      </c>
      <c r="D175" s="35">
        <v>532</v>
      </c>
      <c r="E175" s="35">
        <v>0</v>
      </c>
      <c r="F175" s="35">
        <v>0</v>
      </c>
      <c r="G175" s="35">
        <v>30869</v>
      </c>
      <c r="H175" s="35">
        <v>2538</v>
      </c>
      <c r="I175" s="35">
        <v>19711</v>
      </c>
      <c r="J175" s="35">
        <v>2724</v>
      </c>
      <c r="K175" s="35">
        <v>7461</v>
      </c>
      <c r="L175" s="35">
        <v>50829</v>
      </c>
      <c r="M175" s="35">
        <v>82777</v>
      </c>
      <c r="N175" s="35">
        <v>713</v>
      </c>
      <c r="O175" s="35">
        <v>658</v>
      </c>
      <c r="P175" s="35">
        <v>1479</v>
      </c>
      <c r="Q175" s="35">
        <v>20207</v>
      </c>
      <c r="R175" s="35">
        <v>71</v>
      </c>
      <c r="S175" s="35">
        <v>20350</v>
      </c>
      <c r="T175" s="40">
        <f t="shared" si="25"/>
        <v>240919</v>
      </c>
      <c r="V175" s="35">
        <v>189</v>
      </c>
      <c r="W175" s="35">
        <v>0</v>
      </c>
      <c r="X175" s="40">
        <f t="shared" ref="X175:X192" si="33">SUM(V175:W175)</f>
        <v>189</v>
      </c>
      <c r="Z175" s="35">
        <v>0</v>
      </c>
      <c r="AA175" s="35">
        <v>0</v>
      </c>
      <c r="AB175" s="35">
        <v>2205</v>
      </c>
      <c r="AC175" s="35">
        <v>1163</v>
      </c>
      <c r="AD175" s="35">
        <v>1136</v>
      </c>
      <c r="AE175" s="35">
        <v>469</v>
      </c>
      <c r="AF175" s="35">
        <v>1471</v>
      </c>
      <c r="AG175" s="35">
        <v>4299</v>
      </c>
      <c r="AH175" s="35">
        <v>0</v>
      </c>
      <c r="AI175" s="35">
        <v>456</v>
      </c>
      <c r="AJ175" s="35">
        <v>0</v>
      </c>
      <c r="AK175" s="35">
        <v>1574</v>
      </c>
      <c r="AL175" s="35">
        <v>0</v>
      </c>
      <c r="AM175" s="35">
        <v>0</v>
      </c>
      <c r="AN175" s="40">
        <f t="shared" ref="AN175:AN192" si="34">SUM(Z175:AM175)</f>
        <v>12773</v>
      </c>
      <c r="AP175" s="35">
        <v>1285</v>
      </c>
      <c r="AQ175" s="35">
        <v>0</v>
      </c>
      <c r="AR175" s="35">
        <v>11324</v>
      </c>
      <c r="AS175" s="35">
        <v>0</v>
      </c>
      <c r="AT175" s="35">
        <v>34925</v>
      </c>
      <c r="AU175" s="35">
        <v>0</v>
      </c>
      <c r="AV175" s="40">
        <f t="shared" ref="AV175:AV192" si="35">SUM(AP175:AU175)</f>
        <v>47534</v>
      </c>
      <c r="AX175" s="40">
        <f t="shared" si="26"/>
        <v>301415</v>
      </c>
    </row>
    <row r="176" spans="1:50" x14ac:dyDescent="0.2">
      <c r="A176" s="29">
        <v>10</v>
      </c>
      <c r="B176" s="29">
        <v>202310</v>
      </c>
      <c r="C176" s="29">
        <v>3</v>
      </c>
      <c r="D176" s="35">
        <v>1289</v>
      </c>
      <c r="E176" s="35">
        <v>51528</v>
      </c>
      <c r="F176" s="35">
        <v>0</v>
      </c>
      <c r="G176" s="35">
        <v>64825</v>
      </c>
      <c r="H176" s="35">
        <v>0</v>
      </c>
      <c r="I176" s="35">
        <v>58607</v>
      </c>
      <c r="J176" s="35">
        <v>226447</v>
      </c>
      <c r="K176" s="35">
        <v>249189</v>
      </c>
      <c r="L176" s="35">
        <v>270842</v>
      </c>
      <c r="M176" s="35">
        <v>1125487</v>
      </c>
      <c r="N176" s="35">
        <v>1479</v>
      </c>
      <c r="O176" s="35">
        <v>1387</v>
      </c>
      <c r="P176" s="35">
        <v>2445</v>
      </c>
      <c r="Q176" s="35">
        <v>6873</v>
      </c>
      <c r="R176" s="35">
        <v>1421</v>
      </c>
      <c r="S176" s="35">
        <v>738448</v>
      </c>
      <c r="T176" s="40">
        <f t="shared" si="25"/>
        <v>2800267</v>
      </c>
      <c r="V176" s="35">
        <v>25557</v>
      </c>
      <c r="W176" s="35">
        <v>912</v>
      </c>
      <c r="X176" s="40">
        <f t="shared" si="33"/>
        <v>26469</v>
      </c>
      <c r="Z176" s="35">
        <v>0</v>
      </c>
      <c r="AA176" s="35">
        <v>0</v>
      </c>
      <c r="AB176" s="35">
        <v>17095</v>
      </c>
      <c r="AC176" s="35">
        <v>22970</v>
      </c>
      <c r="AD176" s="35">
        <v>1888</v>
      </c>
      <c r="AE176" s="35">
        <v>5978</v>
      </c>
      <c r="AF176" s="35">
        <v>88612</v>
      </c>
      <c r="AG176" s="35">
        <v>12412</v>
      </c>
      <c r="AH176" s="35">
        <v>0</v>
      </c>
      <c r="AI176" s="35">
        <v>9128</v>
      </c>
      <c r="AJ176" s="35">
        <v>490</v>
      </c>
      <c r="AK176" s="35">
        <v>9285</v>
      </c>
      <c r="AL176" s="35">
        <v>3326</v>
      </c>
      <c r="AM176" s="35">
        <v>0</v>
      </c>
      <c r="AN176" s="40">
        <f t="shared" si="34"/>
        <v>171184</v>
      </c>
      <c r="AP176" s="35">
        <v>911</v>
      </c>
      <c r="AQ176" s="35">
        <v>398</v>
      </c>
      <c r="AR176" s="35">
        <v>0</v>
      </c>
      <c r="AS176" s="35">
        <v>0</v>
      </c>
      <c r="AT176" s="35">
        <v>2014</v>
      </c>
      <c r="AU176" s="35">
        <v>0</v>
      </c>
      <c r="AV176" s="40">
        <f t="shared" si="35"/>
        <v>3323</v>
      </c>
      <c r="AX176" s="40">
        <f t="shared" si="26"/>
        <v>3001243</v>
      </c>
    </row>
    <row r="177" spans="1:50" x14ac:dyDescent="0.2">
      <c r="A177" s="29">
        <v>10</v>
      </c>
      <c r="B177" s="29">
        <v>202310</v>
      </c>
      <c r="C177" s="29">
        <v>6</v>
      </c>
      <c r="D177" s="35">
        <v>1894</v>
      </c>
      <c r="E177" s="35">
        <v>2854923</v>
      </c>
      <c r="F177" s="35">
        <v>217527</v>
      </c>
      <c r="G177" s="35">
        <v>5181671</v>
      </c>
      <c r="H177" s="35">
        <v>0</v>
      </c>
      <c r="I177" s="35">
        <v>2715862</v>
      </c>
      <c r="J177" s="35">
        <v>2289595</v>
      </c>
      <c r="K177" s="35">
        <v>6271254</v>
      </c>
      <c r="L177" s="35">
        <v>7480678</v>
      </c>
      <c r="M177" s="35">
        <v>109710550</v>
      </c>
      <c r="N177" s="35">
        <v>329778</v>
      </c>
      <c r="O177" s="35">
        <v>11791</v>
      </c>
      <c r="P177" s="35">
        <v>97172</v>
      </c>
      <c r="Q177" s="35">
        <v>7047639</v>
      </c>
      <c r="R177" s="35">
        <v>637769</v>
      </c>
      <c r="S177" s="35">
        <v>22528526</v>
      </c>
      <c r="T177" s="40">
        <f t="shared" si="25"/>
        <v>167376629</v>
      </c>
      <c r="V177" s="35">
        <v>1121205</v>
      </c>
      <c r="W177" s="35">
        <v>5633</v>
      </c>
      <c r="X177" s="40">
        <f t="shared" si="33"/>
        <v>1126838</v>
      </c>
      <c r="Z177" s="35">
        <v>0</v>
      </c>
      <c r="AA177" s="35">
        <v>48642</v>
      </c>
      <c r="AB177" s="35">
        <v>816630</v>
      </c>
      <c r="AC177" s="35">
        <v>71240</v>
      </c>
      <c r="AD177" s="35">
        <v>80040</v>
      </c>
      <c r="AE177" s="35">
        <v>433691</v>
      </c>
      <c r="AF177" s="35">
        <v>2217364</v>
      </c>
      <c r="AG177" s="35">
        <v>284309</v>
      </c>
      <c r="AH177" s="35">
        <v>24900</v>
      </c>
      <c r="AI177" s="35">
        <v>23400</v>
      </c>
      <c r="AJ177" s="35">
        <v>32000</v>
      </c>
      <c r="AK177" s="35">
        <v>102874</v>
      </c>
      <c r="AL177" s="35">
        <v>220087</v>
      </c>
      <c r="AM177" s="35">
        <v>0</v>
      </c>
      <c r="AN177" s="40">
        <f t="shared" si="34"/>
        <v>4355177</v>
      </c>
      <c r="AP177" s="35">
        <v>342833</v>
      </c>
      <c r="AQ177" s="35">
        <v>0</v>
      </c>
      <c r="AR177" s="35">
        <v>891262</v>
      </c>
      <c r="AS177" s="35">
        <v>0</v>
      </c>
      <c r="AT177" s="35">
        <v>3632236</v>
      </c>
      <c r="AU177" s="35">
        <v>0</v>
      </c>
      <c r="AV177" s="40">
        <f t="shared" si="35"/>
        <v>4866331</v>
      </c>
      <c r="AX177" s="40">
        <f t="shared" si="26"/>
        <v>177724975</v>
      </c>
    </row>
    <row r="178" spans="1:50" x14ac:dyDescent="0.2">
      <c r="A178" s="29">
        <v>10</v>
      </c>
      <c r="B178" s="29">
        <v>202310</v>
      </c>
      <c r="C178" s="29" t="s">
        <v>230</v>
      </c>
      <c r="D178" s="35">
        <v>0</v>
      </c>
      <c r="E178" s="35">
        <v>33700</v>
      </c>
      <c r="F178" s="35">
        <v>0</v>
      </c>
      <c r="G178" s="35">
        <v>741894</v>
      </c>
      <c r="H178" s="35">
        <v>27312</v>
      </c>
      <c r="I178" s="35">
        <v>76600</v>
      </c>
      <c r="J178" s="35">
        <v>135720</v>
      </c>
      <c r="K178" s="35">
        <v>822771</v>
      </c>
      <c r="L178" s="35">
        <v>211191</v>
      </c>
      <c r="M178" s="35">
        <v>6309183</v>
      </c>
      <c r="N178" s="35">
        <v>5600</v>
      </c>
      <c r="O178" s="35">
        <v>1880</v>
      </c>
      <c r="P178" s="35">
        <v>2400</v>
      </c>
      <c r="Q178" s="35">
        <v>366389</v>
      </c>
      <c r="R178" s="35">
        <v>6400</v>
      </c>
      <c r="S178" s="35">
        <v>1103896</v>
      </c>
      <c r="T178" s="40">
        <f t="shared" si="25"/>
        <v>9844936</v>
      </c>
      <c r="V178" s="35">
        <v>25680</v>
      </c>
      <c r="W178" s="35">
        <v>0</v>
      </c>
      <c r="X178" s="40">
        <f t="shared" si="33"/>
        <v>25680</v>
      </c>
      <c r="Z178" s="35">
        <v>0</v>
      </c>
      <c r="AA178" s="35">
        <v>3573</v>
      </c>
      <c r="AB178" s="35">
        <v>6000</v>
      </c>
      <c r="AC178" s="35">
        <v>0</v>
      </c>
      <c r="AD178" s="35">
        <v>0</v>
      </c>
      <c r="AE178" s="35">
        <v>7831</v>
      </c>
      <c r="AF178" s="35">
        <v>489436</v>
      </c>
      <c r="AG178" s="35">
        <v>5360</v>
      </c>
      <c r="AH178" s="35">
        <v>0</v>
      </c>
      <c r="AI178" s="35">
        <v>840</v>
      </c>
      <c r="AJ178" s="35">
        <v>40080</v>
      </c>
      <c r="AK178" s="35">
        <v>0</v>
      </c>
      <c r="AL178" s="35">
        <v>0</v>
      </c>
      <c r="AM178" s="35">
        <v>0</v>
      </c>
      <c r="AN178" s="40">
        <f t="shared" si="34"/>
        <v>553120</v>
      </c>
      <c r="AP178" s="35">
        <v>0</v>
      </c>
      <c r="AQ178" s="35">
        <v>0</v>
      </c>
      <c r="AR178" s="35">
        <v>252046</v>
      </c>
      <c r="AS178" s="35">
        <v>51720</v>
      </c>
      <c r="AT178" s="35">
        <v>329487</v>
      </c>
      <c r="AU178" s="35">
        <v>18080</v>
      </c>
      <c r="AV178" s="40">
        <f t="shared" si="35"/>
        <v>651333</v>
      </c>
      <c r="AX178" s="40">
        <f t="shared" si="26"/>
        <v>11075069</v>
      </c>
    </row>
    <row r="179" spans="1:50" x14ac:dyDescent="0.2">
      <c r="A179" s="29">
        <v>10</v>
      </c>
      <c r="B179" s="29">
        <v>202310</v>
      </c>
      <c r="C179" s="29" t="s">
        <v>231</v>
      </c>
      <c r="D179" s="35">
        <v>0</v>
      </c>
      <c r="E179" s="35">
        <v>0</v>
      </c>
      <c r="F179" s="35">
        <v>0</v>
      </c>
      <c r="G179" s="35">
        <v>0</v>
      </c>
      <c r="H179" s="35">
        <v>0</v>
      </c>
      <c r="I179" s="35">
        <v>0</v>
      </c>
      <c r="J179" s="35">
        <v>0</v>
      </c>
      <c r="K179" s="35">
        <v>0</v>
      </c>
      <c r="L179" s="35">
        <v>0</v>
      </c>
      <c r="M179" s="35">
        <v>0</v>
      </c>
      <c r="N179" s="35">
        <v>0</v>
      </c>
      <c r="O179" s="35">
        <v>0</v>
      </c>
      <c r="P179" s="35">
        <v>0</v>
      </c>
      <c r="Q179" s="35">
        <v>0</v>
      </c>
      <c r="R179" s="35">
        <v>0</v>
      </c>
      <c r="S179" s="35">
        <v>0</v>
      </c>
      <c r="T179" s="40">
        <f t="shared" si="25"/>
        <v>0</v>
      </c>
      <c r="V179" s="35">
        <v>0</v>
      </c>
      <c r="W179" s="35">
        <v>0</v>
      </c>
      <c r="X179" s="40">
        <f t="shared" si="33"/>
        <v>0</v>
      </c>
      <c r="Z179" s="35">
        <v>0</v>
      </c>
      <c r="AA179" s="35">
        <v>0</v>
      </c>
      <c r="AB179" s="35">
        <v>0</v>
      </c>
      <c r="AC179" s="35">
        <v>0</v>
      </c>
      <c r="AD179" s="35">
        <v>0</v>
      </c>
      <c r="AE179" s="35">
        <v>0</v>
      </c>
      <c r="AF179" s="35">
        <v>0</v>
      </c>
      <c r="AG179" s="35">
        <v>0</v>
      </c>
      <c r="AH179" s="35">
        <v>0</v>
      </c>
      <c r="AI179" s="35">
        <v>0</v>
      </c>
      <c r="AJ179" s="35">
        <v>0</v>
      </c>
      <c r="AK179" s="35">
        <v>0</v>
      </c>
      <c r="AL179" s="35">
        <v>0</v>
      </c>
      <c r="AM179" s="35">
        <v>0</v>
      </c>
      <c r="AN179" s="40">
        <f t="shared" si="34"/>
        <v>0</v>
      </c>
      <c r="AP179" s="35">
        <v>0</v>
      </c>
      <c r="AQ179" s="35">
        <v>0</v>
      </c>
      <c r="AR179" s="35">
        <v>0</v>
      </c>
      <c r="AS179" s="35">
        <v>0</v>
      </c>
      <c r="AT179" s="35">
        <v>0</v>
      </c>
      <c r="AU179" s="35">
        <v>0</v>
      </c>
      <c r="AV179" s="40">
        <f t="shared" si="35"/>
        <v>0</v>
      </c>
      <c r="AX179" s="40">
        <f t="shared" si="26"/>
        <v>0</v>
      </c>
    </row>
    <row r="180" spans="1:50" x14ac:dyDescent="0.2">
      <c r="A180" s="29">
        <v>10</v>
      </c>
      <c r="B180" s="29">
        <v>202310</v>
      </c>
      <c r="C180" s="29">
        <v>7</v>
      </c>
      <c r="D180" s="35">
        <v>0</v>
      </c>
      <c r="E180" s="35">
        <v>6914</v>
      </c>
      <c r="F180" s="35">
        <v>0</v>
      </c>
      <c r="G180" s="35">
        <v>4085</v>
      </c>
      <c r="H180" s="35">
        <v>0</v>
      </c>
      <c r="I180" s="35">
        <v>10226</v>
      </c>
      <c r="J180" s="35">
        <v>7175</v>
      </c>
      <c r="K180" s="35">
        <v>15580</v>
      </c>
      <c r="L180" s="35">
        <v>25042</v>
      </c>
      <c r="M180" s="35">
        <v>199261</v>
      </c>
      <c r="N180" s="35">
        <v>1634</v>
      </c>
      <c r="O180" s="35">
        <v>177</v>
      </c>
      <c r="P180" s="35">
        <v>304</v>
      </c>
      <c r="Q180" s="35">
        <v>709</v>
      </c>
      <c r="R180" s="35">
        <v>259</v>
      </c>
      <c r="S180" s="35">
        <v>50210</v>
      </c>
      <c r="T180" s="40">
        <f t="shared" si="25"/>
        <v>321576</v>
      </c>
      <c r="V180" s="35">
        <v>3460</v>
      </c>
      <c r="W180" s="35">
        <v>78</v>
      </c>
      <c r="X180" s="40">
        <f t="shared" si="33"/>
        <v>3538</v>
      </c>
      <c r="Z180" s="35">
        <v>0</v>
      </c>
      <c r="AA180" s="35">
        <v>0</v>
      </c>
      <c r="AB180" s="35">
        <v>285</v>
      </c>
      <c r="AC180" s="35">
        <v>444</v>
      </c>
      <c r="AD180" s="35">
        <v>296</v>
      </c>
      <c r="AE180" s="35">
        <v>69</v>
      </c>
      <c r="AF180" s="35">
        <v>7125</v>
      </c>
      <c r="AG180" s="35">
        <v>779</v>
      </c>
      <c r="AH180" s="35">
        <v>444</v>
      </c>
      <c r="AI180" s="35">
        <v>0</v>
      </c>
      <c r="AJ180" s="35">
        <v>0</v>
      </c>
      <c r="AK180" s="35">
        <v>56</v>
      </c>
      <c r="AL180" s="35">
        <v>646</v>
      </c>
      <c r="AM180" s="35">
        <v>0</v>
      </c>
      <c r="AN180" s="40">
        <f t="shared" si="34"/>
        <v>10144</v>
      </c>
      <c r="AP180" s="35">
        <v>427</v>
      </c>
      <c r="AQ180" s="35">
        <v>208</v>
      </c>
      <c r="AR180" s="35">
        <v>39</v>
      </c>
      <c r="AS180" s="35">
        <v>97</v>
      </c>
      <c r="AT180" s="35">
        <v>305</v>
      </c>
      <c r="AU180" s="35">
        <v>0</v>
      </c>
      <c r="AV180" s="40">
        <f t="shared" si="35"/>
        <v>1076</v>
      </c>
      <c r="AX180" s="40">
        <f t="shared" si="26"/>
        <v>336334</v>
      </c>
    </row>
    <row r="181" spans="1:50" x14ac:dyDescent="0.2">
      <c r="A181" s="29">
        <v>10</v>
      </c>
      <c r="B181" s="29">
        <v>202310</v>
      </c>
      <c r="C181" s="29">
        <v>8</v>
      </c>
      <c r="D181" s="35">
        <v>0</v>
      </c>
      <c r="E181" s="35">
        <v>0</v>
      </c>
      <c r="F181" s="35">
        <v>0</v>
      </c>
      <c r="G181" s="35">
        <v>0</v>
      </c>
      <c r="H181" s="35">
        <v>0</v>
      </c>
      <c r="I181" s="35">
        <v>356700</v>
      </c>
      <c r="J181" s="35">
        <v>431360</v>
      </c>
      <c r="K181" s="35">
        <v>502800</v>
      </c>
      <c r="L181" s="35">
        <v>1620000</v>
      </c>
      <c r="M181" s="35">
        <v>45782853</v>
      </c>
      <c r="N181" s="35">
        <v>0</v>
      </c>
      <c r="O181" s="35">
        <v>0</v>
      </c>
      <c r="P181" s="35">
        <v>0</v>
      </c>
      <c r="Q181" s="35">
        <v>54600</v>
      </c>
      <c r="R181" s="35">
        <v>0</v>
      </c>
      <c r="S181" s="35">
        <v>9425800</v>
      </c>
      <c r="T181" s="40">
        <f t="shared" si="25"/>
        <v>58174113</v>
      </c>
      <c r="V181" s="35">
        <v>0</v>
      </c>
      <c r="W181" s="35">
        <v>0</v>
      </c>
      <c r="X181" s="40">
        <f t="shared" si="33"/>
        <v>0</v>
      </c>
      <c r="Z181" s="35">
        <v>196200</v>
      </c>
      <c r="AA181" s="35">
        <v>0</v>
      </c>
      <c r="AB181" s="35">
        <v>3978000</v>
      </c>
      <c r="AC181" s="35">
        <v>0</v>
      </c>
      <c r="AD181" s="35">
        <v>0</v>
      </c>
      <c r="AE181" s="35">
        <v>1393200</v>
      </c>
      <c r="AF181" s="35">
        <v>1525501</v>
      </c>
      <c r="AG181" s="35">
        <v>0</v>
      </c>
      <c r="AH181" s="35">
        <v>0</v>
      </c>
      <c r="AI181" s="35">
        <v>0</v>
      </c>
      <c r="AJ181" s="35">
        <v>0</v>
      </c>
      <c r="AK181" s="35">
        <v>0</v>
      </c>
      <c r="AL181" s="35">
        <v>0</v>
      </c>
      <c r="AM181" s="35">
        <v>0</v>
      </c>
      <c r="AN181" s="40">
        <f t="shared" si="34"/>
        <v>7092901</v>
      </c>
      <c r="AP181" s="35">
        <v>0</v>
      </c>
      <c r="AQ181" s="35">
        <v>0</v>
      </c>
      <c r="AR181" s="35">
        <v>0</v>
      </c>
      <c r="AS181" s="35">
        <v>0</v>
      </c>
      <c r="AT181" s="35">
        <v>592900</v>
      </c>
      <c r="AU181" s="35">
        <v>0</v>
      </c>
      <c r="AV181" s="40">
        <f t="shared" si="35"/>
        <v>592900</v>
      </c>
      <c r="AX181" s="40">
        <f t="shared" si="26"/>
        <v>65859914</v>
      </c>
    </row>
    <row r="182" spans="1:50" x14ac:dyDescent="0.2">
      <c r="A182" s="29">
        <v>10</v>
      </c>
      <c r="B182" s="29">
        <v>202310</v>
      </c>
      <c r="C182" s="29">
        <v>9</v>
      </c>
      <c r="D182" s="35">
        <v>0</v>
      </c>
      <c r="E182" s="35">
        <v>0</v>
      </c>
      <c r="F182" s="35">
        <v>0</v>
      </c>
      <c r="G182" s="35">
        <v>547200</v>
      </c>
      <c r="H182" s="35">
        <v>0</v>
      </c>
      <c r="I182" s="35">
        <v>0</v>
      </c>
      <c r="J182" s="35">
        <v>0</v>
      </c>
      <c r="K182" s="35">
        <v>0</v>
      </c>
      <c r="L182" s="35">
        <v>0</v>
      </c>
      <c r="M182" s="35">
        <v>13550747</v>
      </c>
      <c r="N182" s="35">
        <v>0</v>
      </c>
      <c r="O182" s="35">
        <v>0</v>
      </c>
      <c r="P182" s="35">
        <v>0</v>
      </c>
      <c r="Q182" s="35">
        <v>0</v>
      </c>
      <c r="R182" s="35">
        <v>0</v>
      </c>
      <c r="S182" s="35">
        <v>17972000</v>
      </c>
      <c r="T182" s="40">
        <f t="shared" si="25"/>
        <v>32069947</v>
      </c>
      <c r="V182" s="35">
        <v>2355900</v>
      </c>
      <c r="W182" s="35">
        <v>0</v>
      </c>
      <c r="X182" s="40">
        <f t="shared" si="33"/>
        <v>2355900</v>
      </c>
      <c r="Z182" s="35">
        <v>0</v>
      </c>
      <c r="AA182" s="35">
        <v>0</v>
      </c>
      <c r="AB182" s="35">
        <v>0</v>
      </c>
      <c r="AC182" s="35">
        <v>0</v>
      </c>
      <c r="AD182" s="35">
        <v>0</v>
      </c>
      <c r="AE182" s="35">
        <v>0</v>
      </c>
      <c r="AF182" s="35">
        <v>1561000</v>
      </c>
      <c r="AG182" s="35">
        <v>0</v>
      </c>
      <c r="AH182" s="35">
        <v>0</v>
      </c>
      <c r="AI182" s="35">
        <v>0</v>
      </c>
      <c r="AJ182" s="35">
        <v>0</v>
      </c>
      <c r="AK182" s="35">
        <v>51600</v>
      </c>
      <c r="AL182" s="35">
        <v>0</v>
      </c>
      <c r="AM182" s="35">
        <v>0</v>
      </c>
      <c r="AN182" s="40">
        <f t="shared" si="34"/>
        <v>1612600</v>
      </c>
      <c r="AP182" s="35">
        <v>0</v>
      </c>
      <c r="AQ182" s="35">
        <v>0</v>
      </c>
      <c r="AR182" s="35">
        <v>0</v>
      </c>
      <c r="AS182" s="35">
        <v>0</v>
      </c>
      <c r="AT182" s="35">
        <v>0</v>
      </c>
      <c r="AU182" s="35">
        <v>0</v>
      </c>
      <c r="AV182" s="40">
        <f t="shared" si="35"/>
        <v>0</v>
      </c>
      <c r="AX182" s="40">
        <f t="shared" si="26"/>
        <v>36038447</v>
      </c>
    </row>
    <row r="183" spans="1:50" x14ac:dyDescent="0.2">
      <c r="A183" s="29">
        <v>10</v>
      </c>
      <c r="B183" s="29">
        <v>202310</v>
      </c>
      <c r="C183" s="29" t="s">
        <v>234</v>
      </c>
      <c r="D183" s="35">
        <v>0</v>
      </c>
      <c r="E183" s="35">
        <v>0</v>
      </c>
      <c r="F183" s="35">
        <v>0</v>
      </c>
      <c r="G183" s="35">
        <v>0</v>
      </c>
      <c r="H183" s="35">
        <v>0</v>
      </c>
      <c r="I183" s="35">
        <v>0</v>
      </c>
      <c r="J183" s="35">
        <v>0</v>
      </c>
      <c r="K183" s="35">
        <v>0</v>
      </c>
      <c r="L183" s="35">
        <v>0</v>
      </c>
      <c r="M183" s="35">
        <v>421200</v>
      </c>
      <c r="N183" s="35">
        <v>0</v>
      </c>
      <c r="O183" s="35">
        <v>0</v>
      </c>
      <c r="P183" s="35">
        <v>0</v>
      </c>
      <c r="Q183" s="35">
        <v>0</v>
      </c>
      <c r="R183" s="35">
        <v>0</v>
      </c>
      <c r="S183" s="35">
        <v>0</v>
      </c>
      <c r="T183" s="40">
        <f t="shared" si="25"/>
        <v>421200</v>
      </c>
      <c r="V183" s="35">
        <v>0</v>
      </c>
      <c r="W183" s="35">
        <v>0</v>
      </c>
      <c r="X183" s="40">
        <f t="shared" si="33"/>
        <v>0</v>
      </c>
      <c r="Z183" s="35">
        <v>0</v>
      </c>
      <c r="AA183" s="35">
        <v>0</v>
      </c>
      <c r="AB183" s="35">
        <v>0</v>
      </c>
      <c r="AC183" s="35">
        <v>0</v>
      </c>
      <c r="AD183" s="35">
        <v>0</v>
      </c>
      <c r="AE183" s="35">
        <v>0</v>
      </c>
      <c r="AF183" s="35">
        <v>0</v>
      </c>
      <c r="AG183" s="35">
        <v>0</v>
      </c>
      <c r="AH183" s="35">
        <v>0</v>
      </c>
      <c r="AI183" s="35">
        <v>0</v>
      </c>
      <c r="AJ183" s="35">
        <v>0</v>
      </c>
      <c r="AK183" s="35">
        <v>0</v>
      </c>
      <c r="AL183" s="35">
        <v>0</v>
      </c>
      <c r="AM183" s="35">
        <v>0</v>
      </c>
      <c r="AN183" s="40">
        <f t="shared" si="34"/>
        <v>0</v>
      </c>
      <c r="AP183" s="35">
        <v>0</v>
      </c>
      <c r="AQ183" s="35">
        <v>0</v>
      </c>
      <c r="AR183" s="35">
        <v>0</v>
      </c>
      <c r="AS183" s="35">
        <v>0</v>
      </c>
      <c r="AT183" s="35">
        <v>0</v>
      </c>
      <c r="AU183" s="35">
        <v>0</v>
      </c>
      <c r="AV183" s="40">
        <f t="shared" si="35"/>
        <v>0</v>
      </c>
      <c r="AX183" s="40">
        <f t="shared" si="26"/>
        <v>421200</v>
      </c>
    </row>
    <row r="184" spans="1:50" x14ac:dyDescent="0.2">
      <c r="A184" s="29">
        <v>10</v>
      </c>
      <c r="B184" s="29">
        <v>202310</v>
      </c>
      <c r="C184" s="29" t="s">
        <v>235</v>
      </c>
      <c r="D184" s="35">
        <v>0</v>
      </c>
      <c r="E184" s="35">
        <v>0</v>
      </c>
      <c r="F184" s="35">
        <v>0</v>
      </c>
      <c r="G184" s="35">
        <v>0</v>
      </c>
      <c r="H184" s="35">
        <v>0</v>
      </c>
      <c r="I184" s="35">
        <v>0</v>
      </c>
      <c r="J184" s="35">
        <v>0</v>
      </c>
      <c r="K184" s="35">
        <v>0</v>
      </c>
      <c r="L184" s="35">
        <v>0</v>
      </c>
      <c r="M184" s="35">
        <v>154122</v>
      </c>
      <c r="N184" s="35">
        <v>0</v>
      </c>
      <c r="O184" s="35">
        <v>0</v>
      </c>
      <c r="P184" s="35">
        <v>0</v>
      </c>
      <c r="Q184" s="35">
        <v>0</v>
      </c>
      <c r="R184" s="35">
        <v>0</v>
      </c>
      <c r="S184" s="35">
        <v>1471230</v>
      </c>
      <c r="T184" s="40">
        <f t="shared" si="25"/>
        <v>1625352</v>
      </c>
      <c r="V184" s="35">
        <v>0</v>
      </c>
      <c r="W184" s="35">
        <v>0</v>
      </c>
      <c r="X184" s="40">
        <f t="shared" si="33"/>
        <v>0</v>
      </c>
      <c r="Z184" s="35">
        <v>0</v>
      </c>
      <c r="AA184" s="35">
        <v>0</v>
      </c>
      <c r="AB184" s="35">
        <v>23672000</v>
      </c>
      <c r="AC184" s="35">
        <v>0</v>
      </c>
      <c r="AD184" s="35">
        <v>0</v>
      </c>
      <c r="AE184" s="35">
        <v>0</v>
      </c>
      <c r="AF184" s="35">
        <v>0</v>
      </c>
      <c r="AG184" s="35">
        <v>0</v>
      </c>
      <c r="AH184" s="35">
        <v>0</v>
      </c>
      <c r="AI184" s="35">
        <v>0</v>
      </c>
      <c r="AJ184" s="35">
        <v>0</v>
      </c>
      <c r="AK184" s="35">
        <v>0</v>
      </c>
      <c r="AL184" s="35">
        <v>0</v>
      </c>
      <c r="AM184" s="35">
        <v>0</v>
      </c>
      <c r="AN184" s="40">
        <f t="shared" si="34"/>
        <v>23672000</v>
      </c>
      <c r="AP184" s="35">
        <v>0</v>
      </c>
      <c r="AQ184" s="35">
        <v>0</v>
      </c>
      <c r="AR184" s="35">
        <v>0</v>
      </c>
      <c r="AS184" s="35">
        <v>0</v>
      </c>
      <c r="AT184" s="35">
        <v>0</v>
      </c>
      <c r="AU184" s="35">
        <v>0</v>
      </c>
      <c r="AV184" s="40">
        <f t="shared" si="35"/>
        <v>0</v>
      </c>
      <c r="AX184" s="40">
        <f t="shared" si="26"/>
        <v>25297352</v>
      </c>
    </row>
    <row r="185" spans="1:50" x14ac:dyDescent="0.2">
      <c r="A185" s="29">
        <v>10</v>
      </c>
      <c r="B185" s="29">
        <v>202310</v>
      </c>
      <c r="C185" s="29">
        <v>10</v>
      </c>
      <c r="D185" s="35">
        <v>191</v>
      </c>
      <c r="E185" s="35">
        <v>1521</v>
      </c>
      <c r="F185" s="35">
        <v>0</v>
      </c>
      <c r="G185" s="35">
        <v>0</v>
      </c>
      <c r="H185" s="35">
        <v>0</v>
      </c>
      <c r="I185" s="35">
        <v>125259</v>
      </c>
      <c r="J185" s="35">
        <v>676</v>
      </c>
      <c r="K185" s="35">
        <v>0</v>
      </c>
      <c r="L185" s="35">
        <v>11388</v>
      </c>
      <c r="M185" s="35">
        <v>46328</v>
      </c>
      <c r="N185" s="35">
        <v>572</v>
      </c>
      <c r="O185" s="35">
        <v>25</v>
      </c>
      <c r="P185" s="35">
        <v>3251</v>
      </c>
      <c r="Q185" s="35">
        <v>37471</v>
      </c>
      <c r="R185" s="35">
        <v>12814</v>
      </c>
      <c r="S185" s="35">
        <v>6466</v>
      </c>
      <c r="T185" s="40">
        <f t="shared" si="25"/>
        <v>245962</v>
      </c>
      <c r="V185" s="35">
        <v>93963</v>
      </c>
      <c r="W185" s="35">
        <v>53249</v>
      </c>
      <c r="X185" s="40">
        <f t="shared" si="33"/>
        <v>147212</v>
      </c>
      <c r="Z185" s="35">
        <v>0</v>
      </c>
      <c r="AA185" s="35">
        <v>0</v>
      </c>
      <c r="AB185" s="35">
        <v>0</v>
      </c>
      <c r="AC185" s="35">
        <v>0</v>
      </c>
      <c r="AD185" s="35">
        <v>0</v>
      </c>
      <c r="AE185" s="35">
        <v>0</v>
      </c>
      <c r="AF185" s="35">
        <v>13980</v>
      </c>
      <c r="AG185" s="35">
        <v>2166</v>
      </c>
      <c r="AH185" s="35">
        <v>0</v>
      </c>
      <c r="AI185" s="35">
        <v>0</v>
      </c>
      <c r="AJ185" s="35">
        <v>0</v>
      </c>
      <c r="AK185" s="35">
        <v>918</v>
      </c>
      <c r="AL185" s="35">
        <v>0</v>
      </c>
      <c r="AM185" s="35">
        <v>0</v>
      </c>
      <c r="AN185" s="40">
        <f t="shared" si="34"/>
        <v>17064</v>
      </c>
      <c r="AP185" s="35">
        <v>3771</v>
      </c>
      <c r="AQ185" s="35">
        <v>22</v>
      </c>
      <c r="AR185" s="35">
        <v>10353</v>
      </c>
      <c r="AS185" s="35">
        <v>1010</v>
      </c>
      <c r="AT185" s="35">
        <v>0</v>
      </c>
      <c r="AU185" s="35">
        <v>10280</v>
      </c>
      <c r="AV185" s="40">
        <f t="shared" si="35"/>
        <v>25436</v>
      </c>
      <c r="AX185" s="40">
        <f t="shared" si="26"/>
        <v>435674</v>
      </c>
    </row>
    <row r="186" spans="1:50" x14ac:dyDescent="0.2">
      <c r="A186" s="29">
        <v>10</v>
      </c>
      <c r="B186" s="29">
        <v>202310</v>
      </c>
      <c r="C186" s="29">
        <v>11</v>
      </c>
      <c r="D186" s="35">
        <v>0</v>
      </c>
      <c r="E186" s="35">
        <v>0</v>
      </c>
      <c r="F186" s="35">
        <v>44</v>
      </c>
      <c r="G186" s="35">
        <v>0</v>
      </c>
      <c r="H186" s="35">
        <v>0</v>
      </c>
      <c r="I186" s="35">
        <v>22739</v>
      </c>
      <c r="J186" s="35">
        <v>0</v>
      </c>
      <c r="K186" s="35">
        <v>0</v>
      </c>
      <c r="L186" s="35">
        <v>0</v>
      </c>
      <c r="M186" s="35">
        <v>4515</v>
      </c>
      <c r="N186" s="35">
        <v>2649</v>
      </c>
      <c r="O186" s="35">
        <v>499</v>
      </c>
      <c r="P186" s="35">
        <v>1418</v>
      </c>
      <c r="Q186" s="35">
        <v>1274</v>
      </c>
      <c r="R186" s="35">
        <v>117</v>
      </c>
      <c r="S186" s="35">
        <v>115071</v>
      </c>
      <c r="T186" s="40">
        <f t="shared" si="25"/>
        <v>148326</v>
      </c>
      <c r="V186" s="35">
        <v>24379</v>
      </c>
      <c r="W186" s="35">
        <v>0</v>
      </c>
      <c r="X186" s="40">
        <f t="shared" si="33"/>
        <v>24379</v>
      </c>
      <c r="Z186" s="35">
        <v>0</v>
      </c>
      <c r="AA186" s="35">
        <v>0</v>
      </c>
      <c r="AB186" s="35">
        <v>0</v>
      </c>
      <c r="AC186" s="35">
        <v>0</v>
      </c>
      <c r="AD186" s="35">
        <v>0</v>
      </c>
      <c r="AE186" s="35">
        <v>0</v>
      </c>
      <c r="AF186" s="35">
        <v>5295</v>
      </c>
      <c r="AG186" s="35">
        <v>0</v>
      </c>
      <c r="AH186" s="35">
        <v>1184</v>
      </c>
      <c r="AI186" s="35">
        <v>0</v>
      </c>
      <c r="AJ186" s="35">
        <v>0</v>
      </c>
      <c r="AK186" s="35">
        <v>0</v>
      </c>
      <c r="AL186" s="35">
        <v>0</v>
      </c>
      <c r="AM186" s="35">
        <v>0</v>
      </c>
      <c r="AN186" s="40">
        <f t="shared" si="34"/>
        <v>6479</v>
      </c>
      <c r="AP186" s="35">
        <v>0</v>
      </c>
      <c r="AQ186" s="35">
        <v>0</v>
      </c>
      <c r="AR186" s="35">
        <v>0</v>
      </c>
      <c r="AS186" s="35">
        <v>0</v>
      </c>
      <c r="AT186" s="35">
        <v>0</v>
      </c>
      <c r="AU186" s="35">
        <v>0</v>
      </c>
      <c r="AV186" s="40">
        <f t="shared" si="35"/>
        <v>0</v>
      </c>
      <c r="AX186" s="40">
        <f t="shared" si="26"/>
        <v>179184</v>
      </c>
    </row>
    <row r="187" spans="1:50" x14ac:dyDescent="0.2">
      <c r="A187" s="29">
        <v>10</v>
      </c>
      <c r="B187" s="29">
        <v>202310</v>
      </c>
      <c r="C187" s="29">
        <v>12</v>
      </c>
      <c r="D187" s="35">
        <v>0</v>
      </c>
      <c r="E187" s="35">
        <v>0</v>
      </c>
      <c r="F187" s="35">
        <v>0</v>
      </c>
      <c r="G187" s="35">
        <v>0</v>
      </c>
      <c r="H187" s="35">
        <v>0</v>
      </c>
      <c r="I187" s="35">
        <v>10745</v>
      </c>
      <c r="J187" s="35">
        <v>0</v>
      </c>
      <c r="K187" s="35">
        <v>46668</v>
      </c>
      <c r="L187" s="35">
        <v>156</v>
      </c>
      <c r="M187" s="35">
        <v>971757</v>
      </c>
      <c r="N187" s="35">
        <v>1291</v>
      </c>
      <c r="O187" s="35">
        <v>0</v>
      </c>
      <c r="P187" s="35">
        <v>0</v>
      </c>
      <c r="Q187" s="35">
        <v>10278</v>
      </c>
      <c r="R187" s="35">
        <v>0</v>
      </c>
      <c r="S187" s="35">
        <v>58321</v>
      </c>
      <c r="T187" s="40">
        <f t="shared" si="25"/>
        <v>1099216</v>
      </c>
      <c r="V187" s="35">
        <v>5585</v>
      </c>
      <c r="W187" s="35">
        <v>0</v>
      </c>
      <c r="X187" s="40">
        <f t="shared" si="33"/>
        <v>5585</v>
      </c>
      <c r="Z187" s="35">
        <v>0</v>
      </c>
      <c r="AA187" s="35">
        <v>0</v>
      </c>
      <c r="AB187" s="35">
        <v>0</v>
      </c>
      <c r="AC187" s="35">
        <v>0</v>
      </c>
      <c r="AD187" s="35">
        <v>0</v>
      </c>
      <c r="AE187" s="35">
        <v>0</v>
      </c>
      <c r="AF187" s="35">
        <v>55423</v>
      </c>
      <c r="AG187" s="35">
        <v>0</v>
      </c>
      <c r="AH187" s="35">
        <v>0</v>
      </c>
      <c r="AI187" s="35">
        <v>308</v>
      </c>
      <c r="AJ187" s="35">
        <v>0</v>
      </c>
      <c r="AK187" s="35">
        <v>0</v>
      </c>
      <c r="AL187" s="35">
        <v>35234</v>
      </c>
      <c r="AM187" s="35">
        <v>0</v>
      </c>
      <c r="AN187" s="40">
        <f t="shared" si="34"/>
        <v>90965</v>
      </c>
      <c r="AP187" s="35">
        <v>0</v>
      </c>
      <c r="AQ187" s="35">
        <v>0</v>
      </c>
      <c r="AR187" s="35">
        <v>543</v>
      </c>
      <c r="AS187" s="35">
        <v>0</v>
      </c>
      <c r="AT187" s="35">
        <v>276</v>
      </c>
      <c r="AU187" s="35">
        <v>0</v>
      </c>
      <c r="AV187" s="40">
        <f t="shared" si="35"/>
        <v>819</v>
      </c>
      <c r="AX187" s="40">
        <f t="shared" si="26"/>
        <v>1196585</v>
      </c>
    </row>
    <row r="188" spans="1:50" x14ac:dyDescent="0.2">
      <c r="A188" s="29">
        <v>10</v>
      </c>
      <c r="B188" s="29">
        <v>202310</v>
      </c>
      <c r="C188" s="29">
        <v>15</v>
      </c>
      <c r="D188" s="35">
        <v>0</v>
      </c>
      <c r="E188" s="35">
        <v>13411</v>
      </c>
      <c r="F188" s="35">
        <v>0</v>
      </c>
      <c r="G188" s="35">
        <v>14667</v>
      </c>
      <c r="H188" s="35">
        <v>0</v>
      </c>
      <c r="I188" s="35">
        <v>9389</v>
      </c>
      <c r="J188" s="35">
        <v>4673</v>
      </c>
      <c r="K188" s="35">
        <v>29400</v>
      </c>
      <c r="L188" s="35">
        <v>21221</v>
      </c>
      <c r="M188" s="35">
        <v>442531</v>
      </c>
      <c r="N188" s="35">
        <v>2348</v>
      </c>
      <c r="O188" s="35">
        <v>198</v>
      </c>
      <c r="P188" s="35">
        <v>807</v>
      </c>
      <c r="Q188" s="35">
        <v>9564</v>
      </c>
      <c r="R188" s="35">
        <v>0</v>
      </c>
      <c r="S188" s="35">
        <v>73614</v>
      </c>
      <c r="T188" s="40">
        <f t="shared" si="25"/>
        <v>621823</v>
      </c>
      <c r="V188" s="35">
        <v>2458</v>
      </c>
      <c r="W188" s="35">
        <v>109</v>
      </c>
      <c r="X188" s="40">
        <f t="shared" si="33"/>
        <v>2567</v>
      </c>
      <c r="Z188" s="35">
        <v>0</v>
      </c>
      <c r="AA188" s="35">
        <v>2698</v>
      </c>
      <c r="AB188" s="35">
        <v>1876</v>
      </c>
      <c r="AC188" s="35">
        <v>0</v>
      </c>
      <c r="AD188" s="35">
        <v>0</v>
      </c>
      <c r="AE188" s="35">
        <v>97</v>
      </c>
      <c r="AF188" s="35">
        <v>49979</v>
      </c>
      <c r="AG188" s="35">
        <v>1722</v>
      </c>
      <c r="AH188" s="35">
        <v>0</v>
      </c>
      <c r="AI188" s="35">
        <v>0</v>
      </c>
      <c r="AJ188" s="35">
        <v>0</v>
      </c>
      <c r="AK188" s="35">
        <v>882</v>
      </c>
      <c r="AL188" s="35">
        <v>643</v>
      </c>
      <c r="AM188" s="35">
        <v>0</v>
      </c>
      <c r="AN188" s="40">
        <f t="shared" si="34"/>
        <v>57897</v>
      </c>
      <c r="AP188" s="35">
        <v>249</v>
      </c>
      <c r="AQ188" s="35">
        <v>0</v>
      </c>
      <c r="AR188" s="35">
        <v>1001</v>
      </c>
      <c r="AS188" s="35">
        <v>0</v>
      </c>
      <c r="AT188" s="35">
        <v>4927</v>
      </c>
      <c r="AU188" s="35">
        <v>0</v>
      </c>
      <c r="AV188" s="40">
        <f t="shared" si="35"/>
        <v>6177</v>
      </c>
      <c r="AX188" s="40">
        <f t="shared" si="26"/>
        <v>688464</v>
      </c>
    </row>
    <row r="189" spans="1:50" x14ac:dyDescent="0.2">
      <c r="A189" s="29">
        <v>10</v>
      </c>
      <c r="B189" s="29">
        <v>202310</v>
      </c>
      <c r="C189" s="29">
        <v>21</v>
      </c>
      <c r="D189" s="35">
        <v>0</v>
      </c>
      <c r="E189" s="35">
        <v>0</v>
      </c>
      <c r="F189" s="35">
        <v>0</v>
      </c>
      <c r="G189" s="35">
        <v>0</v>
      </c>
      <c r="H189" s="35">
        <v>0</v>
      </c>
      <c r="I189" s="35">
        <v>0</v>
      </c>
      <c r="J189" s="35">
        <v>0</v>
      </c>
      <c r="K189" s="35">
        <v>0</v>
      </c>
      <c r="L189" s="35">
        <v>0</v>
      </c>
      <c r="M189" s="35">
        <v>0</v>
      </c>
      <c r="N189" s="35">
        <v>0</v>
      </c>
      <c r="O189" s="35">
        <v>0</v>
      </c>
      <c r="P189" s="35">
        <v>0</v>
      </c>
      <c r="Q189" s="35">
        <v>0</v>
      </c>
      <c r="R189" s="35">
        <v>0</v>
      </c>
      <c r="S189" s="35">
        <v>0</v>
      </c>
      <c r="T189" s="40">
        <f t="shared" si="25"/>
        <v>0</v>
      </c>
      <c r="V189" s="35">
        <v>0</v>
      </c>
      <c r="W189" s="35">
        <v>0</v>
      </c>
      <c r="X189" s="40">
        <f t="shared" si="33"/>
        <v>0</v>
      </c>
      <c r="Z189" s="35">
        <v>0</v>
      </c>
      <c r="AA189" s="35">
        <v>0</v>
      </c>
      <c r="AB189" s="35">
        <v>0</v>
      </c>
      <c r="AC189" s="35">
        <v>0</v>
      </c>
      <c r="AD189" s="35">
        <v>0</v>
      </c>
      <c r="AE189" s="35">
        <v>0</v>
      </c>
      <c r="AF189" s="35">
        <v>0</v>
      </c>
      <c r="AG189" s="35">
        <v>0</v>
      </c>
      <c r="AH189" s="35">
        <v>0</v>
      </c>
      <c r="AI189" s="35">
        <v>0</v>
      </c>
      <c r="AJ189" s="35">
        <v>0</v>
      </c>
      <c r="AK189" s="35">
        <v>0</v>
      </c>
      <c r="AL189" s="35">
        <v>0</v>
      </c>
      <c r="AM189" s="35">
        <v>0</v>
      </c>
      <c r="AN189" s="40">
        <f t="shared" si="34"/>
        <v>0</v>
      </c>
      <c r="AP189" s="35">
        <v>0</v>
      </c>
      <c r="AQ189" s="35">
        <v>0</v>
      </c>
      <c r="AR189" s="35">
        <v>0</v>
      </c>
      <c r="AS189" s="35">
        <v>0</v>
      </c>
      <c r="AT189" s="35">
        <v>0</v>
      </c>
      <c r="AU189" s="35">
        <v>0</v>
      </c>
      <c r="AV189" s="40">
        <f t="shared" si="35"/>
        <v>0</v>
      </c>
      <c r="AX189" s="40">
        <f t="shared" si="26"/>
        <v>0</v>
      </c>
    </row>
    <row r="190" spans="1:50" x14ac:dyDescent="0.2">
      <c r="A190" s="29">
        <v>10</v>
      </c>
      <c r="B190" s="29">
        <v>202310</v>
      </c>
      <c r="C190" s="29">
        <v>23</v>
      </c>
      <c r="D190" s="35">
        <v>2703</v>
      </c>
      <c r="E190" s="35">
        <v>864343</v>
      </c>
      <c r="F190" s="35">
        <v>40248</v>
      </c>
      <c r="G190" s="35">
        <v>1078981</v>
      </c>
      <c r="H190" s="35">
        <v>9192</v>
      </c>
      <c r="I190" s="35">
        <v>1096722</v>
      </c>
      <c r="J190" s="35">
        <v>490485</v>
      </c>
      <c r="K190" s="35">
        <v>2032089</v>
      </c>
      <c r="L190" s="35">
        <v>2524969</v>
      </c>
      <c r="M190" s="35">
        <v>14799015</v>
      </c>
      <c r="N190" s="35">
        <v>193448</v>
      </c>
      <c r="O190" s="35">
        <v>37310</v>
      </c>
      <c r="P190" s="35">
        <v>80365</v>
      </c>
      <c r="Q190" s="35">
        <v>1647721</v>
      </c>
      <c r="R190" s="35">
        <v>357914</v>
      </c>
      <c r="S190" s="35">
        <v>4473219</v>
      </c>
      <c r="T190" s="40">
        <f t="shared" si="25"/>
        <v>29728724</v>
      </c>
      <c r="V190" s="35">
        <v>659071</v>
      </c>
      <c r="W190" s="35">
        <v>11140</v>
      </c>
      <c r="X190" s="40">
        <f t="shared" si="33"/>
        <v>670211</v>
      </c>
      <c r="Z190" s="35">
        <v>1554</v>
      </c>
      <c r="AA190" s="35">
        <v>7378</v>
      </c>
      <c r="AB190" s="35">
        <v>62177</v>
      </c>
      <c r="AC190" s="35">
        <v>19579</v>
      </c>
      <c r="AD190" s="35">
        <v>5167</v>
      </c>
      <c r="AE190" s="35">
        <v>80261</v>
      </c>
      <c r="AF190" s="35">
        <v>486546</v>
      </c>
      <c r="AG190" s="35">
        <v>100547</v>
      </c>
      <c r="AH190" s="35">
        <v>34051</v>
      </c>
      <c r="AI190" s="35">
        <v>8127</v>
      </c>
      <c r="AJ190" s="35">
        <v>29836</v>
      </c>
      <c r="AK190" s="35">
        <v>100967</v>
      </c>
      <c r="AL190" s="35">
        <v>105026</v>
      </c>
      <c r="AM190" s="35">
        <v>0</v>
      </c>
      <c r="AN190" s="40">
        <f t="shared" si="34"/>
        <v>1041216</v>
      </c>
      <c r="AP190" s="35">
        <v>100774</v>
      </c>
      <c r="AQ190" s="35">
        <v>9829</v>
      </c>
      <c r="AR190" s="35">
        <v>271260</v>
      </c>
      <c r="AS190" s="35">
        <v>8296</v>
      </c>
      <c r="AT190" s="35">
        <v>1261082</v>
      </c>
      <c r="AU190" s="35">
        <v>1184</v>
      </c>
      <c r="AV190" s="40">
        <f t="shared" si="35"/>
        <v>1652425</v>
      </c>
      <c r="AX190" s="40">
        <f t="shared" si="26"/>
        <v>33092576</v>
      </c>
    </row>
    <row r="191" spans="1:50" x14ac:dyDescent="0.2">
      <c r="A191" s="29">
        <v>10</v>
      </c>
      <c r="B191" s="29">
        <v>202310</v>
      </c>
      <c r="C191" s="29">
        <v>31</v>
      </c>
      <c r="D191" s="35">
        <v>0</v>
      </c>
      <c r="E191" s="35">
        <v>0</v>
      </c>
      <c r="F191" s="35">
        <v>0</v>
      </c>
      <c r="G191" s="35">
        <v>0</v>
      </c>
      <c r="H191" s="35">
        <v>0</v>
      </c>
      <c r="I191" s="35">
        <v>0</v>
      </c>
      <c r="J191" s="35">
        <v>0</v>
      </c>
      <c r="K191" s="35">
        <v>0</v>
      </c>
      <c r="L191" s="35">
        <v>0</v>
      </c>
      <c r="M191" s="35">
        <v>10131347</v>
      </c>
      <c r="N191" s="35">
        <v>0</v>
      </c>
      <c r="O191" s="35">
        <v>0</v>
      </c>
      <c r="P191" s="35">
        <v>0</v>
      </c>
      <c r="Q191" s="35">
        <v>0</v>
      </c>
      <c r="R191" s="35">
        <v>0</v>
      </c>
      <c r="S191" s="35">
        <v>0</v>
      </c>
      <c r="T191" s="40">
        <f t="shared" si="25"/>
        <v>10131347</v>
      </c>
      <c r="V191" s="35">
        <v>0</v>
      </c>
      <c r="W191" s="35">
        <v>0</v>
      </c>
      <c r="X191" s="40">
        <f t="shared" si="33"/>
        <v>0</v>
      </c>
      <c r="Z191" s="35">
        <v>482400</v>
      </c>
      <c r="AA191" s="35">
        <v>0</v>
      </c>
      <c r="AB191" s="35">
        <v>0</v>
      </c>
      <c r="AC191" s="35">
        <v>0</v>
      </c>
      <c r="AD191" s="35">
        <v>0</v>
      </c>
      <c r="AE191" s="35">
        <v>0</v>
      </c>
      <c r="AF191" s="35">
        <v>0</v>
      </c>
      <c r="AG191" s="35">
        <v>0</v>
      </c>
      <c r="AH191" s="35">
        <v>0</v>
      </c>
      <c r="AI191" s="35">
        <v>0</v>
      </c>
      <c r="AJ191" s="35">
        <v>0</v>
      </c>
      <c r="AK191" s="35">
        <v>0</v>
      </c>
      <c r="AL191" s="35">
        <v>0</v>
      </c>
      <c r="AM191" s="35">
        <v>0</v>
      </c>
      <c r="AN191" s="40">
        <f t="shared" si="34"/>
        <v>482400</v>
      </c>
      <c r="AP191" s="35">
        <v>0</v>
      </c>
      <c r="AQ191" s="35">
        <v>0</v>
      </c>
      <c r="AR191" s="35">
        <v>0</v>
      </c>
      <c r="AS191" s="35">
        <v>0</v>
      </c>
      <c r="AT191" s="35">
        <v>0</v>
      </c>
      <c r="AU191" s="35">
        <v>0</v>
      </c>
      <c r="AV191" s="40">
        <f t="shared" si="35"/>
        <v>0</v>
      </c>
      <c r="AX191" s="40">
        <f t="shared" si="26"/>
        <v>10613747</v>
      </c>
    </row>
    <row r="192" spans="1:50" x14ac:dyDescent="0.2">
      <c r="A192" s="29">
        <v>10</v>
      </c>
      <c r="B192" s="29">
        <v>202310</v>
      </c>
      <c r="C192" s="29">
        <v>32</v>
      </c>
      <c r="D192" s="35">
        <v>0</v>
      </c>
      <c r="E192" s="35">
        <v>0</v>
      </c>
      <c r="F192" s="35">
        <v>0</v>
      </c>
      <c r="G192" s="35">
        <v>0</v>
      </c>
      <c r="H192" s="35">
        <v>0</v>
      </c>
      <c r="I192" s="35">
        <v>0</v>
      </c>
      <c r="J192" s="35">
        <v>0</v>
      </c>
      <c r="K192" s="35">
        <v>0</v>
      </c>
      <c r="L192" s="35">
        <v>0</v>
      </c>
      <c r="M192" s="35">
        <v>16693965</v>
      </c>
      <c r="N192" s="35">
        <v>0</v>
      </c>
      <c r="O192" s="35">
        <v>0</v>
      </c>
      <c r="P192" s="35">
        <v>0</v>
      </c>
      <c r="Q192" s="35">
        <v>0</v>
      </c>
      <c r="R192" s="35">
        <v>0</v>
      </c>
      <c r="S192" s="35">
        <v>0</v>
      </c>
      <c r="T192" s="40">
        <f t="shared" si="25"/>
        <v>16693965</v>
      </c>
      <c r="V192" s="35">
        <v>0</v>
      </c>
      <c r="W192" s="35">
        <v>0</v>
      </c>
      <c r="X192" s="40">
        <f t="shared" si="33"/>
        <v>0</v>
      </c>
      <c r="Z192" s="35">
        <v>0</v>
      </c>
      <c r="AA192" s="35">
        <v>0</v>
      </c>
      <c r="AB192" s="35">
        <v>0</v>
      </c>
      <c r="AC192" s="35">
        <v>0</v>
      </c>
      <c r="AD192" s="35">
        <v>0</v>
      </c>
      <c r="AE192" s="35">
        <v>0</v>
      </c>
      <c r="AF192" s="35">
        <v>0</v>
      </c>
      <c r="AG192" s="35">
        <v>0</v>
      </c>
      <c r="AH192" s="35">
        <v>0</v>
      </c>
      <c r="AI192" s="35">
        <v>0</v>
      </c>
      <c r="AJ192" s="35">
        <v>0</v>
      </c>
      <c r="AK192" s="35">
        <v>0</v>
      </c>
      <c r="AL192" s="35">
        <v>0</v>
      </c>
      <c r="AM192" s="35">
        <v>0</v>
      </c>
      <c r="AN192" s="40">
        <f t="shared" si="34"/>
        <v>0</v>
      </c>
      <c r="AP192" s="35">
        <v>0</v>
      </c>
      <c r="AQ192" s="35">
        <v>0</v>
      </c>
      <c r="AR192" s="35">
        <v>0</v>
      </c>
      <c r="AS192" s="35">
        <v>0</v>
      </c>
      <c r="AT192" s="35">
        <v>0</v>
      </c>
      <c r="AU192" s="35">
        <v>0</v>
      </c>
      <c r="AV192" s="40">
        <f t="shared" si="35"/>
        <v>0</v>
      </c>
      <c r="AX192" s="40">
        <f t="shared" si="26"/>
        <v>16693965</v>
      </c>
    </row>
    <row r="193" spans="1:50" x14ac:dyDescent="0.2">
      <c r="A193" s="29">
        <v>11</v>
      </c>
      <c r="B193" s="29">
        <v>202311</v>
      </c>
      <c r="C193" s="29">
        <v>1</v>
      </c>
      <c r="D193" s="35">
        <v>111253</v>
      </c>
      <c r="E193" s="35">
        <v>1259173</v>
      </c>
      <c r="F193" s="35">
        <v>261174</v>
      </c>
      <c r="G193" s="35">
        <v>8132723</v>
      </c>
      <c r="H193" s="35">
        <v>391001</v>
      </c>
      <c r="I193" s="35">
        <v>9133666</v>
      </c>
      <c r="J193" s="35">
        <v>5031321</v>
      </c>
      <c r="K193" s="35">
        <v>6211278</v>
      </c>
      <c r="L193" s="35">
        <v>12086305</v>
      </c>
      <c r="M193" s="35">
        <v>37132774</v>
      </c>
      <c r="N193" s="35">
        <v>671165</v>
      </c>
      <c r="O193" s="35">
        <v>531164</v>
      </c>
      <c r="P193" s="35">
        <v>643540</v>
      </c>
      <c r="Q193" s="35">
        <v>7807223</v>
      </c>
      <c r="R193" s="35">
        <v>361992</v>
      </c>
      <c r="S193" s="35">
        <v>15717563</v>
      </c>
      <c r="T193" s="40">
        <f t="shared" si="25"/>
        <v>105483315</v>
      </c>
      <c r="V193" s="35">
        <v>1582738</v>
      </c>
      <c r="W193" s="35">
        <v>15122</v>
      </c>
      <c r="X193" s="40">
        <f>SUM(V193:W193)</f>
        <v>1597860</v>
      </c>
      <c r="Z193" s="35">
        <v>9546</v>
      </c>
      <c r="AA193" s="35">
        <v>7015</v>
      </c>
      <c r="AB193" s="35">
        <v>760271</v>
      </c>
      <c r="AC193" s="35">
        <v>222962</v>
      </c>
      <c r="AD193" s="35">
        <v>60626</v>
      </c>
      <c r="AE193" s="35">
        <v>381473</v>
      </c>
      <c r="AF193" s="35">
        <v>1155470</v>
      </c>
      <c r="AG193" s="35">
        <v>1546180</v>
      </c>
      <c r="AH193" s="35">
        <v>7373</v>
      </c>
      <c r="AI193" s="35">
        <v>415332</v>
      </c>
      <c r="AJ193" s="35">
        <v>43348</v>
      </c>
      <c r="AK193" s="35">
        <v>654760</v>
      </c>
      <c r="AL193" s="35">
        <v>127421</v>
      </c>
      <c r="AM193" s="35">
        <v>0</v>
      </c>
      <c r="AN193" s="40">
        <f>SUM(Z193:AM193)</f>
        <v>5391777</v>
      </c>
      <c r="AO193" s="35"/>
      <c r="AP193" s="35">
        <v>842196</v>
      </c>
      <c r="AQ193" s="35">
        <v>164175</v>
      </c>
      <c r="AR193" s="35">
        <v>2998961</v>
      </c>
      <c r="AS193" s="35">
        <v>75808</v>
      </c>
      <c r="AT193" s="35">
        <v>5139459</v>
      </c>
      <c r="AU193" s="35">
        <v>35914</v>
      </c>
      <c r="AV193" s="40">
        <f>SUM(AP193:AU193)</f>
        <v>9256513</v>
      </c>
      <c r="AX193" s="40">
        <f t="shared" si="26"/>
        <v>121729465</v>
      </c>
    </row>
    <row r="194" spans="1:50" x14ac:dyDescent="0.2">
      <c r="A194" s="29">
        <v>11</v>
      </c>
      <c r="B194" s="29">
        <v>202311</v>
      </c>
      <c r="C194" s="29">
        <v>2</v>
      </c>
      <c r="D194" s="35">
        <v>372</v>
      </c>
      <c r="E194" s="35">
        <v>0</v>
      </c>
      <c r="F194" s="35">
        <v>0</v>
      </c>
      <c r="G194" s="35">
        <v>36298</v>
      </c>
      <c r="H194" s="35">
        <v>3663</v>
      </c>
      <c r="I194" s="35">
        <v>25576</v>
      </c>
      <c r="J194" s="35">
        <v>2490</v>
      </c>
      <c r="K194" s="35">
        <v>7546</v>
      </c>
      <c r="L194" s="35">
        <v>56126</v>
      </c>
      <c r="M194" s="35">
        <v>90623</v>
      </c>
      <c r="N194" s="35">
        <v>508</v>
      </c>
      <c r="O194" s="35">
        <v>749</v>
      </c>
      <c r="P194" s="35">
        <v>2470</v>
      </c>
      <c r="Q194" s="35">
        <v>24738</v>
      </c>
      <c r="R194" s="35">
        <v>0</v>
      </c>
      <c r="S194" s="35">
        <v>25316</v>
      </c>
      <c r="T194" s="40">
        <f t="shared" si="25"/>
        <v>276475</v>
      </c>
      <c r="V194" s="35">
        <v>0</v>
      </c>
      <c r="W194" s="35">
        <v>0</v>
      </c>
      <c r="X194" s="40">
        <f t="shared" ref="X194:X211" si="36">SUM(V194:W194)</f>
        <v>0</v>
      </c>
      <c r="Z194" s="35">
        <v>0</v>
      </c>
      <c r="AA194" s="35">
        <v>0</v>
      </c>
      <c r="AB194" s="35">
        <v>2556</v>
      </c>
      <c r="AC194" s="35">
        <v>1064</v>
      </c>
      <c r="AD194" s="35">
        <v>1049</v>
      </c>
      <c r="AE194" s="35">
        <v>440</v>
      </c>
      <c r="AF194" s="35">
        <v>1490</v>
      </c>
      <c r="AG194" s="35">
        <v>3789</v>
      </c>
      <c r="AH194" s="35">
        <v>0</v>
      </c>
      <c r="AI194" s="35">
        <v>302</v>
      </c>
      <c r="AJ194" s="35">
        <v>0</v>
      </c>
      <c r="AK194" s="35">
        <v>1552</v>
      </c>
      <c r="AL194" s="35">
        <v>0</v>
      </c>
      <c r="AM194" s="35">
        <v>0</v>
      </c>
      <c r="AN194" s="40">
        <f t="shared" ref="AN194:AN211" si="37">SUM(Z194:AM194)</f>
        <v>12242</v>
      </c>
      <c r="AP194" s="35">
        <v>1599</v>
      </c>
      <c r="AQ194" s="35">
        <v>0</v>
      </c>
      <c r="AR194" s="35">
        <v>12798</v>
      </c>
      <c r="AS194" s="35">
        <v>0</v>
      </c>
      <c r="AT194" s="35">
        <v>37631</v>
      </c>
      <c r="AU194" s="35">
        <v>0</v>
      </c>
      <c r="AV194" s="40">
        <f t="shared" ref="AV194:AV211" si="38">SUM(AP194:AU194)</f>
        <v>52028</v>
      </c>
      <c r="AX194" s="40">
        <f t="shared" si="26"/>
        <v>340745</v>
      </c>
    </row>
    <row r="195" spans="1:50" x14ac:dyDescent="0.2">
      <c r="A195" s="29">
        <v>11</v>
      </c>
      <c r="B195" s="29">
        <v>202311</v>
      </c>
      <c r="C195" s="29">
        <v>3</v>
      </c>
      <c r="D195" s="35">
        <v>1255</v>
      </c>
      <c r="E195" s="35">
        <v>57642</v>
      </c>
      <c r="F195" s="35">
        <v>0</v>
      </c>
      <c r="G195" s="35">
        <v>73529</v>
      </c>
      <c r="H195" s="35">
        <v>0</v>
      </c>
      <c r="I195" s="35">
        <v>62420</v>
      </c>
      <c r="J195" s="35">
        <v>209416</v>
      </c>
      <c r="K195" s="35">
        <v>261239</v>
      </c>
      <c r="L195" s="35">
        <v>242453</v>
      </c>
      <c r="M195" s="35">
        <v>1263229</v>
      </c>
      <c r="N195" s="35">
        <v>1765</v>
      </c>
      <c r="O195" s="35">
        <v>1580</v>
      </c>
      <c r="P195" s="35">
        <v>5343</v>
      </c>
      <c r="Q195" s="35">
        <v>10413</v>
      </c>
      <c r="R195" s="35">
        <v>2371</v>
      </c>
      <c r="S195" s="35">
        <v>911628</v>
      </c>
      <c r="T195" s="40">
        <f t="shared" ref="T195:T230" si="39">SUM(D195:S195)</f>
        <v>3104283</v>
      </c>
      <c r="V195" s="35">
        <v>29479</v>
      </c>
      <c r="W195" s="35">
        <v>1409</v>
      </c>
      <c r="X195" s="40">
        <f t="shared" si="36"/>
        <v>30888</v>
      </c>
      <c r="Z195" s="35">
        <v>0</v>
      </c>
      <c r="AA195" s="35">
        <v>0</v>
      </c>
      <c r="AB195" s="35">
        <v>20186</v>
      </c>
      <c r="AC195" s="35">
        <v>21298</v>
      </c>
      <c r="AD195" s="35">
        <v>1142</v>
      </c>
      <c r="AE195" s="35">
        <v>4250</v>
      </c>
      <c r="AF195" s="35">
        <v>73120</v>
      </c>
      <c r="AG195" s="35">
        <v>14332</v>
      </c>
      <c r="AH195" s="35">
        <v>0</v>
      </c>
      <c r="AI195" s="35">
        <v>7194</v>
      </c>
      <c r="AJ195" s="35">
        <v>348</v>
      </c>
      <c r="AK195" s="35">
        <v>8065</v>
      </c>
      <c r="AL195" s="35">
        <v>3617</v>
      </c>
      <c r="AM195" s="35">
        <v>0</v>
      </c>
      <c r="AN195" s="40">
        <f t="shared" si="37"/>
        <v>153552</v>
      </c>
      <c r="AP195" s="35">
        <v>1226</v>
      </c>
      <c r="AQ195" s="35">
        <v>1561</v>
      </c>
      <c r="AR195" s="35">
        <v>0</v>
      </c>
      <c r="AS195" s="35">
        <v>0</v>
      </c>
      <c r="AT195" s="35">
        <v>2092</v>
      </c>
      <c r="AU195" s="35">
        <v>0</v>
      </c>
      <c r="AV195" s="40">
        <f t="shared" si="38"/>
        <v>4879</v>
      </c>
      <c r="AX195" s="40">
        <f t="shared" si="26"/>
        <v>3293602</v>
      </c>
    </row>
    <row r="196" spans="1:50" x14ac:dyDescent="0.2">
      <c r="A196" s="29">
        <v>11</v>
      </c>
      <c r="B196" s="29">
        <v>202311</v>
      </c>
      <c r="C196" s="29">
        <v>6</v>
      </c>
      <c r="D196" s="35">
        <v>1785</v>
      </c>
      <c r="E196" s="35">
        <v>2341108</v>
      </c>
      <c r="F196" s="35">
        <v>307553</v>
      </c>
      <c r="G196" s="35">
        <v>4926362</v>
      </c>
      <c r="H196" s="35">
        <v>0</v>
      </c>
      <c r="I196" s="35">
        <v>2916164</v>
      </c>
      <c r="J196" s="35">
        <v>2245378</v>
      </c>
      <c r="K196" s="35">
        <v>6348033</v>
      </c>
      <c r="L196" s="35">
        <v>7908513</v>
      </c>
      <c r="M196" s="35">
        <v>107980235</v>
      </c>
      <c r="N196" s="35">
        <v>286844</v>
      </c>
      <c r="O196" s="35">
        <v>18225</v>
      </c>
      <c r="P196" s="35">
        <v>159591</v>
      </c>
      <c r="Q196" s="35">
        <v>7797723</v>
      </c>
      <c r="R196" s="35">
        <v>861118</v>
      </c>
      <c r="S196" s="35">
        <v>21144541</v>
      </c>
      <c r="T196" s="40">
        <f t="shared" si="39"/>
        <v>165243173</v>
      </c>
      <c r="V196" s="35">
        <v>754760</v>
      </c>
      <c r="W196" s="35">
        <v>5400</v>
      </c>
      <c r="X196" s="40">
        <f t="shared" si="36"/>
        <v>760160</v>
      </c>
      <c r="Z196" s="35">
        <v>0</v>
      </c>
      <c r="AA196" s="35">
        <v>59931</v>
      </c>
      <c r="AB196" s="35">
        <v>760874</v>
      </c>
      <c r="AC196" s="35">
        <v>77000</v>
      </c>
      <c r="AD196" s="35">
        <v>76280</v>
      </c>
      <c r="AE196" s="35">
        <v>441073</v>
      </c>
      <c r="AF196" s="35">
        <v>1772951</v>
      </c>
      <c r="AG196" s="35">
        <v>434316</v>
      </c>
      <c r="AH196" s="35">
        <v>31460</v>
      </c>
      <c r="AI196" s="35">
        <v>61200</v>
      </c>
      <c r="AJ196" s="35">
        <v>74440</v>
      </c>
      <c r="AK196" s="35">
        <v>115585</v>
      </c>
      <c r="AL196" s="35">
        <v>211244</v>
      </c>
      <c r="AM196" s="35">
        <v>0</v>
      </c>
      <c r="AN196" s="40">
        <f t="shared" si="37"/>
        <v>4116354</v>
      </c>
      <c r="AP196" s="35">
        <v>360898</v>
      </c>
      <c r="AQ196" s="35">
        <v>0</v>
      </c>
      <c r="AR196" s="35">
        <v>729743</v>
      </c>
      <c r="AS196" s="35">
        <v>0</v>
      </c>
      <c r="AT196" s="35">
        <v>3769765</v>
      </c>
      <c r="AU196" s="35">
        <v>0</v>
      </c>
      <c r="AV196" s="40">
        <f t="shared" si="38"/>
        <v>4860406</v>
      </c>
      <c r="AX196" s="40">
        <f t="shared" ref="AX196:AX231" si="40">AV196+AN196+X196+T196</f>
        <v>174980093</v>
      </c>
    </row>
    <row r="197" spans="1:50" x14ac:dyDescent="0.2">
      <c r="A197" s="29">
        <v>11</v>
      </c>
      <c r="B197" s="29">
        <v>202311</v>
      </c>
      <c r="C197" s="29" t="s">
        <v>230</v>
      </c>
      <c r="D197" s="35">
        <v>0</v>
      </c>
      <c r="E197" s="35">
        <v>33219</v>
      </c>
      <c r="F197" s="35">
        <v>0</v>
      </c>
      <c r="G197" s="35">
        <v>748261</v>
      </c>
      <c r="H197" s="35">
        <v>13735</v>
      </c>
      <c r="I197" s="35">
        <v>98700</v>
      </c>
      <c r="J197" s="35">
        <v>331520</v>
      </c>
      <c r="K197" s="35">
        <v>980790</v>
      </c>
      <c r="L197" s="35">
        <v>266953</v>
      </c>
      <c r="M197" s="35">
        <v>5953034</v>
      </c>
      <c r="N197" s="35">
        <v>6560</v>
      </c>
      <c r="O197" s="35">
        <v>5880</v>
      </c>
      <c r="P197" s="35">
        <v>4080</v>
      </c>
      <c r="Q197" s="35">
        <v>767027</v>
      </c>
      <c r="R197" s="35">
        <v>10400</v>
      </c>
      <c r="S197" s="35">
        <v>1208938</v>
      </c>
      <c r="T197" s="40">
        <f t="shared" si="39"/>
        <v>10429097</v>
      </c>
      <c r="V197" s="35">
        <v>-5160</v>
      </c>
      <c r="W197" s="35">
        <v>0</v>
      </c>
      <c r="X197" s="40">
        <f t="shared" si="36"/>
        <v>-5160</v>
      </c>
      <c r="Z197" s="35">
        <v>0</v>
      </c>
      <c r="AA197" s="35">
        <v>5765</v>
      </c>
      <c r="AB197" s="35">
        <v>9720</v>
      </c>
      <c r="AC197" s="35">
        <v>0</v>
      </c>
      <c r="AD197" s="35">
        <v>0</v>
      </c>
      <c r="AE197" s="35">
        <v>4369</v>
      </c>
      <c r="AF197" s="35">
        <v>295613</v>
      </c>
      <c r="AG197" s="35">
        <v>6960</v>
      </c>
      <c r="AH197" s="35">
        <v>0</v>
      </c>
      <c r="AI197" s="35">
        <v>560</v>
      </c>
      <c r="AJ197" s="35">
        <v>14480</v>
      </c>
      <c r="AK197" s="35">
        <v>0</v>
      </c>
      <c r="AL197" s="35">
        <v>0</v>
      </c>
      <c r="AM197" s="35">
        <v>0</v>
      </c>
      <c r="AN197" s="40">
        <f t="shared" si="37"/>
        <v>337467</v>
      </c>
      <c r="AP197" s="35">
        <v>0</v>
      </c>
      <c r="AQ197" s="35">
        <v>0</v>
      </c>
      <c r="AR197" s="35">
        <v>155841</v>
      </c>
      <c r="AS197" s="35">
        <v>64440</v>
      </c>
      <c r="AT197" s="35">
        <v>368056</v>
      </c>
      <c r="AU197" s="35">
        <v>11000</v>
      </c>
      <c r="AV197" s="40">
        <f t="shared" si="38"/>
        <v>599337</v>
      </c>
      <c r="AX197" s="40">
        <f t="shared" si="40"/>
        <v>11360741</v>
      </c>
    </row>
    <row r="198" spans="1:50" x14ac:dyDescent="0.2">
      <c r="A198" s="29">
        <v>11</v>
      </c>
      <c r="B198" s="29">
        <v>202311</v>
      </c>
      <c r="C198" s="29" t="s">
        <v>231</v>
      </c>
      <c r="D198" s="35">
        <v>0</v>
      </c>
      <c r="E198" s="35">
        <v>0</v>
      </c>
      <c r="F198" s="35">
        <v>0</v>
      </c>
      <c r="G198" s="35">
        <v>0</v>
      </c>
      <c r="H198" s="35">
        <v>0</v>
      </c>
      <c r="I198" s="35">
        <v>0</v>
      </c>
      <c r="J198" s="35">
        <v>0</v>
      </c>
      <c r="K198" s="35">
        <v>0</v>
      </c>
      <c r="L198" s="35">
        <v>0</v>
      </c>
      <c r="M198" s="35">
        <v>0</v>
      </c>
      <c r="N198" s="35">
        <v>0</v>
      </c>
      <c r="O198" s="35">
        <v>0</v>
      </c>
      <c r="P198" s="35">
        <v>0</v>
      </c>
      <c r="Q198" s="35">
        <v>0</v>
      </c>
      <c r="R198" s="35">
        <v>0</v>
      </c>
      <c r="S198" s="35">
        <v>0</v>
      </c>
      <c r="T198" s="40">
        <f t="shared" si="39"/>
        <v>0</v>
      </c>
      <c r="V198" s="35">
        <v>0</v>
      </c>
      <c r="W198" s="35">
        <v>0</v>
      </c>
      <c r="X198" s="40">
        <f t="shared" si="36"/>
        <v>0</v>
      </c>
      <c r="Z198" s="35">
        <v>0</v>
      </c>
      <c r="AA198" s="35">
        <v>0</v>
      </c>
      <c r="AB198" s="35">
        <v>0</v>
      </c>
      <c r="AC198" s="35">
        <v>0</v>
      </c>
      <c r="AD198" s="35">
        <v>0</v>
      </c>
      <c r="AE198" s="35">
        <v>0</v>
      </c>
      <c r="AF198" s="35">
        <v>0</v>
      </c>
      <c r="AG198" s="35">
        <v>0</v>
      </c>
      <c r="AH198" s="35">
        <v>0</v>
      </c>
      <c r="AI198" s="35">
        <v>0</v>
      </c>
      <c r="AJ198" s="35">
        <v>0</v>
      </c>
      <c r="AK198" s="35">
        <v>0</v>
      </c>
      <c r="AL198" s="35">
        <v>0</v>
      </c>
      <c r="AM198" s="35">
        <v>0</v>
      </c>
      <c r="AN198" s="40">
        <f t="shared" si="37"/>
        <v>0</v>
      </c>
      <c r="AP198" s="35">
        <v>0</v>
      </c>
      <c r="AQ198" s="35">
        <v>0</v>
      </c>
      <c r="AR198" s="35">
        <v>0</v>
      </c>
      <c r="AS198" s="35">
        <v>0</v>
      </c>
      <c r="AT198" s="35">
        <v>0</v>
      </c>
      <c r="AU198" s="35">
        <v>0</v>
      </c>
      <c r="AV198" s="40">
        <f t="shared" si="38"/>
        <v>0</v>
      </c>
      <c r="AX198" s="40">
        <f t="shared" si="40"/>
        <v>0</v>
      </c>
    </row>
    <row r="199" spans="1:50" x14ac:dyDescent="0.2">
      <c r="A199" s="29">
        <v>11</v>
      </c>
      <c r="B199" s="29">
        <v>202311</v>
      </c>
      <c r="C199" s="29">
        <v>7</v>
      </c>
      <c r="D199" s="35">
        <v>0</v>
      </c>
      <c r="E199" s="35">
        <v>6698</v>
      </c>
      <c r="F199" s="35">
        <v>0</v>
      </c>
      <c r="G199" s="35">
        <v>4085</v>
      </c>
      <c r="H199" s="35">
        <v>0</v>
      </c>
      <c r="I199" s="35">
        <v>9960</v>
      </c>
      <c r="J199" s="35">
        <v>7276</v>
      </c>
      <c r="K199" s="35">
        <v>15953</v>
      </c>
      <c r="L199" s="35">
        <v>25111</v>
      </c>
      <c r="M199" s="35">
        <v>201999</v>
      </c>
      <c r="N199" s="35">
        <v>1675</v>
      </c>
      <c r="O199" s="35">
        <v>177</v>
      </c>
      <c r="P199" s="35">
        <v>304</v>
      </c>
      <c r="Q199" s="35">
        <v>709</v>
      </c>
      <c r="R199" s="35">
        <v>259</v>
      </c>
      <c r="S199" s="35">
        <v>48093</v>
      </c>
      <c r="T199" s="40">
        <f t="shared" si="39"/>
        <v>322299</v>
      </c>
      <c r="V199" s="35">
        <v>2423</v>
      </c>
      <c r="W199" s="35">
        <v>78</v>
      </c>
      <c r="X199" s="40">
        <f t="shared" si="36"/>
        <v>2501</v>
      </c>
      <c r="Z199" s="35">
        <v>0</v>
      </c>
      <c r="AA199" s="35">
        <v>0</v>
      </c>
      <c r="AB199" s="35">
        <v>285</v>
      </c>
      <c r="AC199" s="35">
        <v>444</v>
      </c>
      <c r="AD199" s="35">
        <v>296</v>
      </c>
      <c r="AE199" s="35">
        <v>69</v>
      </c>
      <c r="AF199" s="35">
        <v>7571</v>
      </c>
      <c r="AG199" s="35">
        <v>779</v>
      </c>
      <c r="AH199" s="35">
        <v>444</v>
      </c>
      <c r="AI199" s="35">
        <v>0</v>
      </c>
      <c r="AJ199" s="35">
        <v>0</v>
      </c>
      <c r="AK199" s="35">
        <v>56</v>
      </c>
      <c r="AL199" s="35">
        <v>646</v>
      </c>
      <c r="AM199" s="35">
        <v>0</v>
      </c>
      <c r="AN199" s="40">
        <f t="shared" si="37"/>
        <v>10590</v>
      </c>
      <c r="AP199" s="35">
        <v>427</v>
      </c>
      <c r="AQ199" s="35">
        <v>208</v>
      </c>
      <c r="AR199" s="35">
        <v>39</v>
      </c>
      <c r="AS199" s="35">
        <v>97</v>
      </c>
      <c r="AT199" s="35">
        <v>305</v>
      </c>
      <c r="AU199" s="35">
        <v>0</v>
      </c>
      <c r="AV199" s="40">
        <f t="shared" si="38"/>
        <v>1076</v>
      </c>
      <c r="AX199" s="40">
        <f t="shared" si="40"/>
        <v>336466</v>
      </c>
    </row>
    <row r="200" spans="1:50" x14ac:dyDescent="0.2">
      <c r="A200" s="29">
        <v>11</v>
      </c>
      <c r="B200" s="29">
        <v>202311</v>
      </c>
      <c r="C200" s="29">
        <v>8</v>
      </c>
      <c r="D200" s="35">
        <v>0</v>
      </c>
      <c r="E200" s="35">
        <v>0</v>
      </c>
      <c r="F200" s="35">
        <v>0</v>
      </c>
      <c r="G200" s="35">
        <v>0</v>
      </c>
      <c r="H200" s="35">
        <v>0</v>
      </c>
      <c r="I200" s="35">
        <v>283200</v>
      </c>
      <c r="J200" s="35">
        <v>444320</v>
      </c>
      <c r="K200" s="35">
        <v>534900</v>
      </c>
      <c r="L200" s="35">
        <v>1216800</v>
      </c>
      <c r="M200" s="35">
        <v>46522770</v>
      </c>
      <c r="N200" s="35">
        <v>0</v>
      </c>
      <c r="O200" s="35">
        <v>0</v>
      </c>
      <c r="P200" s="35">
        <v>0</v>
      </c>
      <c r="Q200" s="35">
        <v>760500</v>
      </c>
      <c r="R200" s="35">
        <v>0</v>
      </c>
      <c r="S200" s="35">
        <v>9237800</v>
      </c>
      <c r="T200" s="40">
        <f t="shared" si="39"/>
        <v>59000290</v>
      </c>
      <c r="V200" s="35">
        <v>0</v>
      </c>
      <c r="W200" s="35">
        <v>0</v>
      </c>
      <c r="X200" s="40">
        <f t="shared" si="36"/>
        <v>0</v>
      </c>
      <c r="Z200" s="35">
        <v>991800</v>
      </c>
      <c r="AA200" s="35">
        <v>0</v>
      </c>
      <c r="AB200" s="35">
        <v>2502000</v>
      </c>
      <c r="AC200" s="35">
        <v>0</v>
      </c>
      <c r="AD200" s="35">
        <v>0</v>
      </c>
      <c r="AE200" s="35">
        <v>1458000</v>
      </c>
      <c r="AF200" s="35">
        <v>1105200</v>
      </c>
      <c r="AG200" s="35">
        <v>0</v>
      </c>
      <c r="AH200" s="35">
        <v>0</v>
      </c>
      <c r="AI200" s="35">
        <v>0</v>
      </c>
      <c r="AJ200" s="35">
        <v>0</v>
      </c>
      <c r="AK200" s="35">
        <v>0</v>
      </c>
      <c r="AL200" s="35">
        <v>0</v>
      </c>
      <c r="AM200" s="35">
        <v>0</v>
      </c>
      <c r="AN200" s="40">
        <f t="shared" si="37"/>
        <v>6057000</v>
      </c>
      <c r="AP200" s="35">
        <v>0</v>
      </c>
      <c r="AQ200" s="35">
        <v>0</v>
      </c>
      <c r="AR200" s="35">
        <v>0</v>
      </c>
      <c r="AS200" s="35">
        <v>0</v>
      </c>
      <c r="AT200" s="35">
        <v>554900</v>
      </c>
      <c r="AU200" s="35">
        <v>0</v>
      </c>
      <c r="AV200" s="40">
        <f t="shared" si="38"/>
        <v>554900</v>
      </c>
      <c r="AX200" s="40">
        <f t="shared" si="40"/>
        <v>65612190</v>
      </c>
    </row>
    <row r="201" spans="1:50" x14ac:dyDescent="0.2">
      <c r="A201" s="29">
        <v>11</v>
      </c>
      <c r="B201" s="29">
        <v>202311</v>
      </c>
      <c r="C201" s="29">
        <v>9</v>
      </c>
      <c r="D201" s="35">
        <v>0</v>
      </c>
      <c r="E201" s="35">
        <v>0</v>
      </c>
      <c r="F201" s="35">
        <v>0</v>
      </c>
      <c r="G201" s="35">
        <v>477600</v>
      </c>
      <c r="H201" s="35">
        <v>0</v>
      </c>
      <c r="I201" s="35">
        <v>0</v>
      </c>
      <c r="J201" s="35">
        <v>0</v>
      </c>
      <c r="K201" s="35">
        <v>0</v>
      </c>
      <c r="L201" s="35">
        <v>0</v>
      </c>
      <c r="M201" s="35">
        <v>17578063</v>
      </c>
      <c r="N201" s="35">
        <v>0</v>
      </c>
      <c r="O201" s="35">
        <v>0</v>
      </c>
      <c r="P201" s="35">
        <v>0</v>
      </c>
      <c r="Q201" s="35">
        <v>0</v>
      </c>
      <c r="R201" s="35">
        <v>0</v>
      </c>
      <c r="S201" s="35">
        <v>20507600</v>
      </c>
      <c r="T201" s="40">
        <f t="shared" si="39"/>
        <v>38563263</v>
      </c>
      <c r="V201" s="35">
        <v>2377469</v>
      </c>
      <c r="W201" s="35">
        <v>0</v>
      </c>
      <c r="X201" s="40">
        <f t="shared" si="36"/>
        <v>2377469</v>
      </c>
      <c r="Z201" s="35">
        <v>0</v>
      </c>
      <c r="AA201" s="35">
        <v>0</v>
      </c>
      <c r="AB201" s="35">
        <v>0</v>
      </c>
      <c r="AC201" s="35">
        <v>0</v>
      </c>
      <c r="AD201" s="35">
        <v>0</v>
      </c>
      <c r="AE201" s="35">
        <v>0</v>
      </c>
      <c r="AF201" s="35">
        <v>1505000</v>
      </c>
      <c r="AG201" s="35">
        <v>0</v>
      </c>
      <c r="AH201" s="35">
        <v>0</v>
      </c>
      <c r="AI201" s="35">
        <v>0</v>
      </c>
      <c r="AJ201" s="35">
        <v>0</v>
      </c>
      <c r="AK201" s="35">
        <v>28000</v>
      </c>
      <c r="AL201" s="35">
        <v>0</v>
      </c>
      <c r="AM201" s="35">
        <v>0</v>
      </c>
      <c r="AN201" s="40">
        <f t="shared" si="37"/>
        <v>1533000</v>
      </c>
      <c r="AP201" s="35">
        <v>0</v>
      </c>
      <c r="AQ201" s="35">
        <v>0</v>
      </c>
      <c r="AR201" s="35">
        <v>0</v>
      </c>
      <c r="AS201" s="35">
        <v>0</v>
      </c>
      <c r="AT201" s="35">
        <v>0</v>
      </c>
      <c r="AU201" s="35">
        <v>0</v>
      </c>
      <c r="AV201" s="40">
        <f t="shared" si="38"/>
        <v>0</v>
      </c>
      <c r="AX201" s="40">
        <f t="shared" si="40"/>
        <v>42473732</v>
      </c>
    </row>
    <row r="202" spans="1:50" x14ac:dyDescent="0.2">
      <c r="A202" s="29">
        <v>11</v>
      </c>
      <c r="B202" s="29">
        <v>202311</v>
      </c>
      <c r="C202" s="29" t="s">
        <v>234</v>
      </c>
      <c r="D202" s="35">
        <v>0</v>
      </c>
      <c r="E202" s="35">
        <v>0</v>
      </c>
      <c r="F202" s="35">
        <v>0</v>
      </c>
      <c r="G202" s="35">
        <v>0</v>
      </c>
      <c r="H202" s="35">
        <v>0</v>
      </c>
      <c r="I202" s="35">
        <v>0</v>
      </c>
      <c r="J202" s="35">
        <v>0</v>
      </c>
      <c r="K202" s="35">
        <v>0</v>
      </c>
      <c r="L202" s="35">
        <v>0</v>
      </c>
      <c r="M202" s="35">
        <v>356400</v>
      </c>
      <c r="N202" s="35">
        <v>0</v>
      </c>
      <c r="O202" s="35">
        <v>0</v>
      </c>
      <c r="P202" s="35">
        <v>0</v>
      </c>
      <c r="Q202" s="35">
        <v>0</v>
      </c>
      <c r="R202" s="35">
        <v>0</v>
      </c>
      <c r="S202" s="35">
        <v>0</v>
      </c>
      <c r="T202" s="40">
        <f t="shared" si="39"/>
        <v>356400</v>
      </c>
      <c r="V202" s="35">
        <v>0</v>
      </c>
      <c r="W202" s="35">
        <v>0</v>
      </c>
      <c r="X202" s="40">
        <f t="shared" si="36"/>
        <v>0</v>
      </c>
      <c r="Z202" s="35">
        <v>0</v>
      </c>
      <c r="AA202" s="35">
        <v>0</v>
      </c>
      <c r="AB202" s="35">
        <v>0</v>
      </c>
      <c r="AC202" s="35">
        <v>0</v>
      </c>
      <c r="AD202" s="35">
        <v>0</v>
      </c>
      <c r="AE202" s="35">
        <v>0</v>
      </c>
      <c r="AF202" s="35">
        <v>0</v>
      </c>
      <c r="AG202" s="35">
        <v>0</v>
      </c>
      <c r="AH202" s="35">
        <v>0</v>
      </c>
      <c r="AI202" s="35">
        <v>0</v>
      </c>
      <c r="AJ202" s="35">
        <v>0</v>
      </c>
      <c r="AK202" s="35">
        <v>0</v>
      </c>
      <c r="AL202" s="35">
        <v>0</v>
      </c>
      <c r="AM202" s="35">
        <v>0</v>
      </c>
      <c r="AN202" s="40">
        <f t="shared" si="37"/>
        <v>0</v>
      </c>
      <c r="AP202" s="35">
        <v>0</v>
      </c>
      <c r="AQ202" s="35">
        <v>0</v>
      </c>
      <c r="AR202" s="35">
        <v>0</v>
      </c>
      <c r="AS202" s="35">
        <v>0</v>
      </c>
      <c r="AT202" s="35">
        <v>0</v>
      </c>
      <c r="AU202" s="35">
        <v>0</v>
      </c>
      <c r="AV202" s="40">
        <f t="shared" si="38"/>
        <v>0</v>
      </c>
      <c r="AX202" s="40">
        <f t="shared" si="40"/>
        <v>356400</v>
      </c>
    </row>
    <row r="203" spans="1:50" x14ac:dyDescent="0.2">
      <c r="A203" s="29">
        <v>11</v>
      </c>
      <c r="B203" s="29">
        <v>202311</v>
      </c>
      <c r="C203" s="29" t="s">
        <v>235</v>
      </c>
      <c r="D203" s="35">
        <v>0</v>
      </c>
      <c r="E203" s="35">
        <v>0</v>
      </c>
      <c r="F203" s="35">
        <v>0</v>
      </c>
      <c r="G203" s="35">
        <v>0</v>
      </c>
      <c r="H203" s="35">
        <v>0</v>
      </c>
      <c r="I203" s="35">
        <v>0</v>
      </c>
      <c r="J203" s="35">
        <v>0</v>
      </c>
      <c r="K203" s="35">
        <v>0</v>
      </c>
      <c r="L203" s="35">
        <v>0</v>
      </c>
      <c r="M203" s="35">
        <v>158747</v>
      </c>
      <c r="N203" s="35">
        <v>0</v>
      </c>
      <c r="O203" s="35">
        <v>0</v>
      </c>
      <c r="P203" s="35">
        <v>0</v>
      </c>
      <c r="Q203" s="35">
        <v>0</v>
      </c>
      <c r="R203" s="35">
        <v>0</v>
      </c>
      <c r="S203" s="35">
        <v>1553940</v>
      </c>
      <c r="T203" s="40">
        <f t="shared" si="39"/>
        <v>1712687</v>
      </c>
      <c r="V203" s="35">
        <v>0</v>
      </c>
      <c r="W203" s="35">
        <v>0</v>
      </c>
      <c r="X203" s="40">
        <f t="shared" si="36"/>
        <v>0</v>
      </c>
      <c r="Z203" s="35">
        <v>0</v>
      </c>
      <c r="AA203" s="35">
        <v>0</v>
      </c>
      <c r="AB203" s="35">
        <v>23298800</v>
      </c>
      <c r="AC203" s="35">
        <v>0</v>
      </c>
      <c r="AD203" s="35">
        <v>0</v>
      </c>
      <c r="AE203" s="35">
        <v>0</v>
      </c>
      <c r="AF203" s="35">
        <v>0</v>
      </c>
      <c r="AG203" s="35">
        <v>0</v>
      </c>
      <c r="AH203" s="35">
        <v>0</v>
      </c>
      <c r="AI203" s="35">
        <v>0</v>
      </c>
      <c r="AJ203" s="35">
        <v>0</v>
      </c>
      <c r="AK203" s="35">
        <v>0</v>
      </c>
      <c r="AL203" s="35">
        <v>0</v>
      </c>
      <c r="AM203" s="35">
        <v>0</v>
      </c>
      <c r="AN203" s="40">
        <f t="shared" si="37"/>
        <v>23298800</v>
      </c>
      <c r="AP203" s="35">
        <v>0</v>
      </c>
      <c r="AQ203" s="35">
        <v>0</v>
      </c>
      <c r="AR203" s="35">
        <v>0</v>
      </c>
      <c r="AS203" s="35">
        <v>0</v>
      </c>
      <c r="AT203" s="35">
        <v>0</v>
      </c>
      <c r="AU203" s="35">
        <v>0</v>
      </c>
      <c r="AV203" s="40">
        <f t="shared" si="38"/>
        <v>0</v>
      </c>
      <c r="AX203" s="40">
        <f t="shared" si="40"/>
        <v>25011487</v>
      </c>
    </row>
    <row r="204" spans="1:50" x14ac:dyDescent="0.2">
      <c r="A204" s="29">
        <v>11</v>
      </c>
      <c r="B204" s="29">
        <v>202311</v>
      </c>
      <c r="C204" s="29">
        <v>10</v>
      </c>
      <c r="D204" s="35">
        <v>173</v>
      </c>
      <c r="E204" s="35">
        <v>873</v>
      </c>
      <c r="F204" s="35">
        <v>0</v>
      </c>
      <c r="G204" s="35">
        <v>0</v>
      </c>
      <c r="H204" s="35">
        <v>0</v>
      </c>
      <c r="I204" s="35">
        <v>25969</v>
      </c>
      <c r="J204" s="35">
        <v>479</v>
      </c>
      <c r="K204" s="35">
        <v>0</v>
      </c>
      <c r="L204" s="35">
        <v>4315</v>
      </c>
      <c r="M204" s="35">
        <v>32299</v>
      </c>
      <c r="N204" s="35">
        <v>1008</v>
      </c>
      <c r="O204" s="35">
        <v>0</v>
      </c>
      <c r="P204" s="35">
        <v>6182</v>
      </c>
      <c r="Q204" s="35">
        <v>10295</v>
      </c>
      <c r="R204" s="35">
        <v>11836</v>
      </c>
      <c r="S204" s="35">
        <v>1770</v>
      </c>
      <c r="T204" s="40">
        <f t="shared" si="39"/>
        <v>95199</v>
      </c>
      <c r="V204" s="35">
        <v>65694</v>
      </c>
      <c r="W204" s="35">
        <v>19282</v>
      </c>
      <c r="X204" s="40">
        <f t="shared" si="36"/>
        <v>84976</v>
      </c>
      <c r="Z204" s="35">
        <v>0</v>
      </c>
      <c r="AA204" s="35">
        <v>0</v>
      </c>
      <c r="AB204" s="35">
        <v>0</v>
      </c>
      <c r="AC204" s="35">
        <v>0</v>
      </c>
      <c r="AD204" s="35">
        <v>0</v>
      </c>
      <c r="AE204" s="35">
        <v>0</v>
      </c>
      <c r="AF204" s="35">
        <v>6050</v>
      </c>
      <c r="AG204" s="35">
        <v>871</v>
      </c>
      <c r="AH204" s="35">
        <v>0</v>
      </c>
      <c r="AI204" s="35">
        <v>0</v>
      </c>
      <c r="AJ204" s="35">
        <v>0</v>
      </c>
      <c r="AK204" s="35">
        <v>571</v>
      </c>
      <c r="AL204" s="35">
        <v>0</v>
      </c>
      <c r="AM204" s="35">
        <v>0</v>
      </c>
      <c r="AN204" s="40">
        <f t="shared" si="37"/>
        <v>7492</v>
      </c>
      <c r="AP204" s="35">
        <v>3448</v>
      </c>
      <c r="AQ204" s="35">
        <v>26</v>
      </c>
      <c r="AR204" s="35">
        <v>0</v>
      </c>
      <c r="AS204" s="35">
        <v>24</v>
      </c>
      <c r="AT204" s="35">
        <v>0</v>
      </c>
      <c r="AU204" s="35">
        <v>8960</v>
      </c>
      <c r="AV204" s="40">
        <f t="shared" si="38"/>
        <v>12458</v>
      </c>
      <c r="AX204" s="40">
        <f t="shared" si="40"/>
        <v>200125</v>
      </c>
    </row>
    <row r="205" spans="1:50" x14ac:dyDescent="0.2">
      <c r="A205" s="29">
        <v>11</v>
      </c>
      <c r="B205" s="29">
        <v>202311</v>
      </c>
      <c r="C205" s="29">
        <v>11</v>
      </c>
      <c r="D205" s="35">
        <v>0</v>
      </c>
      <c r="E205" s="35">
        <v>0</v>
      </c>
      <c r="F205" s="35">
        <v>44</v>
      </c>
      <c r="G205" s="35">
        <v>55581</v>
      </c>
      <c r="H205" s="35">
        <v>0</v>
      </c>
      <c r="I205" s="35">
        <v>22669</v>
      </c>
      <c r="J205" s="35">
        <v>0</v>
      </c>
      <c r="K205" s="35">
        <v>0</v>
      </c>
      <c r="L205" s="35">
        <v>0</v>
      </c>
      <c r="M205" s="35">
        <v>4515</v>
      </c>
      <c r="N205" s="35">
        <v>5072</v>
      </c>
      <c r="O205" s="35">
        <v>499</v>
      </c>
      <c r="P205" s="35">
        <v>2836</v>
      </c>
      <c r="Q205" s="35">
        <v>1274</v>
      </c>
      <c r="R205" s="35">
        <v>117</v>
      </c>
      <c r="S205" s="35">
        <v>228432</v>
      </c>
      <c r="T205" s="40">
        <f t="shared" si="39"/>
        <v>321039</v>
      </c>
      <c r="V205" s="35">
        <v>21839</v>
      </c>
      <c r="W205" s="35">
        <v>0</v>
      </c>
      <c r="X205" s="40">
        <f t="shared" si="36"/>
        <v>21839</v>
      </c>
      <c r="Z205" s="35">
        <v>0</v>
      </c>
      <c r="AA205" s="35">
        <v>0</v>
      </c>
      <c r="AB205" s="35">
        <v>0</v>
      </c>
      <c r="AC205" s="35">
        <v>0</v>
      </c>
      <c r="AD205" s="35">
        <v>0</v>
      </c>
      <c r="AE205" s="35">
        <v>0</v>
      </c>
      <c r="AF205" s="35">
        <v>5295</v>
      </c>
      <c r="AG205" s="35">
        <v>0</v>
      </c>
      <c r="AH205" s="35">
        <v>1184</v>
      </c>
      <c r="AI205" s="35">
        <v>0</v>
      </c>
      <c r="AJ205" s="35">
        <v>0</v>
      </c>
      <c r="AK205" s="35">
        <v>0</v>
      </c>
      <c r="AL205" s="35">
        <v>0</v>
      </c>
      <c r="AM205" s="35">
        <v>0</v>
      </c>
      <c r="AN205" s="40">
        <f t="shared" si="37"/>
        <v>6479</v>
      </c>
      <c r="AP205" s="35">
        <v>0</v>
      </c>
      <c r="AQ205" s="35">
        <v>0</v>
      </c>
      <c r="AR205" s="35">
        <v>0</v>
      </c>
      <c r="AS205" s="35">
        <v>0</v>
      </c>
      <c r="AT205" s="35">
        <v>0</v>
      </c>
      <c r="AU205" s="35">
        <v>0</v>
      </c>
      <c r="AV205" s="40">
        <f t="shared" si="38"/>
        <v>0</v>
      </c>
      <c r="AX205" s="40">
        <f t="shared" si="40"/>
        <v>349357</v>
      </c>
    </row>
    <row r="206" spans="1:50" x14ac:dyDescent="0.2">
      <c r="A206" s="29">
        <v>11</v>
      </c>
      <c r="B206" s="29">
        <v>202311</v>
      </c>
      <c r="C206" s="29">
        <v>12</v>
      </c>
      <c r="D206" s="35">
        <v>0</v>
      </c>
      <c r="E206" s="35">
        <v>0</v>
      </c>
      <c r="F206" s="35">
        <v>0</v>
      </c>
      <c r="G206" s="35">
        <v>28864</v>
      </c>
      <c r="H206" s="35">
        <v>0</v>
      </c>
      <c r="I206" s="35">
        <v>10745</v>
      </c>
      <c r="J206" s="35">
        <v>0</v>
      </c>
      <c r="K206" s="35">
        <v>46668</v>
      </c>
      <c r="L206" s="35">
        <v>156</v>
      </c>
      <c r="M206" s="35">
        <v>971924</v>
      </c>
      <c r="N206" s="35">
        <v>1546</v>
      </c>
      <c r="O206" s="35">
        <v>0</v>
      </c>
      <c r="P206" s="35">
        <v>0</v>
      </c>
      <c r="Q206" s="35">
        <v>10278</v>
      </c>
      <c r="R206" s="35">
        <v>0</v>
      </c>
      <c r="S206" s="35">
        <v>115673</v>
      </c>
      <c r="T206" s="40">
        <f t="shared" si="39"/>
        <v>1185854</v>
      </c>
      <c r="V206" s="35">
        <v>2477</v>
      </c>
      <c r="W206" s="35">
        <v>0</v>
      </c>
      <c r="X206" s="40">
        <f t="shared" si="36"/>
        <v>2477</v>
      </c>
      <c r="Z206" s="35">
        <v>0</v>
      </c>
      <c r="AA206" s="35">
        <v>0</v>
      </c>
      <c r="AB206" s="35">
        <v>0</v>
      </c>
      <c r="AC206" s="35">
        <v>0</v>
      </c>
      <c r="AD206" s="35">
        <v>0</v>
      </c>
      <c r="AE206" s="35">
        <v>0</v>
      </c>
      <c r="AF206" s="35">
        <v>55657</v>
      </c>
      <c r="AG206" s="35">
        <v>0</v>
      </c>
      <c r="AH206" s="35">
        <v>0</v>
      </c>
      <c r="AI206" s="35">
        <v>308</v>
      </c>
      <c r="AJ206" s="35">
        <v>0</v>
      </c>
      <c r="AK206" s="35">
        <v>0</v>
      </c>
      <c r="AL206" s="35">
        <v>35255</v>
      </c>
      <c r="AM206" s="35">
        <v>0</v>
      </c>
      <c r="AN206" s="40">
        <f t="shared" si="37"/>
        <v>91220</v>
      </c>
      <c r="AP206" s="35">
        <v>0</v>
      </c>
      <c r="AQ206" s="35">
        <v>0</v>
      </c>
      <c r="AR206" s="35">
        <v>543</v>
      </c>
      <c r="AS206" s="35">
        <v>0</v>
      </c>
      <c r="AT206" s="35">
        <v>276</v>
      </c>
      <c r="AU206" s="35">
        <v>0</v>
      </c>
      <c r="AV206" s="40">
        <f t="shared" si="38"/>
        <v>819</v>
      </c>
      <c r="AX206" s="40">
        <f t="shared" si="40"/>
        <v>1280370</v>
      </c>
    </row>
    <row r="207" spans="1:50" x14ac:dyDescent="0.2">
      <c r="A207" s="29">
        <v>11</v>
      </c>
      <c r="B207" s="29">
        <v>202311</v>
      </c>
      <c r="C207" s="29">
        <v>15</v>
      </c>
      <c r="D207" s="35">
        <v>0</v>
      </c>
      <c r="E207" s="35">
        <v>4275</v>
      </c>
      <c r="F207" s="35">
        <v>0</v>
      </c>
      <c r="G207" s="35">
        <v>17183</v>
      </c>
      <c r="H207" s="35">
        <v>0</v>
      </c>
      <c r="I207" s="35">
        <v>6522</v>
      </c>
      <c r="J207" s="35">
        <v>19461</v>
      </c>
      <c r="K207" s="35">
        <v>23233</v>
      </c>
      <c r="L207" s="35">
        <v>15733</v>
      </c>
      <c r="M207" s="35">
        <v>391376</v>
      </c>
      <c r="N207" s="35">
        <v>1446</v>
      </c>
      <c r="O207" s="35">
        <v>83</v>
      </c>
      <c r="P207" s="35">
        <v>2090</v>
      </c>
      <c r="Q207" s="35">
        <v>11609</v>
      </c>
      <c r="R207" s="35">
        <v>0</v>
      </c>
      <c r="S207" s="35">
        <v>62414</v>
      </c>
      <c r="T207" s="40">
        <f t="shared" si="39"/>
        <v>555425</v>
      </c>
      <c r="V207" s="35">
        <v>4706</v>
      </c>
      <c r="W207" s="35">
        <v>0</v>
      </c>
      <c r="X207" s="40">
        <f t="shared" si="36"/>
        <v>4706</v>
      </c>
      <c r="Z207" s="35">
        <v>0</v>
      </c>
      <c r="AA207" s="35">
        <v>1592</v>
      </c>
      <c r="AB207" s="35">
        <v>1023</v>
      </c>
      <c r="AC207" s="35">
        <v>0</v>
      </c>
      <c r="AD207" s="35">
        <v>0</v>
      </c>
      <c r="AE207" s="35">
        <v>748</v>
      </c>
      <c r="AF207" s="35">
        <v>18390</v>
      </c>
      <c r="AG207" s="35">
        <v>586</v>
      </c>
      <c r="AH207" s="35">
        <v>0</v>
      </c>
      <c r="AI207" s="35">
        <v>0</v>
      </c>
      <c r="AJ207" s="35">
        <v>0</v>
      </c>
      <c r="AK207" s="35">
        <v>101</v>
      </c>
      <c r="AL207" s="35">
        <v>292</v>
      </c>
      <c r="AM207" s="35">
        <v>0</v>
      </c>
      <c r="AN207" s="40">
        <f t="shared" si="37"/>
        <v>22732</v>
      </c>
      <c r="AP207" s="35">
        <v>249</v>
      </c>
      <c r="AQ207" s="35">
        <v>0</v>
      </c>
      <c r="AR207" s="35">
        <v>911</v>
      </c>
      <c r="AS207" s="35">
        <v>0</v>
      </c>
      <c r="AT207" s="35">
        <v>4695</v>
      </c>
      <c r="AU207" s="35">
        <v>0</v>
      </c>
      <c r="AV207" s="40">
        <f t="shared" si="38"/>
        <v>5855</v>
      </c>
      <c r="AX207" s="40">
        <f t="shared" si="40"/>
        <v>588718</v>
      </c>
    </row>
    <row r="208" spans="1:50" x14ac:dyDescent="0.2">
      <c r="A208" s="29">
        <v>11</v>
      </c>
      <c r="B208" s="29">
        <v>202311</v>
      </c>
      <c r="C208" s="29">
        <v>21</v>
      </c>
      <c r="D208" s="35">
        <v>0</v>
      </c>
      <c r="E208" s="35">
        <v>0</v>
      </c>
      <c r="F208" s="35">
        <v>0</v>
      </c>
      <c r="G208" s="35">
        <v>0</v>
      </c>
      <c r="H208" s="35">
        <v>0</v>
      </c>
      <c r="I208" s="35">
        <v>0</v>
      </c>
      <c r="J208" s="35">
        <v>0</v>
      </c>
      <c r="K208" s="35">
        <v>0</v>
      </c>
      <c r="L208" s="35">
        <v>0</v>
      </c>
      <c r="M208" s="35">
        <v>0</v>
      </c>
      <c r="N208" s="35">
        <v>0</v>
      </c>
      <c r="O208" s="35">
        <v>0</v>
      </c>
      <c r="P208" s="35">
        <v>0</v>
      </c>
      <c r="Q208" s="35">
        <v>0</v>
      </c>
      <c r="R208" s="35">
        <v>0</v>
      </c>
      <c r="S208" s="35">
        <v>0</v>
      </c>
      <c r="T208" s="40">
        <f t="shared" si="39"/>
        <v>0</v>
      </c>
      <c r="V208" s="35">
        <v>0</v>
      </c>
      <c r="W208" s="35">
        <v>0</v>
      </c>
      <c r="X208" s="40">
        <f t="shared" si="36"/>
        <v>0</v>
      </c>
      <c r="Z208" s="35">
        <v>0</v>
      </c>
      <c r="AA208" s="35">
        <v>0</v>
      </c>
      <c r="AB208" s="35">
        <v>0</v>
      </c>
      <c r="AC208" s="35">
        <v>0</v>
      </c>
      <c r="AD208" s="35">
        <v>0</v>
      </c>
      <c r="AE208" s="35">
        <v>0</v>
      </c>
      <c r="AF208" s="35">
        <v>0</v>
      </c>
      <c r="AG208" s="35">
        <v>0</v>
      </c>
      <c r="AH208" s="35">
        <v>0</v>
      </c>
      <c r="AI208" s="35">
        <v>0</v>
      </c>
      <c r="AJ208" s="35">
        <v>0</v>
      </c>
      <c r="AK208" s="35">
        <v>0</v>
      </c>
      <c r="AL208" s="35">
        <v>0</v>
      </c>
      <c r="AM208" s="35">
        <v>0</v>
      </c>
      <c r="AN208" s="40">
        <f t="shared" si="37"/>
        <v>0</v>
      </c>
      <c r="AP208" s="35">
        <v>0</v>
      </c>
      <c r="AQ208" s="35">
        <v>0</v>
      </c>
      <c r="AR208" s="35">
        <v>0</v>
      </c>
      <c r="AS208" s="35">
        <v>0</v>
      </c>
      <c r="AT208" s="35">
        <v>0</v>
      </c>
      <c r="AU208" s="35">
        <v>0</v>
      </c>
      <c r="AV208" s="40">
        <f t="shared" si="38"/>
        <v>0</v>
      </c>
      <c r="AX208" s="40">
        <f t="shared" si="40"/>
        <v>0</v>
      </c>
    </row>
    <row r="209" spans="1:50" x14ac:dyDescent="0.2">
      <c r="A209" s="29">
        <v>11</v>
      </c>
      <c r="B209" s="29">
        <v>202311</v>
      </c>
      <c r="C209" s="29">
        <v>23</v>
      </c>
      <c r="D209" s="35">
        <v>2884</v>
      </c>
      <c r="E209" s="35">
        <v>757869</v>
      </c>
      <c r="F209" s="35">
        <v>52522</v>
      </c>
      <c r="G209" s="35">
        <v>1103379</v>
      </c>
      <c r="H209" s="35">
        <v>9927</v>
      </c>
      <c r="I209" s="35">
        <v>1231859</v>
      </c>
      <c r="J209" s="35">
        <v>472138</v>
      </c>
      <c r="K209" s="35">
        <v>2007280</v>
      </c>
      <c r="L209" s="35">
        <v>2302282</v>
      </c>
      <c r="M209" s="35">
        <v>15536866</v>
      </c>
      <c r="N209" s="35">
        <v>276966</v>
      </c>
      <c r="O209" s="35">
        <v>47040</v>
      </c>
      <c r="P209" s="35">
        <v>92573</v>
      </c>
      <c r="Q209" s="35">
        <v>1990242</v>
      </c>
      <c r="R209" s="35">
        <v>372726</v>
      </c>
      <c r="S209" s="35">
        <v>4898762</v>
      </c>
      <c r="T209" s="40">
        <f t="shared" si="39"/>
        <v>31155315</v>
      </c>
      <c r="V209" s="35">
        <v>477326</v>
      </c>
      <c r="W209" s="35">
        <v>9915</v>
      </c>
      <c r="X209" s="40">
        <f t="shared" si="36"/>
        <v>487241</v>
      </c>
      <c r="Z209" s="35">
        <v>1655</v>
      </c>
      <c r="AA209" s="35">
        <v>9062</v>
      </c>
      <c r="AB209" s="35">
        <v>76543</v>
      </c>
      <c r="AC209" s="35">
        <v>17012</v>
      </c>
      <c r="AD209" s="35">
        <v>4820</v>
      </c>
      <c r="AE209" s="35">
        <v>75483</v>
      </c>
      <c r="AF209" s="35">
        <v>379982</v>
      </c>
      <c r="AG209" s="35">
        <v>105235</v>
      </c>
      <c r="AH209" s="35">
        <v>20046</v>
      </c>
      <c r="AI209" s="35">
        <v>6338</v>
      </c>
      <c r="AJ209" s="35">
        <v>40208</v>
      </c>
      <c r="AK209" s="35">
        <v>73264</v>
      </c>
      <c r="AL209" s="35">
        <v>108886</v>
      </c>
      <c r="AM209" s="35">
        <v>0</v>
      </c>
      <c r="AN209" s="40">
        <f t="shared" si="37"/>
        <v>918534</v>
      </c>
      <c r="AP209" s="35">
        <v>126267</v>
      </c>
      <c r="AQ209" s="35">
        <v>15861</v>
      </c>
      <c r="AR209" s="35">
        <v>322502</v>
      </c>
      <c r="AS209" s="35">
        <v>8757</v>
      </c>
      <c r="AT209" s="35">
        <v>1313880</v>
      </c>
      <c r="AU209" s="35">
        <v>1588</v>
      </c>
      <c r="AV209" s="40">
        <f t="shared" si="38"/>
        <v>1788855</v>
      </c>
      <c r="AX209" s="40">
        <f t="shared" si="40"/>
        <v>34349945</v>
      </c>
    </row>
    <row r="210" spans="1:50" x14ac:dyDescent="0.2">
      <c r="A210" s="29">
        <v>11</v>
      </c>
      <c r="B210" s="29">
        <v>202311</v>
      </c>
      <c r="C210" s="29">
        <v>31</v>
      </c>
      <c r="D210" s="35">
        <v>0</v>
      </c>
      <c r="E210" s="35">
        <v>0</v>
      </c>
      <c r="F210" s="35">
        <v>0</v>
      </c>
      <c r="G210" s="35">
        <v>0</v>
      </c>
      <c r="H210" s="35">
        <v>0</v>
      </c>
      <c r="I210" s="35">
        <v>0</v>
      </c>
      <c r="J210" s="35">
        <v>0</v>
      </c>
      <c r="K210" s="35">
        <v>0</v>
      </c>
      <c r="L210" s="35">
        <v>0</v>
      </c>
      <c r="M210" s="35">
        <v>4434464</v>
      </c>
      <c r="N210" s="35">
        <v>0</v>
      </c>
      <c r="O210" s="35">
        <v>0</v>
      </c>
      <c r="P210" s="35">
        <v>0</v>
      </c>
      <c r="Q210" s="35">
        <v>0</v>
      </c>
      <c r="R210" s="35">
        <v>0</v>
      </c>
      <c r="S210" s="35">
        <v>0</v>
      </c>
      <c r="T210" s="40">
        <f t="shared" si="39"/>
        <v>4434464</v>
      </c>
      <c r="V210" s="35">
        <v>0</v>
      </c>
      <c r="W210" s="35">
        <v>0</v>
      </c>
      <c r="X210" s="40">
        <f t="shared" si="36"/>
        <v>0</v>
      </c>
      <c r="Z210" s="35">
        <v>955200</v>
      </c>
      <c r="AA210" s="35">
        <v>0</v>
      </c>
      <c r="AB210" s="35">
        <v>0</v>
      </c>
      <c r="AC210" s="35">
        <v>0</v>
      </c>
      <c r="AD210" s="35">
        <v>0</v>
      </c>
      <c r="AE210" s="35">
        <v>0</v>
      </c>
      <c r="AF210" s="35">
        <v>0</v>
      </c>
      <c r="AG210" s="35">
        <v>0</v>
      </c>
      <c r="AH210" s="35">
        <v>0</v>
      </c>
      <c r="AI210" s="35">
        <v>0</v>
      </c>
      <c r="AJ210" s="35">
        <v>0</v>
      </c>
      <c r="AK210" s="35">
        <v>0</v>
      </c>
      <c r="AL210" s="35">
        <v>0</v>
      </c>
      <c r="AM210" s="35">
        <v>0</v>
      </c>
      <c r="AN210" s="40">
        <f t="shared" si="37"/>
        <v>955200</v>
      </c>
      <c r="AP210" s="35">
        <v>0</v>
      </c>
      <c r="AQ210" s="35">
        <v>0</v>
      </c>
      <c r="AR210" s="35">
        <v>0</v>
      </c>
      <c r="AS210" s="35">
        <v>0</v>
      </c>
      <c r="AT210" s="35">
        <v>0</v>
      </c>
      <c r="AU210" s="35">
        <v>0</v>
      </c>
      <c r="AV210" s="40">
        <f t="shared" si="38"/>
        <v>0</v>
      </c>
      <c r="AX210" s="40">
        <f t="shared" si="40"/>
        <v>5389664</v>
      </c>
    </row>
    <row r="211" spans="1:50" x14ac:dyDescent="0.2">
      <c r="A211" s="29">
        <v>11</v>
      </c>
      <c r="B211" s="29">
        <v>202311</v>
      </c>
      <c r="C211" s="29">
        <v>32</v>
      </c>
      <c r="D211" s="35">
        <v>0</v>
      </c>
      <c r="E211" s="35">
        <v>0</v>
      </c>
      <c r="F211" s="35">
        <v>0</v>
      </c>
      <c r="G211" s="35">
        <v>0</v>
      </c>
      <c r="H211" s="35">
        <v>0</v>
      </c>
      <c r="I211" s="35">
        <v>0</v>
      </c>
      <c r="J211" s="35">
        <v>0</v>
      </c>
      <c r="K211" s="35">
        <v>0</v>
      </c>
      <c r="L211" s="35">
        <v>0</v>
      </c>
      <c r="M211" s="35">
        <v>15476798</v>
      </c>
      <c r="N211" s="35">
        <v>0</v>
      </c>
      <c r="O211" s="35">
        <v>0</v>
      </c>
      <c r="P211" s="35">
        <v>0</v>
      </c>
      <c r="Q211" s="35">
        <v>0</v>
      </c>
      <c r="R211" s="35">
        <v>0</v>
      </c>
      <c r="S211" s="35">
        <v>0</v>
      </c>
      <c r="T211" s="40">
        <f t="shared" si="39"/>
        <v>15476798</v>
      </c>
      <c r="V211" s="35">
        <v>0</v>
      </c>
      <c r="W211" s="35">
        <v>0</v>
      </c>
      <c r="X211" s="40">
        <f t="shared" si="36"/>
        <v>0</v>
      </c>
      <c r="Z211" s="35">
        <v>0</v>
      </c>
      <c r="AA211" s="35">
        <v>0</v>
      </c>
      <c r="AB211" s="35">
        <v>0</v>
      </c>
      <c r="AC211" s="35">
        <v>0</v>
      </c>
      <c r="AD211" s="35">
        <v>0</v>
      </c>
      <c r="AE211" s="35">
        <v>0</v>
      </c>
      <c r="AF211" s="35">
        <v>0</v>
      </c>
      <c r="AG211" s="35">
        <v>0</v>
      </c>
      <c r="AH211" s="35">
        <v>0</v>
      </c>
      <c r="AI211" s="35">
        <v>0</v>
      </c>
      <c r="AJ211" s="35">
        <v>0</v>
      </c>
      <c r="AK211" s="35">
        <v>0</v>
      </c>
      <c r="AL211" s="35">
        <v>0</v>
      </c>
      <c r="AM211" s="35">
        <v>0</v>
      </c>
      <c r="AN211" s="40">
        <f t="shared" si="37"/>
        <v>0</v>
      </c>
      <c r="AP211" s="35">
        <v>0</v>
      </c>
      <c r="AQ211" s="35">
        <v>0</v>
      </c>
      <c r="AR211" s="35">
        <v>0</v>
      </c>
      <c r="AS211" s="35">
        <v>0</v>
      </c>
      <c r="AT211" s="35">
        <v>0</v>
      </c>
      <c r="AU211" s="35">
        <v>0</v>
      </c>
      <c r="AV211" s="40">
        <f t="shared" si="38"/>
        <v>0</v>
      </c>
      <c r="AX211" s="40">
        <f t="shared" si="40"/>
        <v>15476798</v>
      </c>
    </row>
    <row r="212" spans="1:50" x14ac:dyDescent="0.2">
      <c r="A212" s="29">
        <v>12</v>
      </c>
      <c r="B212" s="29">
        <v>202312</v>
      </c>
      <c r="C212" s="29">
        <v>1</v>
      </c>
      <c r="D212" s="35">
        <v>194267</v>
      </c>
      <c r="E212" s="35">
        <v>1693453</v>
      </c>
      <c r="F212" s="35">
        <v>455107</v>
      </c>
      <c r="G212" s="35">
        <v>10716959</v>
      </c>
      <c r="H212" s="35">
        <v>556599</v>
      </c>
      <c r="I212" s="35">
        <v>10317194</v>
      </c>
      <c r="J212" s="35">
        <v>6565335</v>
      </c>
      <c r="K212" s="35">
        <v>7845303</v>
      </c>
      <c r="L212" s="35">
        <v>15037192</v>
      </c>
      <c r="M212" s="35">
        <v>48213511</v>
      </c>
      <c r="N212" s="35">
        <v>827296</v>
      </c>
      <c r="O212" s="35">
        <v>715462</v>
      </c>
      <c r="P212" s="35">
        <v>763133</v>
      </c>
      <c r="Q212" s="35">
        <v>13861986</v>
      </c>
      <c r="R212" s="35">
        <v>406017</v>
      </c>
      <c r="S212" s="35">
        <v>19221804</v>
      </c>
      <c r="T212" s="40">
        <f t="shared" si="39"/>
        <v>137390618</v>
      </c>
      <c r="V212" s="35">
        <v>1999352</v>
      </c>
      <c r="W212" s="35">
        <v>23017</v>
      </c>
      <c r="X212" s="40">
        <f>SUM(V212:W212)</f>
        <v>2022369</v>
      </c>
      <c r="Z212" s="35">
        <v>14740</v>
      </c>
      <c r="AA212" s="35">
        <v>14043</v>
      </c>
      <c r="AB212" s="35">
        <v>791819</v>
      </c>
      <c r="AC212" s="35">
        <v>241761</v>
      </c>
      <c r="AD212" s="35">
        <v>71902</v>
      </c>
      <c r="AE212" s="35">
        <v>439161</v>
      </c>
      <c r="AF212" s="35">
        <v>1377099</v>
      </c>
      <c r="AG212" s="35">
        <v>1973958</v>
      </c>
      <c r="AH212" s="35">
        <v>9286</v>
      </c>
      <c r="AI212" s="35">
        <v>565790</v>
      </c>
      <c r="AJ212" s="35">
        <v>54267</v>
      </c>
      <c r="AK212" s="35">
        <v>918547</v>
      </c>
      <c r="AL212" s="35">
        <v>182481</v>
      </c>
      <c r="AM212" s="35">
        <v>0</v>
      </c>
      <c r="AN212" s="40">
        <f>SUM(Z212:AM212)</f>
        <v>6654854</v>
      </c>
      <c r="AO212" s="35"/>
      <c r="AP212" s="35">
        <v>1207575</v>
      </c>
      <c r="AQ212" s="35">
        <v>250099</v>
      </c>
      <c r="AR212" s="35">
        <v>5907210</v>
      </c>
      <c r="AS212" s="35">
        <v>119752</v>
      </c>
      <c r="AT212" s="35">
        <v>8317465</v>
      </c>
      <c r="AU212" s="35">
        <v>60689</v>
      </c>
      <c r="AV212" s="40">
        <f>SUM(AP212:AU212)</f>
        <v>15862790</v>
      </c>
      <c r="AX212" s="40">
        <f t="shared" si="40"/>
        <v>161930631</v>
      </c>
    </row>
    <row r="213" spans="1:50" x14ac:dyDescent="0.2">
      <c r="A213" s="29">
        <v>12</v>
      </c>
      <c r="B213" s="29">
        <v>202312</v>
      </c>
      <c r="C213" s="29">
        <v>2</v>
      </c>
      <c r="D213" s="35">
        <v>189</v>
      </c>
      <c r="E213" s="35">
        <v>0</v>
      </c>
      <c r="F213" s="35">
        <v>0</v>
      </c>
      <c r="G213" s="35">
        <v>49625</v>
      </c>
      <c r="H213" s="35">
        <v>5013</v>
      </c>
      <c r="I213" s="35">
        <v>29557</v>
      </c>
      <c r="J213" s="35">
        <v>3137</v>
      </c>
      <c r="K213" s="35">
        <v>9888</v>
      </c>
      <c r="L213" s="35">
        <v>67346</v>
      </c>
      <c r="M213" s="35">
        <v>129449</v>
      </c>
      <c r="N213" s="35">
        <v>1378</v>
      </c>
      <c r="O213" s="35">
        <v>1213</v>
      </c>
      <c r="P213" s="35">
        <v>2897</v>
      </c>
      <c r="Q213" s="35">
        <v>39301</v>
      </c>
      <c r="R213" s="35">
        <v>709</v>
      </c>
      <c r="S213" s="35">
        <v>37755</v>
      </c>
      <c r="T213" s="40">
        <f t="shared" si="39"/>
        <v>377457</v>
      </c>
      <c r="V213" s="35">
        <v>0</v>
      </c>
      <c r="W213" s="35">
        <v>0</v>
      </c>
      <c r="X213" s="40">
        <f t="shared" ref="X213:X230" si="41">SUM(V213:W213)</f>
        <v>0</v>
      </c>
      <c r="Z213" s="35">
        <v>0</v>
      </c>
      <c r="AA213" s="35">
        <v>0</v>
      </c>
      <c r="AB213" s="35">
        <v>2648</v>
      </c>
      <c r="AC213" s="35">
        <v>1396</v>
      </c>
      <c r="AD213" s="35">
        <v>1349</v>
      </c>
      <c r="AE213" s="35">
        <v>461</v>
      </c>
      <c r="AF213" s="35">
        <v>2679</v>
      </c>
      <c r="AG213" s="35">
        <v>5439</v>
      </c>
      <c r="AH213" s="35">
        <v>0</v>
      </c>
      <c r="AI213" s="35">
        <v>380</v>
      </c>
      <c r="AJ213" s="35">
        <v>0</v>
      </c>
      <c r="AK213" s="35">
        <v>1294</v>
      </c>
      <c r="AL213" s="35">
        <v>0</v>
      </c>
      <c r="AM213" s="35">
        <v>0</v>
      </c>
      <c r="AN213" s="40">
        <f t="shared" ref="AN213:AN230" si="42">SUM(Z213:AM213)</f>
        <v>15646</v>
      </c>
      <c r="AP213" s="35">
        <v>2124</v>
      </c>
      <c r="AQ213" s="35">
        <v>0</v>
      </c>
      <c r="AR213" s="35">
        <v>32114</v>
      </c>
      <c r="AS213" s="35">
        <v>0</v>
      </c>
      <c r="AT213" s="35">
        <v>59813</v>
      </c>
      <c r="AU213" s="35">
        <v>0</v>
      </c>
      <c r="AV213" s="40">
        <f t="shared" ref="AV213:AV230" si="43">SUM(AP213:AU213)</f>
        <v>94051</v>
      </c>
      <c r="AX213" s="40">
        <f t="shared" si="40"/>
        <v>487154</v>
      </c>
    </row>
    <row r="214" spans="1:50" x14ac:dyDescent="0.2">
      <c r="A214" s="29">
        <v>12</v>
      </c>
      <c r="B214" s="29">
        <v>202312</v>
      </c>
      <c r="C214" s="29">
        <v>3</v>
      </c>
      <c r="D214" s="35">
        <v>1822</v>
      </c>
      <c r="E214" s="35">
        <v>75401</v>
      </c>
      <c r="F214" s="35">
        <v>0</v>
      </c>
      <c r="G214" s="35">
        <v>85041</v>
      </c>
      <c r="H214" s="35">
        <v>0</v>
      </c>
      <c r="I214" s="35">
        <v>65443</v>
      </c>
      <c r="J214" s="35">
        <v>263624</v>
      </c>
      <c r="K214" s="35">
        <v>328541</v>
      </c>
      <c r="L214" s="35">
        <v>295382</v>
      </c>
      <c r="M214" s="35">
        <v>1532058</v>
      </c>
      <c r="N214" s="35">
        <v>1512</v>
      </c>
      <c r="O214" s="35">
        <v>1794</v>
      </c>
      <c r="P214" s="35">
        <v>5290</v>
      </c>
      <c r="Q214" s="35">
        <v>12947</v>
      </c>
      <c r="R214" s="35">
        <v>2644</v>
      </c>
      <c r="S214" s="35">
        <v>1004833</v>
      </c>
      <c r="T214" s="40">
        <f t="shared" si="39"/>
        <v>3676332</v>
      </c>
      <c r="V214" s="35">
        <v>43568</v>
      </c>
      <c r="W214" s="35">
        <v>1430</v>
      </c>
      <c r="X214" s="40">
        <f t="shared" si="41"/>
        <v>44998</v>
      </c>
      <c r="Z214" s="35">
        <v>0</v>
      </c>
      <c r="AA214" s="35">
        <v>0</v>
      </c>
      <c r="AB214" s="35">
        <v>19998</v>
      </c>
      <c r="AC214" s="35">
        <v>19819</v>
      </c>
      <c r="AD214" s="35">
        <v>862</v>
      </c>
      <c r="AE214" s="35">
        <v>4849</v>
      </c>
      <c r="AF214" s="35">
        <v>89829</v>
      </c>
      <c r="AG214" s="35">
        <v>12832</v>
      </c>
      <c r="AH214" s="35">
        <v>0</v>
      </c>
      <c r="AI214" s="35">
        <v>9711</v>
      </c>
      <c r="AJ214" s="35">
        <v>651</v>
      </c>
      <c r="AK214" s="35">
        <v>7777</v>
      </c>
      <c r="AL214" s="35">
        <v>5654</v>
      </c>
      <c r="AM214" s="35">
        <v>0</v>
      </c>
      <c r="AN214" s="40">
        <f t="shared" si="42"/>
        <v>171982</v>
      </c>
      <c r="AP214" s="35">
        <v>1314</v>
      </c>
      <c r="AQ214" s="35">
        <v>1523</v>
      </c>
      <c r="AR214" s="35">
        <v>0</v>
      </c>
      <c r="AS214" s="35">
        <v>0</v>
      </c>
      <c r="AT214" s="35">
        <v>3024</v>
      </c>
      <c r="AU214" s="35">
        <v>0</v>
      </c>
      <c r="AV214" s="40">
        <f t="shared" si="43"/>
        <v>5861</v>
      </c>
      <c r="AX214" s="40">
        <f t="shared" si="40"/>
        <v>3899173</v>
      </c>
    </row>
    <row r="215" spans="1:50" x14ac:dyDescent="0.2">
      <c r="A215" s="29">
        <v>12</v>
      </c>
      <c r="B215" s="29">
        <v>202312</v>
      </c>
      <c r="C215" s="29">
        <v>6</v>
      </c>
      <c r="D215" s="35">
        <v>2250</v>
      </c>
      <c r="E215" s="35">
        <v>2700988</v>
      </c>
      <c r="F215" s="35">
        <v>416080</v>
      </c>
      <c r="G215" s="35">
        <v>4523906</v>
      </c>
      <c r="H215" s="35">
        <v>0</v>
      </c>
      <c r="I215" s="35">
        <v>2325003</v>
      </c>
      <c r="J215" s="35">
        <v>1902981</v>
      </c>
      <c r="K215" s="35">
        <v>6989580</v>
      </c>
      <c r="L215" s="35">
        <v>8111710</v>
      </c>
      <c r="M215" s="35">
        <v>113893247</v>
      </c>
      <c r="N215" s="35">
        <v>456238</v>
      </c>
      <c r="O215" s="35">
        <v>23964</v>
      </c>
      <c r="P215" s="35">
        <v>132807</v>
      </c>
      <c r="Q215" s="35">
        <v>10373010</v>
      </c>
      <c r="R215" s="35">
        <v>726728</v>
      </c>
      <c r="S215" s="35">
        <v>24466652</v>
      </c>
      <c r="T215" s="40">
        <f t="shared" si="39"/>
        <v>177045144</v>
      </c>
      <c r="V215" s="35">
        <v>1028405</v>
      </c>
      <c r="W215" s="35">
        <v>7835</v>
      </c>
      <c r="X215" s="40">
        <f t="shared" si="41"/>
        <v>1036240</v>
      </c>
      <c r="Z215" s="35">
        <v>0</v>
      </c>
      <c r="AA215" s="35">
        <v>47760</v>
      </c>
      <c r="AB215" s="35">
        <v>838012</v>
      </c>
      <c r="AC215" s="35">
        <v>80520</v>
      </c>
      <c r="AD215" s="35">
        <v>83920</v>
      </c>
      <c r="AE215" s="35">
        <v>417620</v>
      </c>
      <c r="AF215" s="35">
        <v>2024465</v>
      </c>
      <c r="AG215" s="35">
        <v>530197</v>
      </c>
      <c r="AH215" s="35">
        <v>27400</v>
      </c>
      <c r="AI215" s="35">
        <v>59700</v>
      </c>
      <c r="AJ215" s="35">
        <v>109280</v>
      </c>
      <c r="AK215" s="35">
        <v>157999</v>
      </c>
      <c r="AL215" s="35">
        <v>246176</v>
      </c>
      <c r="AM215" s="35">
        <v>0</v>
      </c>
      <c r="AN215" s="40">
        <f t="shared" si="42"/>
        <v>4623049</v>
      </c>
      <c r="AP215" s="35">
        <v>351939</v>
      </c>
      <c r="AQ215" s="35">
        <v>0</v>
      </c>
      <c r="AR215" s="35">
        <v>792438</v>
      </c>
      <c r="AS215" s="35">
        <v>0</v>
      </c>
      <c r="AT215" s="35">
        <v>4591662</v>
      </c>
      <c r="AU215" s="35">
        <v>0</v>
      </c>
      <c r="AV215" s="40">
        <f t="shared" si="43"/>
        <v>5736039</v>
      </c>
      <c r="AX215" s="40">
        <f t="shared" si="40"/>
        <v>188440472</v>
      </c>
    </row>
    <row r="216" spans="1:50" x14ac:dyDescent="0.2">
      <c r="A216" s="29">
        <v>12</v>
      </c>
      <c r="B216" s="29">
        <v>202312</v>
      </c>
      <c r="C216" s="29" t="s">
        <v>230</v>
      </c>
      <c r="D216" s="35">
        <v>0</v>
      </c>
      <c r="E216" s="35">
        <v>43687</v>
      </c>
      <c r="F216" s="35">
        <v>0</v>
      </c>
      <c r="G216" s="35">
        <v>601472</v>
      </c>
      <c r="H216" s="35">
        <v>12944</v>
      </c>
      <c r="I216" s="35">
        <v>114600</v>
      </c>
      <c r="J216" s="35">
        <v>138760</v>
      </c>
      <c r="K216" s="35">
        <v>1016136</v>
      </c>
      <c r="L216" s="35">
        <v>286828</v>
      </c>
      <c r="M216" s="35">
        <v>6811640</v>
      </c>
      <c r="N216" s="35">
        <v>7560</v>
      </c>
      <c r="O216" s="35">
        <v>8600</v>
      </c>
      <c r="P216" s="35">
        <v>4200</v>
      </c>
      <c r="Q216" s="35">
        <v>1526956</v>
      </c>
      <c r="R216" s="35">
        <v>15320</v>
      </c>
      <c r="S216" s="35">
        <v>1481507</v>
      </c>
      <c r="T216" s="40">
        <f t="shared" si="39"/>
        <v>12070210</v>
      </c>
      <c r="V216" s="35">
        <v>23520</v>
      </c>
      <c r="W216" s="35">
        <v>0</v>
      </c>
      <c r="X216" s="40">
        <f t="shared" si="41"/>
        <v>23520</v>
      </c>
      <c r="Z216" s="35">
        <v>0</v>
      </c>
      <c r="AA216" s="35">
        <v>2143</v>
      </c>
      <c r="AB216" s="35">
        <v>10600</v>
      </c>
      <c r="AC216" s="35">
        <v>0</v>
      </c>
      <c r="AD216" s="35">
        <v>0</v>
      </c>
      <c r="AE216" s="35">
        <v>5737</v>
      </c>
      <c r="AF216" s="35">
        <v>387408</v>
      </c>
      <c r="AG216" s="35">
        <v>9840</v>
      </c>
      <c r="AH216" s="35">
        <v>0</v>
      </c>
      <c r="AI216" s="35">
        <v>1400</v>
      </c>
      <c r="AJ216" s="35">
        <v>21040</v>
      </c>
      <c r="AK216" s="35">
        <v>0</v>
      </c>
      <c r="AL216" s="35">
        <v>0</v>
      </c>
      <c r="AM216" s="35">
        <v>0</v>
      </c>
      <c r="AN216" s="40">
        <f t="shared" si="42"/>
        <v>438168</v>
      </c>
      <c r="AP216" s="35">
        <v>0</v>
      </c>
      <c r="AQ216" s="35">
        <v>0</v>
      </c>
      <c r="AR216" s="35">
        <v>66847</v>
      </c>
      <c r="AS216" s="35">
        <v>91200</v>
      </c>
      <c r="AT216" s="35">
        <v>500131</v>
      </c>
      <c r="AU216" s="35">
        <v>0</v>
      </c>
      <c r="AV216" s="40">
        <f t="shared" si="43"/>
        <v>658178</v>
      </c>
      <c r="AX216" s="40">
        <f t="shared" si="40"/>
        <v>13190076</v>
      </c>
    </row>
    <row r="217" spans="1:50" x14ac:dyDescent="0.2">
      <c r="A217" s="29">
        <v>12</v>
      </c>
      <c r="B217" s="29">
        <v>202312</v>
      </c>
      <c r="C217" s="29" t="s">
        <v>231</v>
      </c>
      <c r="D217" s="35">
        <v>0</v>
      </c>
      <c r="E217" s="35">
        <v>0</v>
      </c>
      <c r="F217" s="35">
        <v>0</v>
      </c>
      <c r="G217" s="35">
        <v>0</v>
      </c>
      <c r="H217" s="35">
        <v>0</v>
      </c>
      <c r="I217" s="35">
        <v>0</v>
      </c>
      <c r="J217" s="35">
        <v>0</v>
      </c>
      <c r="K217" s="35">
        <v>0</v>
      </c>
      <c r="L217" s="35">
        <v>0</v>
      </c>
      <c r="M217" s="35">
        <v>0</v>
      </c>
      <c r="N217" s="35">
        <v>0</v>
      </c>
      <c r="O217" s="35">
        <v>0</v>
      </c>
      <c r="P217" s="35">
        <v>0</v>
      </c>
      <c r="Q217" s="35">
        <v>0</v>
      </c>
      <c r="R217" s="35">
        <v>0</v>
      </c>
      <c r="S217" s="35">
        <v>0</v>
      </c>
      <c r="T217" s="40">
        <f t="shared" si="39"/>
        <v>0</v>
      </c>
      <c r="V217" s="35">
        <v>0</v>
      </c>
      <c r="W217" s="35">
        <v>0</v>
      </c>
      <c r="X217" s="40">
        <f t="shared" si="41"/>
        <v>0</v>
      </c>
      <c r="Z217" s="35">
        <v>0</v>
      </c>
      <c r="AA217" s="35">
        <v>0</v>
      </c>
      <c r="AB217" s="35">
        <v>0</v>
      </c>
      <c r="AC217" s="35">
        <v>0</v>
      </c>
      <c r="AD217" s="35">
        <v>0</v>
      </c>
      <c r="AE217" s="35">
        <v>0</v>
      </c>
      <c r="AF217" s="35">
        <v>0</v>
      </c>
      <c r="AG217" s="35">
        <v>0</v>
      </c>
      <c r="AH217" s="35">
        <v>0</v>
      </c>
      <c r="AI217" s="35">
        <v>0</v>
      </c>
      <c r="AJ217" s="35">
        <v>0</v>
      </c>
      <c r="AK217" s="35">
        <v>0</v>
      </c>
      <c r="AL217" s="35">
        <v>0</v>
      </c>
      <c r="AM217" s="35">
        <v>0</v>
      </c>
      <c r="AN217" s="40">
        <f t="shared" si="42"/>
        <v>0</v>
      </c>
      <c r="AP217" s="35">
        <v>0</v>
      </c>
      <c r="AQ217" s="35">
        <v>0</v>
      </c>
      <c r="AR217" s="35">
        <v>0</v>
      </c>
      <c r="AS217" s="35">
        <v>0</v>
      </c>
      <c r="AT217" s="35">
        <v>0</v>
      </c>
      <c r="AU217" s="35">
        <v>0</v>
      </c>
      <c r="AV217" s="40">
        <f t="shared" si="43"/>
        <v>0</v>
      </c>
      <c r="AX217" s="40">
        <f t="shared" si="40"/>
        <v>0</v>
      </c>
    </row>
    <row r="218" spans="1:50" x14ac:dyDescent="0.2">
      <c r="A218" s="29">
        <v>12</v>
      </c>
      <c r="B218" s="29">
        <v>202312</v>
      </c>
      <c r="C218" s="29">
        <v>7</v>
      </c>
      <c r="D218" s="35">
        <v>0</v>
      </c>
      <c r="E218" s="35">
        <v>6768</v>
      </c>
      <c r="F218" s="35">
        <v>0</v>
      </c>
      <c r="G218" s="35">
        <v>4108</v>
      </c>
      <c r="H218" s="35">
        <v>0</v>
      </c>
      <c r="I218" s="35">
        <v>10145</v>
      </c>
      <c r="J218" s="35">
        <v>7189</v>
      </c>
      <c r="K218" s="35">
        <v>15757</v>
      </c>
      <c r="L218" s="35">
        <v>26038</v>
      </c>
      <c r="M218" s="35">
        <v>201094</v>
      </c>
      <c r="N218" s="35">
        <v>1836</v>
      </c>
      <c r="O218" s="35">
        <v>177</v>
      </c>
      <c r="P218" s="35">
        <v>304</v>
      </c>
      <c r="Q218" s="35">
        <v>720</v>
      </c>
      <c r="R218" s="35">
        <v>190</v>
      </c>
      <c r="S218" s="35">
        <v>51787</v>
      </c>
      <c r="T218" s="40">
        <f t="shared" si="39"/>
        <v>326113</v>
      </c>
      <c r="V218" s="35">
        <v>4101</v>
      </c>
      <c r="W218" s="35">
        <v>78</v>
      </c>
      <c r="X218" s="40">
        <f t="shared" si="41"/>
        <v>4179</v>
      </c>
      <c r="Z218" s="35">
        <v>0</v>
      </c>
      <c r="AA218" s="35">
        <v>0</v>
      </c>
      <c r="AB218" s="35">
        <v>285</v>
      </c>
      <c r="AC218" s="35">
        <v>444</v>
      </c>
      <c r="AD218" s="35">
        <v>296</v>
      </c>
      <c r="AE218" s="35">
        <v>69</v>
      </c>
      <c r="AF218" s="35">
        <v>6909</v>
      </c>
      <c r="AG218" s="35">
        <v>779</v>
      </c>
      <c r="AH218" s="35">
        <v>444</v>
      </c>
      <c r="AI218" s="35">
        <v>0</v>
      </c>
      <c r="AJ218" s="35">
        <v>0</v>
      </c>
      <c r="AK218" s="35">
        <v>56</v>
      </c>
      <c r="AL218" s="35">
        <v>646</v>
      </c>
      <c r="AM218" s="35">
        <v>0</v>
      </c>
      <c r="AN218" s="40">
        <f t="shared" si="42"/>
        <v>9928</v>
      </c>
      <c r="AP218" s="35">
        <v>427</v>
      </c>
      <c r="AQ218" s="35">
        <v>208</v>
      </c>
      <c r="AR218" s="35">
        <v>39</v>
      </c>
      <c r="AS218" s="35">
        <v>97</v>
      </c>
      <c r="AT218" s="35">
        <v>305</v>
      </c>
      <c r="AU218" s="35">
        <v>0</v>
      </c>
      <c r="AV218" s="40">
        <f t="shared" si="43"/>
        <v>1076</v>
      </c>
      <c r="AX218" s="40">
        <f t="shared" si="40"/>
        <v>341296</v>
      </c>
    </row>
    <row r="219" spans="1:50" x14ac:dyDescent="0.2">
      <c r="A219" s="29">
        <v>12</v>
      </c>
      <c r="B219" s="29">
        <v>202312</v>
      </c>
      <c r="C219" s="29">
        <v>8</v>
      </c>
      <c r="D219" s="35">
        <v>0</v>
      </c>
      <c r="E219" s="35">
        <v>0</v>
      </c>
      <c r="F219" s="35">
        <v>0</v>
      </c>
      <c r="G219" s="35">
        <v>0</v>
      </c>
      <c r="H219" s="35">
        <v>0</v>
      </c>
      <c r="I219" s="35">
        <v>279600</v>
      </c>
      <c r="J219" s="35">
        <v>497920</v>
      </c>
      <c r="K219" s="35">
        <v>590700</v>
      </c>
      <c r="L219" s="35">
        <v>1299600</v>
      </c>
      <c r="M219" s="35">
        <v>46445738</v>
      </c>
      <c r="N219" s="35">
        <v>0</v>
      </c>
      <c r="O219" s="35">
        <v>0</v>
      </c>
      <c r="P219" s="35">
        <v>0</v>
      </c>
      <c r="Q219" s="35">
        <v>1771100</v>
      </c>
      <c r="R219" s="35">
        <v>0</v>
      </c>
      <c r="S219" s="35">
        <v>9972500</v>
      </c>
      <c r="T219" s="40">
        <f t="shared" si="39"/>
        <v>60857158</v>
      </c>
      <c r="V219" s="35">
        <v>0</v>
      </c>
      <c r="W219" s="35">
        <v>0</v>
      </c>
      <c r="X219" s="40">
        <f t="shared" si="41"/>
        <v>0</v>
      </c>
      <c r="Z219" s="35">
        <v>891000</v>
      </c>
      <c r="AA219" s="35">
        <v>0</v>
      </c>
      <c r="AB219" s="35">
        <v>4042800</v>
      </c>
      <c r="AC219" s="35">
        <v>0</v>
      </c>
      <c r="AD219" s="35">
        <v>0</v>
      </c>
      <c r="AE219" s="35">
        <v>1425600</v>
      </c>
      <c r="AF219" s="35">
        <v>1800300</v>
      </c>
      <c r="AG219" s="35">
        <v>0</v>
      </c>
      <c r="AH219" s="35">
        <v>0</v>
      </c>
      <c r="AI219" s="35">
        <v>0</v>
      </c>
      <c r="AJ219" s="35">
        <v>0</v>
      </c>
      <c r="AK219" s="35">
        <v>0</v>
      </c>
      <c r="AL219" s="35">
        <v>0</v>
      </c>
      <c r="AM219" s="35">
        <v>0</v>
      </c>
      <c r="AN219" s="40">
        <f t="shared" si="42"/>
        <v>8159700</v>
      </c>
      <c r="AP219" s="35">
        <v>0</v>
      </c>
      <c r="AQ219" s="35">
        <v>0</v>
      </c>
      <c r="AR219" s="35">
        <v>0</v>
      </c>
      <c r="AS219" s="35">
        <v>0</v>
      </c>
      <c r="AT219" s="35">
        <v>660000</v>
      </c>
      <c r="AU219" s="35">
        <v>0</v>
      </c>
      <c r="AV219" s="40">
        <f t="shared" si="43"/>
        <v>660000</v>
      </c>
      <c r="AX219" s="40">
        <f t="shared" si="40"/>
        <v>69676858</v>
      </c>
    </row>
    <row r="220" spans="1:50" x14ac:dyDescent="0.2">
      <c r="A220" s="29">
        <v>12</v>
      </c>
      <c r="B220" s="29">
        <v>202312</v>
      </c>
      <c r="C220" s="29">
        <v>9</v>
      </c>
      <c r="D220" s="35">
        <v>0</v>
      </c>
      <c r="E220" s="35">
        <v>0</v>
      </c>
      <c r="F220" s="35">
        <v>0</v>
      </c>
      <c r="G220" s="35">
        <v>600000</v>
      </c>
      <c r="H220" s="35">
        <v>0</v>
      </c>
      <c r="I220" s="35">
        <v>0</v>
      </c>
      <c r="J220" s="35">
        <v>0</v>
      </c>
      <c r="K220" s="35">
        <v>0</v>
      </c>
      <c r="L220" s="35">
        <v>0</v>
      </c>
      <c r="M220" s="35">
        <v>13592079</v>
      </c>
      <c r="N220" s="35">
        <v>0</v>
      </c>
      <c r="O220" s="35">
        <v>0</v>
      </c>
      <c r="P220" s="35">
        <v>0</v>
      </c>
      <c r="Q220" s="35">
        <v>0</v>
      </c>
      <c r="R220" s="35">
        <v>0</v>
      </c>
      <c r="S220" s="35">
        <v>22241200</v>
      </c>
      <c r="T220" s="40">
        <f t="shared" si="39"/>
        <v>36433279</v>
      </c>
      <c r="V220" s="35">
        <v>2292471</v>
      </c>
      <c r="W220" s="35">
        <v>0</v>
      </c>
      <c r="X220" s="40">
        <f t="shared" si="41"/>
        <v>2292471</v>
      </c>
      <c r="Z220" s="35">
        <v>0</v>
      </c>
      <c r="AA220" s="35">
        <v>0</v>
      </c>
      <c r="AB220" s="35">
        <v>0</v>
      </c>
      <c r="AC220" s="35">
        <v>0</v>
      </c>
      <c r="AD220" s="35">
        <v>0</v>
      </c>
      <c r="AE220" s="35">
        <v>0</v>
      </c>
      <c r="AF220" s="35">
        <v>1512000</v>
      </c>
      <c r="AG220" s="35">
        <v>0</v>
      </c>
      <c r="AH220" s="35">
        <v>0</v>
      </c>
      <c r="AI220" s="35">
        <v>0</v>
      </c>
      <c r="AJ220" s="35">
        <v>0</v>
      </c>
      <c r="AK220" s="35">
        <v>33840</v>
      </c>
      <c r="AL220" s="35">
        <v>0</v>
      </c>
      <c r="AM220" s="35">
        <v>0</v>
      </c>
      <c r="AN220" s="40">
        <f t="shared" si="42"/>
        <v>1545840</v>
      </c>
      <c r="AP220" s="35">
        <v>0</v>
      </c>
      <c r="AQ220" s="35">
        <v>0</v>
      </c>
      <c r="AR220" s="35">
        <v>0</v>
      </c>
      <c r="AS220" s="35">
        <v>0</v>
      </c>
      <c r="AT220" s="35">
        <v>0</v>
      </c>
      <c r="AU220" s="35">
        <v>0</v>
      </c>
      <c r="AV220" s="40">
        <f t="shared" si="43"/>
        <v>0</v>
      </c>
      <c r="AX220" s="40">
        <f t="shared" si="40"/>
        <v>40271590</v>
      </c>
    </row>
    <row r="221" spans="1:50" x14ac:dyDescent="0.2">
      <c r="A221" s="29">
        <v>12</v>
      </c>
      <c r="B221" s="29">
        <v>202312</v>
      </c>
      <c r="C221" s="29" t="s">
        <v>234</v>
      </c>
      <c r="D221" s="35">
        <v>0</v>
      </c>
      <c r="E221" s="35">
        <v>0</v>
      </c>
      <c r="F221" s="35">
        <v>0</v>
      </c>
      <c r="G221" s="35">
        <v>0</v>
      </c>
      <c r="H221" s="35">
        <v>0</v>
      </c>
      <c r="I221" s="35">
        <v>0</v>
      </c>
      <c r="J221" s="35">
        <v>0</v>
      </c>
      <c r="K221" s="35">
        <v>0</v>
      </c>
      <c r="L221" s="35">
        <v>0</v>
      </c>
      <c r="M221" s="35">
        <v>388800</v>
      </c>
      <c r="N221" s="35">
        <v>0</v>
      </c>
      <c r="O221" s="35">
        <v>0</v>
      </c>
      <c r="P221" s="35">
        <v>0</v>
      </c>
      <c r="Q221" s="35">
        <v>0</v>
      </c>
      <c r="R221" s="35">
        <v>0</v>
      </c>
      <c r="S221" s="35">
        <v>0</v>
      </c>
      <c r="T221" s="40">
        <f t="shared" si="39"/>
        <v>388800</v>
      </c>
      <c r="V221" s="35">
        <v>0</v>
      </c>
      <c r="W221" s="35">
        <v>0</v>
      </c>
      <c r="X221" s="40">
        <f t="shared" si="41"/>
        <v>0</v>
      </c>
      <c r="Z221" s="35">
        <v>0</v>
      </c>
      <c r="AA221" s="35">
        <v>0</v>
      </c>
      <c r="AB221" s="35">
        <v>0</v>
      </c>
      <c r="AC221" s="35">
        <v>0</v>
      </c>
      <c r="AD221" s="35">
        <v>0</v>
      </c>
      <c r="AE221" s="35">
        <v>0</v>
      </c>
      <c r="AF221" s="35">
        <v>0</v>
      </c>
      <c r="AG221" s="35">
        <v>0</v>
      </c>
      <c r="AH221" s="35">
        <v>0</v>
      </c>
      <c r="AI221" s="35">
        <v>0</v>
      </c>
      <c r="AJ221" s="35">
        <v>0</v>
      </c>
      <c r="AK221" s="35">
        <v>0</v>
      </c>
      <c r="AL221" s="35">
        <v>0</v>
      </c>
      <c r="AM221" s="35">
        <v>0</v>
      </c>
      <c r="AN221" s="40">
        <f t="shared" si="42"/>
        <v>0</v>
      </c>
      <c r="AP221" s="35">
        <v>0</v>
      </c>
      <c r="AQ221" s="35">
        <v>0</v>
      </c>
      <c r="AR221" s="35">
        <v>0</v>
      </c>
      <c r="AS221" s="35">
        <v>0</v>
      </c>
      <c r="AT221" s="35">
        <v>0</v>
      </c>
      <c r="AU221" s="35">
        <v>0</v>
      </c>
      <c r="AV221" s="40">
        <f t="shared" si="43"/>
        <v>0</v>
      </c>
      <c r="AX221" s="40">
        <f t="shared" si="40"/>
        <v>388800</v>
      </c>
    </row>
    <row r="222" spans="1:50" x14ac:dyDescent="0.2">
      <c r="A222" s="29">
        <v>12</v>
      </c>
      <c r="B222" s="29">
        <v>202312</v>
      </c>
      <c r="C222" s="29" t="s">
        <v>235</v>
      </c>
      <c r="D222" s="35">
        <v>0</v>
      </c>
      <c r="E222" s="35">
        <v>0</v>
      </c>
      <c r="F222" s="35">
        <v>0</v>
      </c>
      <c r="G222" s="35">
        <v>0</v>
      </c>
      <c r="H222" s="35">
        <v>0</v>
      </c>
      <c r="I222" s="35">
        <v>0</v>
      </c>
      <c r="J222" s="35">
        <v>0</v>
      </c>
      <c r="K222" s="35">
        <v>0</v>
      </c>
      <c r="L222" s="35">
        <v>0</v>
      </c>
      <c r="M222" s="35">
        <v>134896</v>
      </c>
      <c r="N222" s="35">
        <v>0</v>
      </c>
      <c r="O222" s="35">
        <v>0</v>
      </c>
      <c r="P222" s="35">
        <v>0</v>
      </c>
      <c r="Q222" s="35">
        <v>0</v>
      </c>
      <c r="R222" s="35">
        <v>0</v>
      </c>
      <c r="S222" s="35">
        <v>1312701</v>
      </c>
      <c r="T222" s="40">
        <f t="shared" si="39"/>
        <v>1447597</v>
      </c>
      <c r="V222" s="35">
        <v>0</v>
      </c>
      <c r="W222" s="35">
        <v>0</v>
      </c>
      <c r="X222" s="40">
        <f t="shared" si="41"/>
        <v>0</v>
      </c>
      <c r="Z222" s="35">
        <v>0</v>
      </c>
      <c r="AA222" s="35">
        <v>0</v>
      </c>
      <c r="AB222" s="35">
        <v>22644000</v>
      </c>
      <c r="AC222" s="35">
        <v>0</v>
      </c>
      <c r="AD222" s="35">
        <v>0</v>
      </c>
      <c r="AE222" s="35">
        <v>0</v>
      </c>
      <c r="AF222" s="35">
        <v>0</v>
      </c>
      <c r="AG222" s="35">
        <v>0</v>
      </c>
      <c r="AH222" s="35">
        <v>0</v>
      </c>
      <c r="AI222" s="35">
        <v>0</v>
      </c>
      <c r="AJ222" s="35">
        <v>0</v>
      </c>
      <c r="AK222" s="35">
        <v>0</v>
      </c>
      <c r="AL222" s="35">
        <v>0</v>
      </c>
      <c r="AM222" s="35">
        <v>0</v>
      </c>
      <c r="AN222" s="40">
        <f t="shared" si="42"/>
        <v>22644000</v>
      </c>
      <c r="AP222" s="35">
        <v>0</v>
      </c>
      <c r="AQ222" s="35">
        <v>0</v>
      </c>
      <c r="AR222" s="35">
        <v>0</v>
      </c>
      <c r="AS222" s="35">
        <v>0</v>
      </c>
      <c r="AT222" s="35">
        <v>0</v>
      </c>
      <c r="AU222" s="35">
        <v>0</v>
      </c>
      <c r="AV222" s="40">
        <f t="shared" si="43"/>
        <v>0</v>
      </c>
      <c r="AX222" s="40">
        <f t="shared" si="40"/>
        <v>24091597</v>
      </c>
    </row>
    <row r="223" spans="1:50" x14ac:dyDescent="0.2">
      <c r="A223" s="29">
        <v>12</v>
      </c>
      <c r="B223" s="29">
        <v>202312</v>
      </c>
      <c r="C223" s="29">
        <v>10</v>
      </c>
      <c r="D223" s="35">
        <v>0</v>
      </c>
      <c r="E223" s="35">
        <v>281</v>
      </c>
      <c r="F223" s="35">
        <v>0</v>
      </c>
      <c r="G223" s="35">
        <v>4750</v>
      </c>
      <c r="H223" s="35">
        <v>0</v>
      </c>
      <c r="I223" s="35">
        <v>14636</v>
      </c>
      <c r="J223" s="35">
        <v>465</v>
      </c>
      <c r="K223" s="35">
        <v>0</v>
      </c>
      <c r="L223" s="35">
        <v>0</v>
      </c>
      <c r="M223" s="35">
        <v>8869</v>
      </c>
      <c r="N223" s="35">
        <v>0</v>
      </c>
      <c r="O223" s="35">
        <v>0</v>
      </c>
      <c r="P223" s="35">
        <v>12549</v>
      </c>
      <c r="Q223" s="35">
        <v>920</v>
      </c>
      <c r="R223" s="35">
        <v>17851</v>
      </c>
      <c r="S223" s="35">
        <v>1273</v>
      </c>
      <c r="T223" s="40">
        <f t="shared" si="39"/>
        <v>61594</v>
      </c>
      <c r="V223" s="35">
        <v>10552</v>
      </c>
      <c r="W223" s="35">
        <v>19500</v>
      </c>
      <c r="X223" s="40">
        <f t="shared" si="41"/>
        <v>30052</v>
      </c>
      <c r="Z223" s="35">
        <v>0</v>
      </c>
      <c r="AA223" s="35">
        <v>0</v>
      </c>
      <c r="AB223" s="35">
        <v>0</v>
      </c>
      <c r="AC223" s="35">
        <v>0</v>
      </c>
      <c r="AD223" s="35">
        <v>0</v>
      </c>
      <c r="AE223" s="35">
        <v>0</v>
      </c>
      <c r="AF223" s="35">
        <v>2264</v>
      </c>
      <c r="AG223" s="35">
        <v>360</v>
      </c>
      <c r="AH223" s="35">
        <v>0</v>
      </c>
      <c r="AI223" s="35">
        <v>0</v>
      </c>
      <c r="AJ223" s="35">
        <v>0</v>
      </c>
      <c r="AK223" s="35">
        <v>404</v>
      </c>
      <c r="AL223" s="35">
        <v>0</v>
      </c>
      <c r="AM223" s="35">
        <v>0</v>
      </c>
      <c r="AN223" s="40">
        <f t="shared" si="42"/>
        <v>3028</v>
      </c>
      <c r="AP223" s="35">
        <v>3509</v>
      </c>
      <c r="AQ223" s="35">
        <v>0</v>
      </c>
      <c r="AR223" s="35">
        <v>0</v>
      </c>
      <c r="AS223" s="35">
        <v>72</v>
      </c>
      <c r="AT223" s="35">
        <v>0</v>
      </c>
      <c r="AU223" s="35">
        <v>5560</v>
      </c>
      <c r="AV223" s="40">
        <f t="shared" si="43"/>
        <v>9141</v>
      </c>
      <c r="AX223" s="40">
        <f t="shared" si="40"/>
        <v>103815</v>
      </c>
    </row>
    <row r="224" spans="1:50" x14ac:dyDescent="0.2">
      <c r="A224" s="29">
        <v>12</v>
      </c>
      <c r="B224" s="29">
        <v>202312</v>
      </c>
      <c r="C224" s="29">
        <v>11</v>
      </c>
      <c r="D224" s="35">
        <v>0</v>
      </c>
      <c r="E224" s="35">
        <v>0</v>
      </c>
      <c r="F224" s="35">
        <v>44</v>
      </c>
      <c r="G224" s="35">
        <v>27759</v>
      </c>
      <c r="H224" s="35">
        <v>0</v>
      </c>
      <c r="I224" s="35">
        <v>22626</v>
      </c>
      <c r="J224" s="35">
        <v>0</v>
      </c>
      <c r="K224" s="35">
        <v>0</v>
      </c>
      <c r="L224" s="35">
        <v>0</v>
      </c>
      <c r="M224" s="35">
        <v>4515</v>
      </c>
      <c r="N224" s="35">
        <v>2649</v>
      </c>
      <c r="O224" s="35">
        <v>499</v>
      </c>
      <c r="P224" s="35">
        <v>1418</v>
      </c>
      <c r="Q224" s="35">
        <v>1274</v>
      </c>
      <c r="R224" s="35">
        <v>117</v>
      </c>
      <c r="S224" s="35">
        <v>115119</v>
      </c>
      <c r="T224" s="40">
        <f t="shared" si="39"/>
        <v>176020</v>
      </c>
      <c r="V224" s="35">
        <v>26881</v>
      </c>
      <c r="W224" s="35">
        <v>0</v>
      </c>
      <c r="X224" s="40">
        <f t="shared" si="41"/>
        <v>26881</v>
      </c>
      <c r="Z224" s="35">
        <v>0</v>
      </c>
      <c r="AA224" s="35">
        <v>0</v>
      </c>
      <c r="AB224" s="35">
        <v>0</v>
      </c>
      <c r="AC224" s="35">
        <v>0</v>
      </c>
      <c r="AD224" s="35">
        <v>0</v>
      </c>
      <c r="AE224" s="35">
        <v>0</v>
      </c>
      <c r="AF224" s="35">
        <v>5243</v>
      </c>
      <c r="AG224" s="35">
        <v>0</v>
      </c>
      <c r="AH224" s="35">
        <v>1184</v>
      </c>
      <c r="AI224" s="35">
        <v>0</v>
      </c>
      <c r="AJ224" s="35">
        <v>0</v>
      </c>
      <c r="AK224" s="35">
        <v>0</v>
      </c>
      <c r="AL224" s="35">
        <v>0</v>
      </c>
      <c r="AM224" s="35">
        <v>0</v>
      </c>
      <c r="AN224" s="40">
        <f t="shared" si="42"/>
        <v>6427</v>
      </c>
      <c r="AP224" s="35">
        <v>0</v>
      </c>
      <c r="AQ224" s="35">
        <v>0</v>
      </c>
      <c r="AR224" s="35">
        <v>0</v>
      </c>
      <c r="AS224" s="35">
        <v>0</v>
      </c>
      <c r="AT224" s="35">
        <v>0</v>
      </c>
      <c r="AU224" s="35">
        <v>0</v>
      </c>
      <c r="AV224" s="40">
        <f t="shared" si="43"/>
        <v>0</v>
      </c>
      <c r="AX224" s="40">
        <f t="shared" si="40"/>
        <v>209328</v>
      </c>
    </row>
    <row r="225" spans="1:50" x14ac:dyDescent="0.2">
      <c r="A225" s="29">
        <v>12</v>
      </c>
      <c r="B225" s="29">
        <v>202312</v>
      </c>
      <c r="C225" s="29">
        <v>12</v>
      </c>
      <c r="D225" s="35">
        <v>0</v>
      </c>
      <c r="E225" s="35">
        <v>0</v>
      </c>
      <c r="F225" s="35">
        <v>0</v>
      </c>
      <c r="G225" s="35">
        <v>14432</v>
      </c>
      <c r="H225" s="35">
        <v>0</v>
      </c>
      <c r="I225" s="35">
        <v>10745</v>
      </c>
      <c r="J225" s="35">
        <v>0</v>
      </c>
      <c r="K225" s="35">
        <v>46668</v>
      </c>
      <c r="L225" s="35">
        <v>156</v>
      </c>
      <c r="M225" s="35">
        <v>971977</v>
      </c>
      <c r="N225" s="35">
        <v>1291</v>
      </c>
      <c r="O225" s="35">
        <v>0</v>
      </c>
      <c r="P225" s="35">
        <v>0</v>
      </c>
      <c r="Q225" s="35">
        <v>10278</v>
      </c>
      <c r="R225" s="35">
        <v>0</v>
      </c>
      <c r="S225" s="35">
        <v>58173</v>
      </c>
      <c r="T225" s="40">
        <f t="shared" si="39"/>
        <v>1113720</v>
      </c>
      <c r="V225" s="35">
        <v>5141</v>
      </c>
      <c r="W225" s="35">
        <v>0</v>
      </c>
      <c r="X225" s="40">
        <f t="shared" si="41"/>
        <v>5141</v>
      </c>
      <c r="Z225" s="35">
        <v>0</v>
      </c>
      <c r="AA225" s="35">
        <v>0</v>
      </c>
      <c r="AB225" s="35">
        <v>0</v>
      </c>
      <c r="AC225" s="35">
        <v>0</v>
      </c>
      <c r="AD225" s="35">
        <v>0</v>
      </c>
      <c r="AE225" s="35">
        <v>0</v>
      </c>
      <c r="AF225" s="35">
        <v>55690</v>
      </c>
      <c r="AG225" s="35">
        <v>0</v>
      </c>
      <c r="AH225" s="35">
        <v>0</v>
      </c>
      <c r="AI225" s="35">
        <v>308</v>
      </c>
      <c r="AJ225" s="35">
        <v>0</v>
      </c>
      <c r="AK225" s="35">
        <v>0</v>
      </c>
      <c r="AL225" s="35">
        <v>35336</v>
      </c>
      <c r="AM225" s="35">
        <v>0</v>
      </c>
      <c r="AN225" s="40">
        <f t="shared" si="42"/>
        <v>91334</v>
      </c>
      <c r="AP225" s="35">
        <v>0</v>
      </c>
      <c r="AQ225" s="35">
        <v>0</v>
      </c>
      <c r="AR225" s="35">
        <v>543</v>
      </c>
      <c r="AS225" s="35">
        <v>0</v>
      </c>
      <c r="AT225" s="35">
        <v>276</v>
      </c>
      <c r="AU225" s="35">
        <v>0</v>
      </c>
      <c r="AV225" s="40">
        <f t="shared" si="43"/>
        <v>819</v>
      </c>
      <c r="AX225" s="40">
        <f t="shared" si="40"/>
        <v>1211014</v>
      </c>
    </row>
    <row r="226" spans="1:50" x14ac:dyDescent="0.2">
      <c r="A226" s="29">
        <v>12</v>
      </c>
      <c r="B226" s="29">
        <v>202312</v>
      </c>
      <c r="C226" s="29">
        <v>15</v>
      </c>
      <c r="D226" s="35">
        <v>0</v>
      </c>
      <c r="E226" s="35">
        <v>7632</v>
      </c>
      <c r="F226" s="35">
        <v>0</v>
      </c>
      <c r="G226" s="35">
        <v>22567</v>
      </c>
      <c r="H226" s="35">
        <v>0</v>
      </c>
      <c r="I226" s="35">
        <v>11221</v>
      </c>
      <c r="J226" s="35">
        <v>10025</v>
      </c>
      <c r="K226" s="35">
        <v>37362</v>
      </c>
      <c r="L226" s="35">
        <v>27465</v>
      </c>
      <c r="M226" s="35">
        <v>578973</v>
      </c>
      <c r="N226" s="35">
        <v>1319</v>
      </c>
      <c r="O226" s="35">
        <v>0</v>
      </c>
      <c r="P226" s="35">
        <v>400</v>
      </c>
      <c r="Q226" s="35">
        <v>13926</v>
      </c>
      <c r="R226" s="35">
        <v>0</v>
      </c>
      <c r="S226" s="35">
        <v>74991</v>
      </c>
      <c r="T226" s="40">
        <f t="shared" si="39"/>
        <v>785881</v>
      </c>
      <c r="V226" s="35">
        <v>2775</v>
      </c>
      <c r="W226" s="35">
        <v>54</v>
      </c>
      <c r="X226" s="40">
        <f t="shared" si="41"/>
        <v>2829</v>
      </c>
      <c r="Z226" s="35">
        <v>0</v>
      </c>
      <c r="AA226" s="35">
        <v>5345</v>
      </c>
      <c r="AB226" s="35">
        <v>3024</v>
      </c>
      <c r="AC226" s="35">
        <v>0</v>
      </c>
      <c r="AD226" s="35">
        <v>0</v>
      </c>
      <c r="AE226" s="35">
        <v>132</v>
      </c>
      <c r="AF226" s="35">
        <v>54472</v>
      </c>
      <c r="AG226" s="35">
        <v>2779</v>
      </c>
      <c r="AH226" s="35">
        <v>0</v>
      </c>
      <c r="AI226" s="35">
        <v>0</v>
      </c>
      <c r="AJ226" s="35">
        <v>0</v>
      </c>
      <c r="AK226" s="35">
        <v>955</v>
      </c>
      <c r="AL226" s="35">
        <v>740</v>
      </c>
      <c r="AM226" s="35">
        <v>0</v>
      </c>
      <c r="AN226" s="40">
        <f t="shared" si="42"/>
        <v>67447</v>
      </c>
      <c r="AP226" s="35">
        <v>263</v>
      </c>
      <c r="AQ226" s="35">
        <v>0</v>
      </c>
      <c r="AR226" s="35">
        <v>-2802</v>
      </c>
      <c r="AS226" s="35">
        <v>0</v>
      </c>
      <c r="AT226" s="35">
        <v>6203</v>
      </c>
      <c r="AU226" s="35">
        <v>0</v>
      </c>
      <c r="AV226" s="40">
        <f t="shared" si="43"/>
        <v>3664</v>
      </c>
      <c r="AX226" s="40">
        <f t="shared" si="40"/>
        <v>859821</v>
      </c>
    </row>
    <row r="227" spans="1:50" x14ac:dyDescent="0.2">
      <c r="A227" s="29">
        <v>12</v>
      </c>
      <c r="B227" s="29">
        <v>202312</v>
      </c>
      <c r="C227" s="29">
        <v>21</v>
      </c>
      <c r="D227" s="35">
        <v>0</v>
      </c>
      <c r="E227" s="35">
        <v>0</v>
      </c>
      <c r="F227" s="35">
        <v>0</v>
      </c>
      <c r="G227" s="35">
        <v>0</v>
      </c>
      <c r="H227" s="35">
        <v>0</v>
      </c>
      <c r="I227" s="35">
        <v>0</v>
      </c>
      <c r="J227" s="35">
        <v>0</v>
      </c>
      <c r="K227" s="35">
        <v>0</v>
      </c>
      <c r="L227" s="35">
        <v>0</v>
      </c>
      <c r="M227" s="35">
        <v>0</v>
      </c>
      <c r="N227" s="35">
        <v>0</v>
      </c>
      <c r="O227" s="35">
        <v>0</v>
      </c>
      <c r="P227" s="35">
        <v>0</v>
      </c>
      <c r="Q227" s="35">
        <v>0</v>
      </c>
      <c r="R227" s="35">
        <v>0</v>
      </c>
      <c r="S227" s="35">
        <v>0</v>
      </c>
      <c r="T227" s="40">
        <f t="shared" si="39"/>
        <v>0</v>
      </c>
      <c r="V227" s="35">
        <v>0</v>
      </c>
      <c r="W227" s="35">
        <v>0</v>
      </c>
      <c r="X227" s="40">
        <f t="shared" si="41"/>
        <v>0</v>
      </c>
      <c r="Z227" s="35">
        <v>0</v>
      </c>
      <c r="AA227" s="35">
        <v>0</v>
      </c>
      <c r="AB227" s="35">
        <v>0</v>
      </c>
      <c r="AC227" s="35">
        <v>0</v>
      </c>
      <c r="AD227" s="35">
        <v>0</v>
      </c>
      <c r="AE227" s="35">
        <v>0</v>
      </c>
      <c r="AF227" s="35">
        <v>0</v>
      </c>
      <c r="AG227" s="35">
        <v>0</v>
      </c>
      <c r="AH227" s="35">
        <v>0</v>
      </c>
      <c r="AI227" s="35">
        <v>0</v>
      </c>
      <c r="AJ227" s="35">
        <v>0</v>
      </c>
      <c r="AK227" s="35">
        <v>0</v>
      </c>
      <c r="AL227" s="35">
        <v>0</v>
      </c>
      <c r="AM227" s="35">
        <v>0</v>
      </c>
      <c r="AN227" s="40">
        <f t="shared" si="42"/>
        <v>0</v>
      </c>
      <c r="AP227" s="35">
        <v>0</v>
      </c>
      <c r="AQ227" s="35">
        <v>0</v>
      </c>
      <c r="AR227" s="35">
        <v>0</v>
      </c>
      <c r="AS227" s="35">
        <v>0</v>
      </c>
      <c r="AT227" s="35">
        <v>0</v>
      </c>
      <c r="AU227" s="35">
        <v>0</v>
      </c>
      <c r="AV227" s="40">
        <f t="shared" si="43"/>
        <v>0</v>
      </c>
      <c r="AX227" s="40">
        <f t="shared" si="40"/>
        <v>0</v>
      </c>
    </row>
    <row r="228" spans="1:50" x14ac:dyDescent="0.2">
      <c r="A228" s="29">
        <v>12</v>
      </c>
      <c r="B228" s="29">
        <v>202312</v>
      </c>
      <c r="C228" s="29">
        <v>23</v>
      </c>
      <c r="D228" s="35">
        <v>4512</v>
      </c>
      <c r="E228" s="35">
        <v>855418</v>
      </c>
      <c r="F228" s="35">
        <v>95897</v>
      </c>
      <c r="G228" s="35">
        <v>1252015</v>
      </c>
      <c r="H228" s="35">
        <v>10512</v>
      </c>
      <c r="I228" s="35">
        <v>1177798</v>
      </c>
      <c r="J228" s="35">
        <v>650121</v>
      </c>
      <c r="K228" s="35">
        <v>2375911</v>
      </c>
      <c r="L228" s="35">
        <v>2789836</v>
      </c>
      <c r="M228" s="35">
        <v>17427081</v>
      </c>
      <c r="N228" s="35">
        <v>322419</v>
      </c>
      <c r="O228" s="35">
        <v>54759</v>
      </c>
      <c r="P228" s="35">
        <v>138381</v>
      </c>
      <c r="Q228" s="35">
        <v>3302275</v>
      </c>
      <c r="R228" s="35">
        <v>279280</v>
      </c>
      <c r="S228" s="35">
        <v>5616135</v>
      </c>
      <c r="T228" s="40">
        <f t="shared" si="39"/>
        <v>36352350</v>
      </c>
      <c r="V228" s="35">
        <v>855309</v>
      </c>
      <c r="W228" s="35">
        <v>12776</v>
      </c>
      <c r="X228" s="40">
        <f t="shared" si="41"/>
        <v>868085</v>
      </c>
      <c r="Z228" s="35">
        <v>1916</v>
      </c>
      <c r="AA228" s="35">
        <v>8963</v>
      </c>
      <c r="AB228" s="35">
        <v>90378</v>
      </c>
      <c r="AC228" s="35">
        <v>23804</v>
      </c>
      <c r="AD228" s="35">
        <v>4097</v>
      </c>
      <c r="AE228" s="35">
        <v>107953</v>
      </c>
      <c r="AF228" s="35">
        <v>556051</v>
      </c>
      <c r="AG228" s="35">
        <v>107519</v>
      </c>
      <c r="AH228" s="35">
        <v>20815</v>
      </c>
      <c r="AI228" s="35">
        <v>12952</v>
      </c>
      <c r="AJ228" s="35">
        <v>47463</v>
      </c>
      <c r="AK228" s="35">
        <v>99340</v>
      </c>
      <c r="AL228" s="35">
        <v>111042</v>
      </c>
      <c r="AM228" s="35">
        <v>0</v>
      </c>
      <c r="AN228" s="40">
        <f t="shared" si="42"/>
        <v>1192293</v>
      </c>
      <c r="AP228" s="35">
        <v>164457</v>
      </c>
      <c r="AQ228" s="35">
        <v>20343</v>
      </c>
      <c r="AR228" s="35">
        <v>505698</v>
      </c>
      <c r="AS228" s="35">
        <v>14360</v>
      </c>
      <c r="AT228" s="35">
        <v>1705347</v>
      </c>
      <c r="AU228" s="35">
        <v>1822</v>
      </c>
      <c r="AV228" s="40">
        <f t="shared" si="43"/>
        <v>2412027</v>
      </c>
      <c r="AX228" s="40">
        <f t="shared" si="40"/>
        <v>40824755</v>
      </c>
    </row>
    <row r="229" spans="1:50" x14ac:dyDescent="0.2">
      <c r="A229" s="29">
        <v>12</v>
      </c>
      <c r="B229" s="29">
        <v>202312</v>
      </c>
      <c r="C229" s="29">
        <v>31</v>
      </c>
      <c r="D229" s="35">
        <v>0</v>
      </c>
      <c r="E229" s="35">
        <v>0</v>
      </c>
      <c r="F229" s="35">
        <v>0</v>
      </c>
      <c r="G229" s="35">
        <v>0</v>
      </c>
      <c r="H229" s="35">
        <v>0</v>
      </c>
      <c r="I229" s="35">
        <v>0</v>
      </c>
      <c r="J229" s="35">
        <v>0</v>
      </c>
      <c r="K229" s="35">
        <v>0</v>
      </c>
      <c r="L229" s="35">
        <v>0</v>
      </c>
      <c r="M229" s="35">
        <v>3158158</v>
      </c>
      <c r="N229" s="35">
        <v>0</v>
      </c>
      <c r="O229" s="35">
        <v>0</v>
      </c>
      <c r="P229" s="35">
        <v>0</v>
      </c>
      <c r="Q229" s="35">
        <v>0</v>
      </c>
      <c r="R229" s="35">
        <v>0</v>
      </c>
      <c r="S229" s="35">
        <v>0</v>
      </c>
      <c r="T229" s="40">
        <f t="shared" si="39"/>
        <v>3158158</v>
      </c>
      <c r="V229" s="35">
        <v>0</v>
      </c>
      <c r="W229" s="35">
        <v>0</v>
      </c>
      <c r="X229" s="40">
        <f t="shared" si="41"/>
        <v>0</v>
      </c>
      <c r="Z229" s="35">
        <v>0</v>
      </c>
      <c r="AA229" s="35">
        <v>0</v>
      </c>
      <c r="AB229" s="35">
        <v>0</v>
      </c>
      <c r="AC229" s="35">
        <v>0</v>
      </c>
      <c r="AD229" s="35">
        <v>0</v>
      </c>
      <c r="AE229" s="35">
        <v>0</v>
      </c>
      <c r="AF229" s="35">
        <v>0</v>
      </c>
      <c r="AG229" s="35">
        <v>0</v>
      </c>
      <c r="AH229" s="35">
        <v>0</v>
      </c>
      <c r="AI229" s="35">
        <v>0</v>
      </c>
      <c r="AJ229" s="35">
        <v>0</v>
      </c>
      <c r="AK229" s="35">
        <v>0</v>
      </c>
      <c r="AL229" s="35">
        <v>0</v>
      </c>
      <c r="AM229" s="35">
        <v>0</v>
      </c>
      <c r="AN229" s="40">
        <f t="shared" si="42"/>
        <v>0</v>
      </c>
      <c r="AP229" s="35">
        <v>0</v>
      </c>
      <c r="AQ229" s="35">
        <v>0</v>
      </c>
      <c r="AR229" s="35">
        <v>0</v>
      </c>
      <c r="AS229" s="35">
        <v>0</v>
      </c>
      <c r="AT229" s="35">
        <v>0</v>
      </c>
      <c r="AU229" s="35">
        <v>0</v>
      </c>
      <c r="AV229" s="40">
        <f t="shared" si="43"/>
        <v>0</v>
      </c>
      <c r="AX229" s="40">
        <f t="shared" si="40"/>
        <v>3158158</v>
      </c>
    </row>
    <row r="230" spans="1:50" x14ac:dyDescent="0.2">
      <c r="A230" s="29">
        <v>12</v>
      </c>
      <c r="B230" s="29">
        <v>202312</v>
      </c>
      <c r="C230" s="29">
        <v>32</v>
      </c>
      <c r="D230" s="35">
        <v>0</v>
      </c>
      <c r="E230" s="35">
        <v>0</v>
      </c>
      <c r="F230" s="35">
        <v>0</v>
      </c>
      <c r="G230" s="35">
        <v>0</v>
      </c>
      <c r="H230" s="35">
        <v>0</v>
      </c>
      <c r="I230" s="35">
        <v>0</v>
      </c>
      <c r="J230" s="35">
        <v>0</v>
      </c>
      <c r="K230" s="35">
        <v>0</v>
      </c>
      <c r="L230" s="35">
        <v>0</v>
      </c>
      <c r="M230" s="35">
        <v>14384184</v>
      </c>
      <c r="N230" s="35">
        <v>0</v>
      </c>
      <c r="O230" s="35">
        <v>0</v>
      </c>
      <c r="P230" s="35">
        <v>0</v>
      </c>
      <c r="Q230" s="35">
        <v>0</v>
      </c>
      <c r="R230" s="35">
        <v>0</v>
      </c>
      <c r="S230" s="35">
        <v>0</v>
      </c>
      <c r="T230" s="40">
        <f t="shared" si="39"/>
        <v>14384184</v>
      </c>
      <c r="V230" s="35">
        <v>0</v>
      </c>
      <c r="W230" s="35">
        <v>0</v>
      </c>
      <c r="X230" s="40">
        <f t="shared" si="41"/>
        <v>0</v>
      </c>
      <c r="Z230" s="35">
        <v>0</v>
      </c>
      <c r="AA230" s="35">
        <v>0</v>
      </c>
      <c r="AB230" s="35">
        <v>0</v>
      </c>
      <c r="AC230" s="35">
        <v>0</v>
      </c>
      <c r="AD230" s="35">
        <v>0</v>
      </c>
      <c r="AE230" s="35">
        <v>0</v>
      </c>
      <c r="AF230" s="35">
        <v>0</v>
      </c>
      <c r="AG230" s="35">
        <v>0</v>
      </c>
      <c r="AH230" s="35">
        <v>0</v>
      </c>
      <c r="AI230" s="35">
        <v>0</v>
      </c>
      <c r="AJ230" s="35">
        <v>0</v>
      </c>
      <c r="AK230" s="35">
        <v>0</v>
      </c>
      <c r="AL230" s="35">
        <v>0</v>
      </c>
      <c r="AM230" s="35">
        <v>0</v>
      </c>
      <c r="AN230" s="40">
        <f t="shared" si="42"/>
        <v>0</v>
      </c>
      <c r="AP230" s="35">
        <v>0</v>
      </c>
      <c r="AQ230" s="35">
        <v>0</v>
      </c>
      <c r="AR230" s="35">
        <v>0</v>
      </c>
      <c r="AS230" s="35">
        <v>0</v>
      </c>
      <c r="AT230" s="35">
        <v>0</v>
      </c>
      <c r="AU230" s="35">
        <v>0</v>
      </c>
      <c r="AV230" s="40">
        <f t="shared" si="43"/>
        <v>0</v>
      </c>
      <c r="AX230" s="40">
        <f t="shared" si="40"/>
        <v>14384184</v>
      </c>
    </row>
    <row r="231" spans="1:50" x14ac:dyDescent="0.2">
      <c r="D231" s="35">
        <f t="shared" ref="D231:S231" si="44">SUM(D3:D230)</f>
        <v>2132826</v>
      </c>
      <c r="E231" s="35">
        <f t="shared" si="44"/>
        <v>65527781</v>
      </c>
      <c r="F231" s="35">
        <f t="shared" si="44"/>
        <v>8521881</v>
      </c>
      <c r="G231" s="35">
        <f t="shared" si="44"/>
        <v>218599237</v>
      </c>
      <c r="H231" s="35">
        <f t="shared" si="44"/>
        <v>6416795</v>
      </c>
      <c r="I231" s="35">
        <f t="shared" si="44"/>
        <v>175899809</v>
      </c>
      <c r="J231" s="35">
        <f t="shared" si="44"/>
        <v>123631739</v>
      </c>
      <c r="K231" s="35">
        <f t="shared" si="44"/>
        <v>229590734</v>
      </c>
      <c r="L231" s="35">
        <f t="shared" si="44"/>
        <v>329854722</v>
      </c>
      <c r="M231" s="35">
        <f t="shared" si="44"/>
        <v>3335868163</v>
      </c>
      <c r="N231" s="35">
        <f t="shared" si="44"/>
        <v>15001606</v>
      </c>
      <c r="O231" s="35">
        <f t="shared" si="44"/>
        <v>7600343</v>
      </c>
      <c r="P231" s="35">
        <f t="shared" si="44"/>
        <v>10177218</v>
      </c>
      <c r="Q231" s="35">
        <f t="shared" si="44"/>
        <v>282326466</v>
      </c>
      <c r="R231" s="35">
        <f t="shared" si="44"/>
        <v>19172657</v>
      </c>
      <c r="S231" s="35">
        <f t="shared" si="44"/>
        <v>992469918</v>
      </c>
      <c r="T231" s="40">
        <f>SUM(T3:T230)</f>
        <v>5822791895</v>
      </c>
      <c r="V231" s="35">
        <f t="shared" ref="V231:X231" si="45">SUM(V3:V230)</f>
        <v>66626164</v>
      </c>
      <c r="W231" s="35">
        <f t="shared" si="45"/>
        <v>1000686</v>
      </c>
      <c r="X231" s="40">
        <f t="shared" si="45"/>
        <v>67626850</v>
      </c>
      <c r="Z231" s="35">
        <f t="shared" ref="Z231:AN231" si="46">SUM(Z3:Z230)</f>
        <v>14189342</v>
      </c>
      <c r="AA231" s="35">
        <f t="shared" si="46"/>
        <v>881184</v>
      </c>
      <c r="AB231" s="35">
        <f t="shared" si="46"/>
        <v>318557826</v>
      </c>
      <c r="AC231" s="35">
        <f t="shared" si="46"/>
        <v>4656309</v>
      </c>
      <c r="AD231" s="35">
        <f t="shared" si="46"/>
        <v>1882021</v>
      </c>
      <c r="AE231" s="35">
        <f t="shared" si="46"/>
        <v>29290632</v>
      </c>
      <c r="AF231" s="35">
        <f t="shared" si="46"/>
        <v>91888843</v>
      </c>
      <c r="AG231" s="35">
        <f t="shared" si="46"/>
        <v>30468487</v>
      </c>
      <c r="AH231" s="35">
        <f t="shared" si="46"/>
        <v>700846</v>
      </c>
      <c r="AI231" s="35">
        <f t="shared" si="46"/>
        <v>8247163</v>
      </c>
      <c r="AJ231" s="35">
        <f t="shared" si="46"/>
        <v>2278369</v>
      </c>
      <c r="AK231" s="35">
        <f t="shared" si="46"/>
        <v>13451713</v>
      </c>
      <c r="AL231" s="35">
        <f t="shared" si="46"/>
        <v>7070654</v>
      </c>
      <c r="AM231" s="35">
        <f t="shared" si="46"/>
        <v>0</v>
      </c>
      <c r="AN231" s="40">
        <f t="shared" si="46"/>
        <v>523563389</v>
      </c>
      <c r="AP231" s="35">
        <f t="shared" ref="AP231:AV231" si="47">SUM(AP3:AP230)</f>
        <v>16934658</v>
      </c>
      <c r="AQ231" s="35">
        <f t="shared" si="47"/>
        <v>2125561</v>
      </c>
      <c r="AR231" s="35">
        <f t="shared" si="47"/>
        <v>72358683</v>
      </c>
      <c r="AS231" s="35">
        <f t="shared" si="47"/>
        <v>2339608</v>
      </c>
      <c r="AT231" s="35">
        <f t="shared" si="47"/>
        <v>164657865</v>
      </c>
      <c r="AU231" s="35">
        <f t="shared" si="47"/>
        <v>855980</v>
      </c>
      <c r="AV231" s="40">
        <f t="shared" si="47"/>
        <v>259272355</v>
      </c>
      <c r="AX231" s="40">
        <f t="shared" si="40"/>
        <v>6673254489</v>
      </c>
    </row>
    <row r="233" spans="1:50" x14ac:dyDescent="0.2">
      <c r="M233" s="323"/>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B5F3F-6F49-4130-A233-1E016B2E82CD}">
  <dimension ref="A1:X49"/>
  <sheetViews>
    <sheetView workbookViewId="0">
      <pane xSplit="2" ySplit="1" topLeftCell="C2" activePane="bottomRight" state="frozen"/>
      <selection pane="topRight" activeCell="C2" sqref="C2"/>
      <selection pane="bottomLeft" activeCell="C2" sqref="C2"/>
      <selection pane="bottomRight"/>
    </sheetView>
  </sheetViews>
  <sheetFormatPr defaultColWidth="9.140625" defaultRowHeight="12.75" x14ac:dyDescent="0.2"/>
  <cols>
    <col min="1" max="1" width="17.28515625" style="3" customWidth="1"/>
    <col min="2" max="2" width="47.42578125" style="3" customWidth="1"/>
    <col min="3" max="23" width="15.5703125" style="3" customWidth="1"/>
    <col min="24" max="16384" width="9.140625" style="3"/>
  </cols>
  <sheetData>
    <row r="1" spans="1:23" x14ac:dyDescent="0.2">
      <c r="A1" s="1" t="s">
        <v>307</v>
      </c>
      <c r="B1" s="1" t="s">
        <v>308</v>
      </c>
      <c r="C1" s="1" t="s">
        <v>309</v>
      </c>
      <c r="D1" s="2">
        <v>1</v>
      </c>
      <c r="E1" s="2">
        <v>2</v>
      </c>
      <c r="F1" s="2">
        <v>3</v>
      </c>
      <c r="G1" s="2">
        <v>6</v>
      </c>
      <c r="H1" s="2" t="s">
        <v>230</v>
      </c>
      <c r="I1" s="2" t="s">
        <v>231</v>
      </c>
      <c r="J1" s="2">
        <v>7</v>
      </c>
      <c r="K1" s="2">
        <v>8</v>
      </c>
      <c r="L1" s="2">
        <v>9</v>
      </c>
      <c r="M1" s="2" t="s">
        <v>234</v>
      </c>
      <c r="N1" s="2" t="s">
        <v>235</v>
      </c>
      <c r="O1" s="2">
        <v>10</v>
      </c>
      <c r="P1" s="2">
        <v>11</v>
      </c>
      <c r="Q1" s="2">
        <v>12</v>
      </c>
      <c r="R1" s="2">
        <v>15</v>
      </c>
      <c r="S1" s="2">
        <v>21</v>
      </c>
      <c r="T1" s="2">
        <v>23</v>
      </c>
      <c r="U1" s="2">
        <v>31</v>
      </c>
      <c r="V1" s="2">
        <v>32</v>
      </c>
      <c r="W1" s="1" t="s">
        <v>310</v>
      </c>
    </row>
    <row r="2" spans="1:23" x14ac:dyDescent="0.2">
      <c r="A2" s="4" t="s">
        <v>276</v>
      </c>
      <c r="B2" s="5" t="s">
        <v>255</v>
      </c>
      <c r="C2" s="6">
        <v>286</v>
      </c>
      <c r="D2" s="6">
        <v>254</v>
      </c>
      <c r="E2" s="6">
        <v>1</v>
      </c>
      <c r="F2" s="6">
        <v>3</v>
      </c>
      <c r="G2" s="6">
        <v>1</v>
      </c>
      <c r="H2" s="6">
        <v>0</v>
      </c>
      <c r="I2" s="6">
        <v>0</v>
      </c>
      <c r="J2" s="6">
        <v>0</v>
      </c>
      <c r="K2" s="6">
        <v>0</v>
      </c>
      <c r="L2" s="6">
        <v>0</v>
      </c>
      <c r="M2" s="6">
        <v>0</v>
      </c>
      <c r="N2" s="6">
        <v>0</v>
      </c>
      <c r="O2" s="6">
        <v>4</v>
      </c>
      <c r="P2" s="6">
        <v>0</v>
      </c>
      <c r="Q2" s="6">
        <v>0</v>
      </c>
      <c r="R2" s="6">
        <v>0</v>
      </c>
      <c r="S2" s="6">
        <v>0</v>
      </c>
      <c r="T2" s="6">
        <v>23</v>
      </c>
      <c r="U2" s="6">
        <v>0</v>
      </c>
      <c r="V2" s="6">
        <v>0</v>
      </c>
    </row>
    <row r="3" spans="1:23" x14ac:dyDescent="0.2">
      <c r="A3" s="4" t="s">
        <v>276</v>
      </c>
      <c r="B3" s="5" t="s">
        <v>256</v>
      </c>
      <c r="C3" s="6">
        <v>3679</v>
      </c>
      <c r="D3" s="6">
        <v>2758</v>
      </c>
      <c r="E3" s="6">
        <v>0</v>
      </c>
      <c r="F3" s="6">
        <v>151</v>
      </c>
      <c r="G3" s="6">
        <v>99</v>
      </c>
      <c r="H3" s="6">
        <v>6</v>
      </c>
      <c r="I3" s="6">
        <v>0</v>
      </c>
      <c r="J3" s="6">
        <v>80</v>
      </c>
      <c r="K3" s="6">
        <v>0</v>
      </c>
      <c r="L3" s="6">
        <v>0</v>
      </c>
      <c r="M3" s="6">
        <v>0</v>
      </c>
      <c r="N3" s="6">
        <v>0</v>
      </c>
      <c r="O3" s="6">
        <v>10</v>
      </c>
      <c r="P3" s="6">
        <v>0</v>
      </c>
      <c r="Q3" s="6">
        <v>0</v>
      </c>
      <c r="R3" s="6">
        <v>13</v>
      </c>
      <c r="S3" s="6">
        <v>0</v>
      </c>
      <c r="T3" s="6">
        <v>562</v>
      </c>
      <c r="U3" s="6">
        <v>0</v>
      </c>
      <c r="V3" s="6">
        <v>0</v>
      </c>
    </row>
    <row r="4" spans="1:23" x14ac:dyDescent="0.2">
      <c r="A4" s="4" t="s">
        <v>277</v>
      </c>
      <c r="B4" s="5" t="s">
        <v>257</v>
      </c>
      <c r="C4" s="6">
        <v>261</v>
      </c>
      <c r="D4" s="6">
        <v>218</v>
      </c>
      <c r="E4" s="6">
        <v>0</v>
      </c>
      <c r="F4" s="6">
        <v>0</v>
      </c>
      <c r="G4" s="6">
        <v>6</v>
      </c>
      <c r="H4" s="6">
        <v>0</v>
      </c>
      <c r="I4" s="6">
        <v>0</v>
      </c>
      <c r="J4" s="6">
        <v>0</v>
      </c>
      <c r="K4" s="6">
        <v>0</v>
      </c>
      <c r="L4" s="6">
        <v>0</v>
      </c>
      <c r="M4" s="6">
        <v>0</v>
      </c>
      <c r="N4" s="6">
        <v>0</v>
      </c>
      <c r="O4" s="6">
        <v>0</v>
      </c>
      <c r="P4" s="6">
        <v>1</v>
      </c>
      <c r="Q4" s="6">
        <v>0</v>
      </c>
      <c r="R4" s="6">
        <v>0</v>
      </c>
      <c r="S4" s="6">
        <v>0</v>
      </c>
      <c r="T4" s="6">
        <v>36</v>
      </c>
      <c r="U4" s="6">
        <v>0</v>
      </c>
      <c r="V4" s="6">
        <v>0</v>
      </c>
    </row>
    <row r="5" spans="1:23" x14ac:dyDescent="0.2">
      <c r="A5" s="4" t="s">
        <v>277</v>
      </c>
      <c r="B5" s="5" t="s">
        <v>258</v>
      </c>
      <c r="C5" s="6">
        <v>14824</v>
      </c>
      <c r="D5" s="6">
        <v>13369</v>
      </c>
      <c r="E5" s="6">
        <v>53</v>
      </c>
      <c r="F5" s="6">
        <v>145</v>
      </c>
      <c r="G5" s="6">
        <v>112</v>
      </c>
      <c r="H5" s="6">
        <v>43</v>
      </c>
      <c r="I5" s="6">
        <v>0</v>
      </c>
      <c r="J5" s="6">
        <v>43</v>
      </c>
      <c r="K5" s="6">
        <v>0</v>
      </c>
      <c r="L5" s="6">
        <v>1</v>
      </c>
      <c r="M5" s="6">
        <v>0</v>
      </c>
      <c r="N5" s="6">
        <v>0</v>
      </c>
      <c r="O5" s="6">
        <v>1</v>
      </c>
      <c r="P5" s="6">
        <v>8</v>
      </c>
      <c r="Q5" s="6">
        <v>31</v>
      </c>
      <c r="R5" s="6">
        <v>53</v>
      </c>
      <c r="S5" s="6">
        <v>0</v>
      </c>
      <c r="T5" s="6">
        <v>965</v>
      </c>
      <c r="U5" s="6">
        <v>0</v>
      </c>
      <c r="V5" s="6">
        <v>0</v>
      </c>
    </row>
    <row r="6" spans="1:23" s="8" customFormat="1" x14ac:dyDescent="0.2">
      <c r="A6" s="7" t="s">
        <v>277</v>
      </c>
      <c r="B6" s="5" t="s">
        <v>259</v>
      </c>
      <c r="C6" s="6">
        <v>475</v>
      </c>
      <c r="D6" s="6">
        <v>449</v>
      </c>
      <c r="E6" s="6">
        <v>4</v>
      </c>
      <c r="F6" s="6">
        <v>0</v>
      </c>
      <c r="G6" s="6">
        <v>1</v>
      </c>
      <c r="H6" s="6">
        <v>2</v>
      </c>
      <c r="I6" s="6">
        <v>0</v>
      </c>
      <c r="J6" s="6">
        <v>0</v>
      </c>
      <c r="K6" s="6">
        <v>0</v>
      </c>
      <c r="L6" s="6">
        <v>0</v>
      </c>
      <c r="M6" s="6">
        <v>0</v>
      </c>
      <c r="N6" s="6">
        <v>0</v>
      </c>
      <c r="O6" s="6">
        <v>0</v>
      </c>
      <c r="P6" s="6">
        <v>0</v>
      </c>
      <c r="Q6" s="6">
        <v>0</v>
      </c>
      <c r="R6" s="6">
        <v>0</v>
      </c>
      <c r="S6" s="6">
        <v>0</v>
      </c>
      <c r="T6" s="6">
        <v>19</v>
      </c>
      <c r="U6" s="6">
        <v>0</v>
      </c>
      <c r="V6" s="6">
        <v>0</v>
      </c>
    </row>
    <row r="7" spans="1:23" x14ac:dyDescent="0.2">
      <c r="A7" s="4" t="s">
        <v>277</v>
      </c>
      <c r="B7" s="5" t="s">
        <v>260</v>
      </c>
      <c r="C7" s="6">
        <v>13594</v>
      </c>
      <c r="D7" s="6">
        <v>12044</v>
      </c>
      <c r="E7" s="6">
        <v>34</v>
      </c>
      <c r="F7" s="6">
        <v>132</v>
      </c>
      <c r="G7" s="6">
        <v>93</v>
      </c>
      <c r="H7" s="6">
        <v>30</v>
      </c>
      <c r="I7" s="6">
        <v>0</v>
      </c>
      <c r="J7" s="6">
        <v>91</v>
      </c>
      <c r="K7" s="6">
        <v>1</v>
      </c>
      <c r="L7" s="6">
        <v>0</v>
      </c>
      <c r="M7" s="6">
        <v>0</v>
      </c>
      <c r="N7" s="6">
        <v>0</v>
      </c>
      <c r="O7" s="6">
        <v>7</v>
      </c>
      <c r="P7" s="6">
        <v>9</v>
      </c>
      <c r="Q7" s="6">
        <v>23</v>
      </c>
      <c r="R7" s="6">
        <v>50</v>
      </c>
      <c r="S7" s="6">
        <v>0</v>
      </c>
      <c r="T7" s="6">
        <v>1080</v>
      </c>
      <c r="U7" s="6">
        <v>0</v>
      </c>
      <c r="V7" s="6">
        <v>0</v>
      </c>
    </row>
    <row r="8" spans="1:23" x14ac:dyDescent="0.2">
      <c r="A8" s="4" t="s">
        <v>277</v>
      </c>
      <c r="B8" s="5" t="s">
        <v>261</v>
      </c>
      <c r="C8" s="6">
        <v>10840</v>
      </c>
      <c r="D8" s="6">
        <v>9922</v>
      </c>
      <c r="E8" s="6">
        <v>6</v>
      </c>
      <c r="F8" s="6">
        <v>347</v>
      </c>
      <c r="G8" s="6">
        <v>60</v>
      </c>
      <c r="H8" s="6">
        <v>19</v>
      </c>
      <c r="I8" s="6">
        <v>0</v>
      </c>
      <c r="J8" s="6">
        <v>45</v>
      </c>
      <c r="K8" s="6">
        <v>1</v>
      </c>
      <c r="L8" s="6">
        <v>0</v>
      </c>
      <c r="M8" s="6">
        <v>0</v>
      </c>
      <c r="N8" s="6">
        <v>0</v>
      </c>
      <c r="O8" s="6">
        <v>1</v>
      </c>
      <c r="P8" s="6">
        <v>0</v>
      </c>
      <c r="Q8" s="6">
        <v>0</v>
      </c>
      <c r="R8" s="6">
        <v>28</v>
      </c>
      <c r="S8" s="6">
        <v>0</v>
      </c>
      <c r="T8" s="6">
        <v>411</v>
      </c>
      <c r="U8" s="6">
        <v>0</v>
      </c>
      <c r="V8" s="6">
        <v>0</v>
      </c>
    </row>
    <row r="9" spans="1:23" x14ac:dyDescent="0.2">
      <c r="A9" s="4" t="s">
        <v>277</v>
      </c>
      <c r="B9" s="5" t="s">
        <v>262</v>
      </c>
      <c r="C9" s="6">
        <v>17886</v>
      </c>
      <c r="D9" s="6">
        <v>14790</v>
      </c>
      <c r="E9" s="6">
        <v>19</v>
      </c>
      <c r="F9" s="6">
        <v>648</v>
      </c>
      <c r="G9" s="6">
        <v>230</v>
      </c>
      <c r="H9" s="6">
        <v>42</v>
      </c>
      <c r="I9" s="6">
        <v>0</v>
      </c>
      <c r="J9" s="6">
        <v>100</v>
      </c>
      <c r="K9" s="6">
        <v>1</v>
      </c>
      <c r="L9" s="6">
        <v>0</v>
      </c>
      <c r="M9" s="6">
        <v>0</v>
      </c>
      <c r="N9" s="6">
        <v>0</v>
      </c>
      <c r="O9" s="6">
        <v>0</v>
      </c>
      <c r="P9" s="6">
        <v>0</v>
      </c>
      <c r="Q9" s="6">
        <v>26</v>
      </c>
      <c r="R9" s="6">
        <v>58</v>
      </c>
      <c r="S9" s="6">
        <v>0</v>
      </c>
      <c r="T9" s="6">
        <v>1972</v>
      </c>
      <c r="U9" s="6">
        <v>0</v>
      </c>
      <c r="V9" s="6">
        <v>0</v>
      </c>
    </row>
    <row r="10" spans="1:23" x14ac:dyDescent="0.2">
      <c r="A10" s="4" t="s">
        <v>277</v>
      </c>
      <c r="B10" s="5" t="s">
        <v>263</v>
      </c>
      <c r="C10" s="6">
        <v>26330</v>
      </c>
      <c r="D10" s="6">
        <v>23025</v>
      </c>
      <c r="E10" s="6">
        <v>78</v>
      </c>
      <c r="F10" s="6">
        <v>555</v>
      </c>
      <c r="G10" s="6">
        <v>227</v>
      </c>
      <c r="H10" s="6">
        <v>44</v>
      </c>
      <c r="I10" s="6">
        <v>0</v>
      </c>
      <c r="J10" s="6">
        <v>204</v>
      </c>
      <c r="K10" s="6">
        <v>1</v>
      </c>
      <c r="L10" s="6">
        <v>0</v>
      </c>
      <c r="M10" s="6">
        <v>0</v>
      </c>
      <c r="N10" s="6">
        <v>0</v>
      </c>
      <c r="O10" s="6">
        <v>5</v>
      </c>
      <c r="P10" s="6">
        <v>0</v>
      </c>
      <c r="Q10" s="6">
        <v>1</v>
      </c>
      <c r="R10" s="6">
        <v>72</v>
      </c>
      <c r="S10" s="6">
        <v>0</v>
      </c>
      <c r="T10" s="6">
        <v>2118</v>
      </c>
      <c r="U10" s="6">
        <v>0</v>
      </c>
      <c r="V10" s="6">
        <v>0</v>
      </c>
    </row>
    <row r="11" spans="1:23" x14ac:dyDescent="0.2">
      <c r="A11" s="4" t="s">
        <v>277</v>
      </c>
      <c r="B11" s="5" t="s">
        <v>264</v>
      </c>
      <c r="C11" s="6">
        <v>111550</v>
      </c>
      <c r="D11" s="6">
        <v>93422</v>
      </c>
      <c r="E11" s="6">
        <v>164</v>
      </c>
      <c r="F11" s="6">
        <v>2912</v>
      </c>
      <c r="G11" s="6">
        <v>2588</v>
      </c>
      <c r="H11" s="6">
        <v>297</v>
      </c>
      <c r="I11" s="6">
        <v>0</v>
      </c>
      <c r="J11" s="6">
        <v>1170</v>
      </c>
      <c r="K11" s="6">
        <v>71</v>
      </c>
      <c r="L11" s="6">
        <v>13</v>
      </c>
      <c r="M11" s="6">
        <v>1</v>
      </c>
      <c r="N11" s="6">
        <v>2</v>
      </c>
      <c r="O11" s="6">
        <v>13</v>
      </c>
      <c r="P11" s="6">
        <v>2</v>
      </c>
      <c r="Q11" s="6">
        <v>100</v>
      </c>
      <c r="R11" s="6">
        <v>672</v>
      </c>
      <c r="S11" s="6">
        <v>0</v>
      </c>
      <c r="T11" s="6">
        <v>10112</v>
      </c>
      <c r="U11" s="6">
        <v>2</v>
      </c>
      <c r="V11" s="6">
        <v>9</v>
      </c>
    </row>
    <row r="12" spans="1:23" s="8" customFormat="1" x14ac:dyDescent="0.2">
      <c r="A12" s="7" t="s">
        <v>278</v>
      </c>
      <c r="B12" s="5" t="s">
        <v>265</v>
      </c>
      <c r="C12" s="6">
        <v>1176</v>
      </c>
      <c r="D12" s="6">
        <v>890</v>
      </c>
      <c r="E12" s="6">
        <v>2</v>
      </c>
      <c r="F12" s="6">
        <v>5</v>
      </c>
      <c r="G12" s="6">
        <v>21</v>
      </c>
      <c r="H12" s="6">
        <v>1</v>
      </c>
      <c r="I12" s="6">
        <v>0</v>
      </c>
      <c r="J12" s="6">
        <v>19</v>
      </c>
      <c r="K12" s="6">
        <v>0</v>
      </c>
      <c r="L12" s="6">
        <v>0</v>
      </c>
      <c r="M12" s="6">
        <v>0</v>
      </c>
      <c r="N12" s="6">
        <v>0</v>
      </c>
      <c r="O12" s="6">
        <v>8</v>
      </c>
      <c r="P12" s="6">
        <v>7</v>
      </c>
      <c r="Q12" s="6">
        <v>4</v>
      </c>
      <c r="R12" s="6">
        <v>2</v>
      </c>
      <c r="S12" s="6">
        <v>0</v>
      </c>
      <c r="T12" s="6">
        <v>217</v>
      </c>
      <c r="U12" s="6">
        <v>0</v>
      </c>
      <c r="V12" s="6">
        <v>0</v>
      </c>
    </row>
    <row r="13" spans="1:23" x14ac:dyDescent="0.2">
      <c r="A13" s="4" t="s">
        <v>278</v>
      </c>
      <c r="B13" s="5" t="s">
        <v>266</v>
      </c>
      <c r="C13" s="6">
        <v>765</v>
      </c>
      <c r="D13" s="6">
        <v>676</v>
      </c>
      <c r="E13" s="6">
        <v>1</v>
      </c>
      <c r="F13" s="6">
        <v>3</v>
      </c>
      <c r="G13" s="6">
        <v>4</v>
      </c>
      <c r="H13" s="6">
        <v>1</v>
      </c>
      <c r="I13" s="6">
        <v>0</v>
      </c>
      <c r="J13" s="6">
        <v>2</v>
      </c>
      <c r="K13" s="6">
        <v>0</v>
      </c>
      <c r="L13" s="6">
        <v>0</v>
      </c>
      <c r="M13" s="6">
        <v>0</v>
      </c>
      <c r="N13" s="6">
        <v>0</v>
      </c>
      <c r="O13" s="6">
        <v>5</v>
      </c>
      <c r="P13" s="6">
        <v>4</v>
      </c>
      <c r="Q13" s="6">
        <v>0</v>
      </c>
      <c r="R13" s="6">
        <v>1</v>
      </c>
      <c r="S13" s="6">
        <v>0</v>
      </c>
      <c r="T13" s="6">
        <v>68</v>
      </c>
      <c r="U13" s="6">
        <v>0</v>
      </c>
      <c r="V13" s="6">
        <v>0</v>
      </c>
    </row>
    <row r="14" spans="1:23" x14ac:dyDescent="0.2">
      <c r="A14" s="4" t="s">
        <v>278</v>
      </c>
      <c r="B14" s="5" t="s">
        <v>267</v>
      </c>
      <c r="C14" s="6">
        <v>776</v>
      </c>
      <c r="D14" s="6">
        <v>620</v>
      </c>
      <c r="E14" s="6">
        <v>1</v>
      </c>
      <c r="F14" s="6">
        <v>4</v>
      </c>
      <c r="G14" s="6">
        <v>6</v>
      </c>
      <c r="H14" s="6">
        <v>1</v>
      </c>
      <c r="I14" s="6">
        <v>0</v>
      </c>
      <c r="J14" s="6">
        <v>5</v>
      </c>
      <c r="K14" s="6">
        <v>0</v>
      </c>
      <c r="L14" s="6">
        <v>0</v>
      </c>
      <c r="M14" s="6">
        <v>0</v>
      </c>
      <c r="N14" s="6">
        <v>0</v>
      </c>
      <c r="O14" s="6">
        <v>13</v>
      </c>
      <c r="P14" s="6">
        <v>5</v>
      </c>
      <c r="Q14" s="6">
        <v>0</v>
      </c>
      <c r="R14" s="6">
        <v>2</v>
      </c>
      <c r="S14" s="6">
        <v>0</v>
      </c>
      <c r="T14" s="6">
        <v>119</v>
      </c>
      <c r="U14" s="6">
        <v>0</v>
      </c>
      <c r="V14" s="6">
        <v>0</v>
      </c>
    </row>
    <row r="15" spans="1:23" x14ac:dyDescent="0.2">
      <c r="A15" s="4" t="s">
        <v>278</v>
      </c>
      <c r="B15" s="5" t="s">
        <v>268</v>
      </c>
      <c r="C15" s="6">
        <v>11059</v>
      </c>
      <c r="D15" s="6">
        <v>9044</v>
      </c>
      <c r="E15" s="6">
        <v>23</v>
      </c>
      <c r="F15" s="6">
        <v>33</v>
      </c>
      <c r="G15" s="6">
        <v>236</v>
      </c>
      <c r="H15" s="6">
        <v>47</v>
      </c>
      <c r="I15" s="6">
        <v>0</v>
      </c>
      <c r="J15" s="6">
        <v>6</v>
      </c>
      <c r="K15" s="6">
        <v>4</v>
      </c>
      <c r="L15" s="6">
        <v>0</v>
      </c>
      <c r="M15" s="6">
        <v>0</v>
      </c>
      <c r="N15" s="6">
        <v>0</v>
      </c>
      <c r="O15" s="6">
        <v>3</v>
      </c>
      <c r="P15" s="6">
        <v>6</v>
      </c>
      <c r="Q15" s="6">
        <v>14</v>
      </c>
      <c r="R15" s="6">
        <v>9</v>
      </c>
      <c r="S15" s="6">
        <v>0</v>
      </c>
      <c r="T15" s="6">
        <v>1633</v>
      </c>
      <c r="U15" s="6">
        <v>0</v>
      </c>
      <c r="V15" s="6">
        <v>1</v>
      </c>
    </row>
    <row r="16" spans="1:23" x14ac:dyDescent="0.2">
      <c r="A16" s="4" t="s">
        <v>279</v>
      </c>
      <c r="B16" s="5" t="s">
        <v>269</v>
      </c>
      <c r="C16" s="6">
        <v>725</v>
      </c>
      <c r="D16" s="6">
        <v>449</v>
      </c>
      <c r="E16" s="6">
        <v>1</v>
      </c>
      <c r="F16" s="6">
        <v>5</v>
      </c>
      <c r="G16" s="6">
        <v>53</v>
      </c>
      <c r="H16" s="6">
        <v>2</v>
      </c>
      <c r="I16" s="6">
        <v>0</v>
      </c>
      <c r="J16" s="6">
        <v>7</v>
      </c>
      <c r="K16" s="6">
        <v>0</v>
      </c>
      <c r="L16" s="6">
        <v>0</v>
      </c>
      <c r="M16" s="6">
        <v>0</v>
      </c>
      <c r="N16" s="6">
        <v>0</v>
      </c>
      <c r="O16" s="6">
        <v>4</v>
      </c>
      <c r="P16" s="6">
        <v>1</v>
      </c>
      <c r="Q16" s="6">
        <v>0</v>
      </c>
      <c r="R16" s="6">
        <v>0</v>
      </c>
      <c r="S16" s="6">
        <v>0</v>
      </c>
      <c r="T16" s="6">
        <v>203</v>
      </c>
      <c r="U16" s="6">
        <v>0</v>
      </c>
      <c r="V16" s="6">
        <v>0</v>
      </c>
    </row>
    <row r="17" spans="1:22" x14ac:dyDescent="0.2">
      <c r="A17" s="9" t="s">
        <v>280</v>
      </c>
      <c r="B17" s="10" t="s">
        <v>270</v>
      </c>
      <c r="C17" s="6">
        <v>38842</v>
      </c>
      <c r="D17" s="6">
        <v>31614</v>
      </c>
      <c r="E17" s="6">
        <v>41</v>
      </c>
      <c r="F17" s="6">
        <v>1811</v>
      </c>
      <c r="G17" s="6">
        <v>652</v>
      </c>
      <c r="H17" s="6">
        <v>84</v>
      </c>
      <c r="I17" s="6">
        <v>0</v>
      </c>
      <c r="J17" s="6">
        <v>416</v>
      </c>
      <c r="K17" s="6">
        <v>10</v>
      </c>
      <c r="L17" s="6">
        <v>5</v>
      </c>
      <c r="M17" s="6">
        <v>0</v>
      </c>
      <c r="N17" s="6">
        <v>1</v>
      </c>
      <c r="O17" s="6">
        <v>10</v>
      </c>
      <c r="P17" s="6">
        <v>18</v>
      </c>
      <c r="Q17" s="6">
        <v>32</v>
      </c>
      <c r="R17" s="6">
        <v>147</v>
      </c>
      <c r="S17" s="6">
        <v>0</v>
      </c>
      <c r="T17" s="6">
        <v>4000</v>
      </c>
      <c r="U17" s="6">
        <v>0</v>
      </c>
      <c r="V17" s="6">
        <v>1</v>
      </c>
    </row>
    <row r="18" spans="1:22" x14ac:dyDescent="0.2">
      <c r="A18" s="11" t="s">
        <v>311</v>
      </c>
      <c r="B18" s="12"/>
      <c r="C18" s="13">
        <f t="shared" ref="C18:V18" si="0">SUM(C2:C17)</f>
        <v>253068</v>
      </c>
      <c r="D18" s="13">
        <f t="shared" si="0"/>
        <v>213544</v>
      </c>
      <c r="E18" s="13">
        <f t="shared" si="0"/>
        <v>428</v>
      </c>
      <c r="F18" s="13">
        <f t="shared" si="0"/>
        <v>6754</v>
      </c>
      <c r="G18" s="13">
        <f t="shared" si="0"/>
        <v>4389</v>
      </c>
      <c r="H18" s="13">
        <f t="shared" si="0"/>
        <v>619</v>
      </c>
      <c r="I18" s="13">
        <f t="shared" si="0"/>
        <v>0</v>
      </c>
      <c r="J18" s="13">
        <f t="shared" si="0"/>
        <v>2188</v>
      </c>
      <c r="K18" s="13">
        <f t="shared" si="0"/>
        <v>89</v>
      </c>
      <c r="L18" s="13">
        <f t="shared" si="0"/>
        <v>19</v>
      </c>
      <c r="M18" s="13">
        <f t="shared" si="0"/>
        <v>1</v>
      </c>
      <c r="N18" s="13">
        <f t="shared" si="0"/>
        <v>3</v>
      </c>
      <c r="O18" s="13">
        <f t="shared" si="0"/>
        <v>84</v>
      </c>
      <c r="P18" s="13">
        <f t="shared" si="0"/>
        <v>61</v>
      </c>
      <c r="Q18" s="13">
        <f t="shared" si="0"/>
        <v>231</v>
      </c>
      <c r="R18" s="13">
        <f t="shared" si="0"/>
        <v>1107</v>
      </c>
      <c r="S18" s="13">
        <f t="shared" si="0"/>
        <v>0</v>
      </c>
      <c r="T18" s="13">
        <f t="shared" si="0"/>
        <v>23538</v>
      </c>
      <c r="U18" s="13">
        <f t="shared" si="0"/>
        <v>2</v>
      </c>
      <c r="V18" s="13">
        <f t="shared" si="0"/>
        <v>11</v>
      </c>
    </row>
    <row r="19" spans="1:22" x14ac:dyDescent="0.2">
      <c r="A19" s="9"/>
      <c r="B19" s="5"/>
      <c r="C19" s="6"/>
      <c r="D19" s="6"/>
      <c r="E19" s="6"/>
      <c r="F19" s="6"/>
      <c r="G19" s="6"/>
      <c r="H19" s="6"/>
      <c r="I19" s="6"/>
      <c r="J19" s="6"/>
      <c r="K19" s="6"/>
      <c r="L19" s="6"/>
      <c r="M19" s="6"/>
      <c r="N19" s="6"/>
      <c r="O19" s="6"/>
      <c r="P19" s="6"/>
      <c r="Q19" s="6"/>
      <c r="R19" s="6"/>
      <c r="S19" s="6"/>
      <c r="T19" s="6"/>
      <c r="U19" s="6"/>
      <c r="V19" s="6"/>
    </row>
    <row r="20" spans="1:22" x14ac:dyDescent="0.2">
      <c r="A20" s="4" t="s">
        <v>276</v>
      </c>
      <c r="B20" s="5" t="s">
        <v>284</v>
      </c>
      <c r="C20" s="6">
        <v>3419</v>
      </c>
      <c r="D20" s="6">
        <v>2638</v>
      </c>
      <c r="E20" s="6">
        <v>1</v>
      </c>
      <c r="F20" s="6">
        <v>48</v>
      </c>
      <c r="G20" s="6">
        <v>62</v>
      </c>
      <c r="H20" s="6">
        <v>2</v>
      </c>
      <c r="I20" s="6">
        <v>0</v>
      </c>
      <c r="J20" s="6">
        <v>57</v>
      </c>
      <c r="K20" s="6">
        <v>0</v>
      </c>
      <c r="L20" s="6">
        <v>1</v>
      </c>
      <c r="M20" s="6">
        <v>0</v>
      </c>
      <c r="N20" s="6">
        <v>0</v>
      </c>
      <c r="O20" s="6">
        <v>41</v>
      </c>
      <c r="P20" s="6">
        <v>16</v>
      </c>
      <c r="Q20" s="6">
        <v>5</v>
      </c>
      <c r="R20" s="6">
        <v>7</v>
      </c>
      <c r="S20" s="6">
        <v>0</v>
      </c>
      <c r="T20" s="6">
        <v>541</v>
      </c>
      <c r="U20" s="6">
        <v>0</v>
      </c>
      <c r="V20" s="6">
        <v>0</v>
      </c>
    </row>
    <row r="21" spans="1:22" x14ac:dyDescent="0.2">
      <c r="A21" s="4" t="s">
        <v>276</v>
      </c>
      <c r="B21" s="10" t="s">
        <v>285</v>
      </c>
      <c r="C21" s="6">
        <v>56</v>
      </c>
      <c r="D21" s="6">
        <v>26</v>
      </c>
      <c r="E21" s="6">
        <v>0</v>
      </c>
      <c r="F21" s="6">
        <v>1</v>
      </c>
      <c r="G21" s="6">
        <v>2</v>
      </c>
      <c r="H21" s="6">
        <v>0</v>
      </c>
      <c r="I21" s="6">
        <v>0</v>
      </c>
      <c r="J21" s="6">
        <v>2</v>
      </c>
      <c r="K21" s="6">
        <v>0</v>
      </c>
      <c r="L21" s="6">
        <v>0</v>
      </c>
      <c r="M21" s="6">
        <v>0</v>
      </c>
      <c r="N21" s="6">
        <v>0</v>
      </c>
      <c r="O21" s="6">
        <v>12</v>
      </c>
      <c r="P21" s="6">
        <v>0</v>
      </c>
      <c r="Q21" s="6">
        <v>0</v>
      </c>
      <c r="R21" s="6">
        <v>1</v>
      </c>
      <c r="S21" s="6">
        <v>0</v>
      </c>
      <c r="T21" s="6">
        <v>12</v>
      </c>
      <c r="U21" s="6">
        <v>0</v>
      </c>
      <c r="V21" s="6">
        <v>0</v>
      </c>
    </row>
    <row r="22" spans="1:22" x14ac:dyDescent="0.2">
      <c r="A22" s="14" t="s">
        <v>276</v>
      </c>
      <c r="B22" s="12" t="s">
        <v>286</v>
      </c>
      <c r="C22" s="13">
        <f t="shared" ref="C22:V22" si="1">SUM(C20:C21)</f>
        <v>3475</v>
      </c>
      <c r="D22" s="13">
        <f t="shared" si="1"/>
        <v>2664</v>
      </c>
      <c r="E22" s="13">
        <f t="shared" si="1"/>
        <v>1</v>
      </c>
      <c r="F22" s="13">
        <f t="shared" si="1"/>
        <v>49</v>
      </c>
      <c r="G22" s="13">
        <f t="shared" si="1"/>
        <v>64</v>
      </c>
      <c r="H22" s="13">
        <f t="shared" si="1"/>
        <v>2</v>
      </c>
      <c r="I22" s="13">
        <f t="shared" si="1"/>
        <v>0</v>
      </c>
      <c r="J22" s="13">
        <f t="shared" si="1"/>
        <v>59</v>
      </c>
      <c r="K22" s="13">
        <f t="shared" si="1"/>
        <v>0</v>
      </c>
      <c r="L22" s="13">
        <f t="shared" si="1"/>
        <v>1</v>
      </c>
      <c r="M22" s="13">
        <f t="shared" si="1"/>
        <v>0</v>
      </c>
      <c r="N22" s="13">
        <f t="shared" si="1"/>
        <v>0</v>
      </c>
      <c r="O22" s="13">
        <f t="shared" si="1"/>
        <v>53</v>
      </c>
      <c r="P22" s="13">
        <f t="shared" si="1"/>
        <v>16</v>
      </c>
      <c r="Q22" s="13">
        <f t="shared" si="1"/>
        <v>5</v>
      </c>
      <c r="R22" s="13">
        <f t="shared" si="1"/>
        <v>8</v>
      </c>
      <c r="S22" s="13">
        <f t="shared" si="1"/>
        <v>0</v>
      </c>
      <c r="T22" s="13">
        <f t="shared" si="1"/>
        <v>553</v>
      </c>
      <c r="U22" s="13">
        <f t="shared" si="1"/>
        <v>0</v>
      </c>
      <c r="V22" s="13">
        <f t="shared" si="1"/>
        <v>0</v>
      </c>
    </row>
    <row r="23" spans="1:22" x14ac:dyDescent="0.2">
      <c r="A23" s="15"/>
      <c r="B23" s="16"/>
      <c r="C23" s="17"/>
      <c r="D23" s="17"/>
      <c r="E23" s="17"/>
      <c r="F23" s="17"/>
      <c r="G23" s="17"/>
      <c r="H23" s="17"/>
      <c r="I23" s="17"/>
      <c r="J23" s="17"/>
      <c r="K23" s="17"/>
      <c r="L23" s="17"/>
      <c r="M23" s="17"/>
      <c r="N23" s="17"/>
      <c r="O23" s="17"/>
      <c r="P23" s="17"/>
      <c r="Q23" s="17"/>
      <c r="R23" s="17"/>
      <c r="S23" s="17"/>
      <c r="T23" s="17"/>
      <c r="U23" s="17"/>
      <c r="V23" s="17"/>
    </row>
    <row r="24" spans="1:22" x14ac:dyDescent="0.2">
      <c r="A24" s="4" t="s">
        <v>277</v>
      </c>
      <c r="B24" s="5" t="s">
        <v>287</v>
      </c>
      <c r="C24" s="6">
        <v>16</v>
      </c>
      <c r="D24" s="6">
        <v>11</v>
      </c>
      <c r="E24" s="6">
        <v>0</v>
      </c>
      <c r="F24" s="6">
        <v>0</v>
      </c>
      <c r="G24" s="6">
        <v>0</v>
      </c>
      <c r="H24" s="6">
        <v>0</v>
      </c>
      <c r="I24" s="6">
        <v>0</v>
      </c>
      <c r="J24" s="6">
        <v>0</v>
      </c>
      <c r="K24" s="6">
        <v>1</v>
      </c>
      <c r="L24" s="6">
        <v>0</v>
      </c>
      <c r="M24" s="6">
        <v>0</v>
      </c>
      <c r="N24" s="6">
        <v>0</v>
      </c>
      <c r="O24" s="6">
        <v>0</v>
      </c>
      <c r="P24" s="6">
        <v>0</v>
      </c>
      <c r="Q24" s="6">
        <v>0</v>
      </c>
      <c r="R24" s="6">
        <v>0</v>
      </c>
      <c r="S24" s="6">
        <v>0</v>
      </c>
      <c r="T24" s="6">
        <v>3</v>
      </c>
      <c r="U24" s="6">
        <v>1</v>
      </c>
      <c r="V24" s="6">
        <v>0</v>
      </c>
    </row>
    <row r="25" spans="1:22" x14ac:dyDescent="0.2">
      <c r="A25" s="4" t="s">
        <v>277</v>
      </c>
      <c r="B25" s="5" t="s">
        <v>288</v>
      </c>
      <c r="C25" s="6">
        <v>17</v>
      </c>
      <c r="D25" s="6">
        <v>5</v>
      </c>
      <c r="E25" s="6">
        <v>0</v>
      </c>
      <c r="F25" s="6">
        <v>0</v>
      </c>
      <c r="G25" s="6">
        <v>2</v>
      </c>
      <c r="H25" s="6">
        <v>2</v>
      </c>
      <c r="I25" s="6">
        <v>0</v>
      </c>
      <c r="J25" s="6">
        <v>0</v>
      </c>
      <c r="K25" s="6">
        <v>0</v>
      </c>
      <c r="L25" s="6">
        <v>0</v>
      </c>
      <c r="M25" s="6">
        <v>0</v>
      </c>
      <c r="N25" s="6">
        <v>0</v>
      </c>
      <c r="O25" s="6">
        <v>0</v>
      </c>
      <c r="P25" s="6">
        <v>0</v>
      </c>
      <c r="Q25" s="6">
        <v>0</v>
      </c>
      <c r="R25" s="6">
        <v>2</v>
      </c>
      <c r="S25" s="6">
        <v>0</v>
      </c>
      <c r="T25" s="6">
        <v>6</v>
      </c>
      <c r="U25" s="6">
        <v>0</v>
      </c>
      <c r="V25" s="6">
        <v>0</v>
      </c>
    </row>
    <row r="26" spans="1:22" x14ac:dyDescent="0.2">
      <c r="A26" s="4" t="s">
        <v>277</v>
      </c>
      <c r="B26" s="5" t="s">
        <v>289</v>
      </c>
      <c r="C26" s="6">
        <v>1460</v>
      </c>
      <c r="D26" s="6">
        <v>1292</v>
      </c>
      <c r="E26" s="6">
        <v>6</v>
      </c>
      <c r="F26" s="6">
        <v>31</v>
      </c>
      <c r="G26" s="6">
        <v>22</v>
      </c>
      <c r="H26" s="6">
        <v>4</v>
      </c>
      <c r="I26" s="6">
        <v>0</v>
      </c>
      <c r="J26" s="6">
        <v>6</v>
      </c>
      <c r="K26" s="6">
        <v>1</v>
      </c>
      <c r="L26" s="6">
        <v>0</v>
      </c>
      <c r="M26" s="6">
        <v>0</v>
      </c>
      <c r="N26" s="6">
        <v>1</v>
      </c>
      <c r="O26" s="6">
        <v>0</v>
      </c>
      <c r="P26" s="6">
        <v>0</v>
      </c>
      <c r="Q26" s="6">
        <v>0</v>
      </c>
      <c r="R26" s="6">
        <v>8</v>
      </c>
      <c r="S26" s="6">
        <v>0</v>
      </c>
      <c r="T26" s="6">
        <v>89</v>
      </c>
      <c r="U26" s="6">
        <v>0</v>
      </c>
      <c r="V26" s="6">
        <v>0</v>
      </c>
    </row>
    <row r="27" spans="1:22" x14ac:dyDescent="0.2">
      <c r="A27" s="4" t="s">
        <v>277</v>
      </c>
      <c r="B27" s="5" t="s">
        <v>290</v>
      </c>
      <c r="C27" s="6">
        <v>639</v>
      </c>
      <c r="D27" s="6">
        <v>546</v>
      </c>
      <c r="E27" s="6">
        <v>3</v>
      </c>
      <c r="F27" s="6">
        <v>43</v>
      </c>
      <c r="G27" s="6">
        <v>2</v>
      </c>
      <c r="H27" s="6">
        <v>0</v>
      </c>
      <c r="I27" s="6">
        <v>0</v>
      </c>
      <c r="J27" s="6">
        <v>1</v>
      </c>
      <c r="K27" s="6">
        <v>0</v>
      </c>
      <c r="L27" s="6">
        <v>0</v>
      </c>
      <c r="M27" s="6">
        <v>0</v>
      </c>
      <c r="N27" s="6">
        <v>0</v>
      </c>
      <c r="O27" s="6">
        <v>0</v>
      </c>
      <c r="P27" s="6">
        <v>0</v>
      </c>
      <c r="Q27" s="6">
        <v>0</v>
      </c>
      <c r="R27" s="6">
        <v>0</v>
      </c>
      <c r="S27" s="6">
        <v>0</v>
      </c>
      <c r="T27" s="6">
        <v>44</v>
      </c>
      <c r="U27" s="6">
        <v>0</v>
      </c>
      <c r="V27" s="6">
        <v>0</v>
      </c>
    </row>
    <row r="28" spans="1:22" x14ac:dyDescent="0.2">
      <c r="A28" s="4" t="s">
        <v>277</v>
      </c>
      <c r="B28" s="5" t="s">
        <v>291</v>
      </c>
      <c r="C28" s="6">
        <v>193</v>
      </c>
      <c r="D28" s="6">
        <v>160</v>
      </c>
      <c r="E28" s="6">
        <v>2</v>
      </c>
      <c r="F28" s="6">
        <v>3</v>
      </c>
      <c r="G28" s="6">
        <v>2</v>
      </c>
      <c r="H28" s="6">
        <v>0</v>
      </c>
      <c r="I28" s="6">
        <v>0</v>
      </c>
      <c r="J28" s="6">
        <v>1</v>
      </c>
      <c r="K28" s="6">
        <v>0</v>
      </c>
      <c r="L28" s="6">
        <v>0</v>
      </c>
      <c r="M28" s="6">
        <v>0</v>
      </c>
      <c r="N28" s="6">
        <v>0</v>
      </c>
      <c r="O28" s="6">
        <v>0</v>
      </c>
      <c r="P28" s="6">
        <v>0</v>
      </c>
      <c r="Q28" s="6">
        <v>0</v>
      </c>
      <c r="R28" s="6">
        <v>0</v>
      </c>
      <c r="S28" s="6">
        <v>0</v>
      </c>
      <c r="T28" s="6">
        <v>25</v>
      </c>
      <c r="U28" s="6">
        <v>0</v>
      </c>
      <c r="V28" s="6">
        <v>0</v>
      </c>
    </row>
    <row r="29" spans="1:22" x14ac:dyDescent="0.2">
      <c r="A29" s="4" t="s">
        <v>277</v>
      </c>
      <c r="B29" s="5" t="s">
        <v>292</v>
      </c>
      <c r="C29" s="6">
        <v>1006</v>
      </c>
      <c r="D29" s="6">
        <v>904</v>
      </c>
      <c r="E29" s="6">
        <v>1</v>
      </c>
      <c r="F29" s="6">
        <v>10</v>
      </c>
      <c r="G29" s="6">
        <v>7</v>
      </c>
      <c r="H29" s="6">
        <v>2</v>
      </c>
      <c r="I29" s="6">
        <v>0</v>
      </c>
      <c r="J29" s="6">
        <v>1</v>
      </c>
      <c r="K29" s="6">
        <v>1</v>
      </c>
      <c r="L29" s="6">
        <v>0</v>
      </c>
      <c r="M29" s="6">
        <v>0</v>
      </c>
      <c r="N29" s="6">
        <v>0</v>
      </c>
      <c r="O29" s="6">
        <v>0</v>
      </c>
      <c r="P29" s="6">
        <v>0</v>
      </c>
      <c r="Q29" s="6">
        <v>0</v>
      </c>
      <c r="R29" s="6">
        <v>2</v>
      </c>
      <c r="S29" s="6">
        <v>0</v>
      </c>
      <c r="T29" s="6">
        <v>78</v>
      </c>
      <c r="U29" s="6">
        <v>0</v>
      </c>
      <c r="V29" s="6">
        <v>0</v>
      </c>
    </row>
    <row r="30" spans="1:22" x14ac:dyDescent="0.2">
      <c r="A30" s="4" t="s">
        <v>277</v>
      </c>
      <c r="B30" s="5" t="s">
        <v>293</v>
      </c>
      <c r="C30" s="6">
        <v>4238</v>
      </c>
      <c r="D30" s="6">
        <v>3188</v>
      </c>
      <c r="E30" s="6">
        <v>6</v>
      </c>
      <c r="F30" s="6">
        <v>229</v>
      </c>
      <c r="G30" s="6">
        <v>62</v>
      </c>
      <c r="H30" s="6">
        <v>21</v>
      </c>
      <c r="I30" s="6">
        <v>0</v>
      </c>
      <c r="J30" s="6">
        <v>44</v>
      </c>
      <c r="K30" s="6">
        <v>4</v>
      </c>
      <c r="L30" s="6">
        <v>1</v>
      </c>
      <c r="M30" s="6">
        <v>0</v>
      </c>
      <c r="N30" s="6">
        <v>0</v>
      </c>
      <c r="O30" s="6">
        <v>4</v>
      </c>
      <c r="P30" s="6">
        <v>5</v>
      </c>
      <c r="Q30" s="6">
        <v>33</v>
      </c>
      <c r="R30" s="6">
        <v>59</v>
      </c>
      <c r="S30" s="6">
        <v>0</v>
      </c>
      <c r="T30" s="6">
        <v>582</v>
      </c>
      <c r="U30" s="6">
        <v>0</v>
      </c>
      <c r="V30" s="6">
        <v>0</v>
      </c>
    </row>
    <row r="31" spans="1:22" x14ac:dyDescent="0.2">
      <c r="A31" s="4" t="s">
        <v>277</v>
      </c>
      <c r="B31" s="5" t="s">
        <v>294</v>
      </c>
      <c r="C31" s="6">
        <v>2158</v>
      </c>
      <c r="D31" s="6">
        <v>1985</v>
      </c>
      <c r="E31" s="6">
        <v>6</v>
      </c>
      <c r="F31" s="6">
        <v>15</v>
      </c>
      <c r="G31" s="6">
        <v>16</v>
      </c>
      <c r="H31" s="6">
        <v>3</v>
      </c>
      <c r="I31" s="6">
        <v>0</v>
      </c>
      <c r="J31" s="6">
        <v>9</v>
      </c>
      <c r="K31" s="6">
        <v>0</v>
      </c>
      <c r="L31" s="6">
        <v>0</v>
      </c>
      <c r="M31" s="6">
        <v>0</v>
      </c>
      <c r="N31" s="6">
        <v>0</v>
      </c>
      <c r="O31" s="6">
        <v>2</v>
      </c>
      <c r="P31" s="6">
        <v>0</v>
      </c>
      <c r="Q31" s="6">
        <v>0</v>
      </c>
      <c r="R31" s="6">
        <v>13</v>
      </c>
      <c r="S31" s="6">
        <v>0</v>
      </c>
      <c r="T31" s="6">
        <v>109</v>
      </c>
      <c r="U31" s="6">
        <v>0</v>
      </c>
      <c r="V31" s="6">
        <v>0</v>
      </c>
    </row>
    <row r="32" spans="1:22" x14ac:dyDescent="0.2">
      <c r="A32" s="4" t="s">
        <v>277</v>
      </c>
      <c r="B32" s="5" t="s">
        <v>295</v>
      </c>
      <c r="C32" s="6">
        <v>21</v>
      </c>
      <c r="D32" s="6">
        <v>8</v>
      </c>
      <c r="E32" s="6">
        <v>0</v>
      </c>
      <c r="F32" s="6">
        <v>0</v>
      </c>
      <c r="G32" s="6">
        <v>3</v>
      </c>
      <c r="H32" s="6">
        <v>1</v>
      </c>
      <c r="I32" s="6">
        <v>0</v>
      </c>
      <c r="J32" s="6">
        <v>1</v>
      </c>
      <c r="K32" s="6">
        <v>0</v>
      </c>
      <c r="L32" s="6">
        <v>1</v>
      </c>
      <c r="M32" s="6">
        <v>0</v>
      </c>
      <c r="N32" s="6">
        <v>0</v>
      </c>
      <c r="O32" s="6">
        <v>0</v>
      </c>
      <c r="P32" s="6">
        <v>1</v>
      </c>
      <c r="Q32" s="6">
        <v>0</v>
      </c>
      <c r="R32" s="6">
        <v>0</v>
      </c>
      <c r="S32" s="6">
        <v>0</v>
      </c>
      <c r="T32" s="6">
        <v>6</v>
      </c>
      <c r="U32" s="6">
        <v>0</v>
      </c>
      <c r="V32" s="6">
        <v>0</v>
      </c>
    </row>
    <row r="33" spans="1:24" x14ac:dyDescent="0.2">
      <c r="A33" s="4" t="s">
        <v>277</v>
      </c>
      <c r="B33" s="5" t="s">
        <v>296</v>
      </c>
      <c r="C33" s="6">
        <v>862</v>
      </c>
      <c r="D33" s="6">
        <v>804</v>
      </c>
      <c r="E33" s="6">
        <v>1</v>
      </c>
      <c r="F33" s="6">
        <v>10</v>
      </c>
      <c r="G33" s="6">
        <v>1</v>
      </c>
      <c r="H33" s="6">
        <v>1</v>
      </c>
      <c r="I33" s="6">
        <v>0</v>
      </c>
      <c r="J33" s="6">
        <v>0</v>
      </c>
      <c r="K33" s="6">
        <v>0</v>
      </c>
      <c r="L33" s="6">
        <v>0</v>
      </c>
      <c r="M33" s="6">
        <v>0</v>
      </c>
      <c r="N33" s="6">
        <v>0</v>
      </c>
      <c r="O33" s="6">
        <v>0</v>
      </c>
      <c r="P33" s="6">
        <v>0</v>
      </c>
      <c r="Q33" s="6">
        <v>1</v>
      </c>
      <c r="R33" s="6">
        <v>0</v>
      </c>
      <c r="S33" s="6">
        <v>0</v>
      </c>
      <c r="T33" s="6">
        <v>44</v>
      </c>
      <c r="U33" s="6">
        <v>0</v>
      </c>
      <c r="V33" s="6">
        <v>0</v>
      </c>
    </row>
    <row r="34" spans="1:24" x14ac:dyDescent="0.2">
      <c r="A34" s="4" t="s">
        <v>277</v>
      </c>
      <c r="B34" s="5" t="s">
        <v>297</v>
      </c>
      <c r="C34" s="6">
        <v>109</v>
      </c>
      <c r="D34" s="6">
        <v>79</v>
      </c>
      <c r="E34" s="6">
        <v>0</v>
      </c>
      <c r="F34" s="6">
        <v>4</v>
      </c>
      <c r="G34" s="6">
        <v>3</v>
      </c>
      <c r="H34" s="6">
        <v>1</v>
      </c>
      <c r="I34" s="6">
        <v>0</v>
      </c>
      <c r="J34" s="6">
        <v>0</v>
      </c>
      <c r="K34" s="6">
        <v>0</v>
      </c>
      <c r="L34" s="6">
        <v>0</v>
      </c>
      <c r="M34" s="6">
        <v>0</v>
      </c>
      <c r="N34" s="6">
        <v>0</v>
      </c>
      <c r="O34" s="6">
        <v>0</v>
      </c>
      <c r="P34" s="6">
        <v>0</v>
      </c>
      <c r="Q34" s="6">
        <v>0</v>
      </c>
      <c r="R34" s="6">
        <v>0</v>
      </c>
      <c r="S34" s="6">
        <v>0</v>
      </c>
      <c r="T34" s="6">
        <v>22</v>
      </c>
      <c r="U34" s="6">
        <v>0</v>
      </c>
      <c r="V34" s="6">
        <v>0</v>
      </c>
    </row>
    <row r="35" spans="1:24" x14ac:dyDescent="0.2">
      <c r="A35" s="4" t="s">
        <v>277</v>
      </c>
      <c r="B35" s="5" t="s">
        <v>298</v>
      </c>
      <c r="C35" s="6">
        <v>1167</v>
      </c>
      <c r="D35" s="6">
        <v>1025</v>
      </c>
      <c r="E35" s="6">
        <v>3</v>
      </c>
      <c r="F35" s="6">
        <v>22</v>
      </c>
      <c r="G35" s="6">
        <v>4</v>
      </c>
      <c r="H35" s="6">
        <v>2</v>
      </c>
      <c r="I35" s="6">
        <v>0</v>
      </c>
      <c r="J35" s="6">
        <v>1</v>
      </c>
      <c r="K35" s="6">
        <v>0</v>
      </c>
      <c r="L35" s="6">
        <v>2</v>
      </c>
      <c r="M35" s="6">
        <v>0</v>
      </c>
      <c r="N35" s="6">
        <v>0</v>
      </c>
      <c r="O35" s="6">
        <v>2</v>
      </c>
      <c r="P35" s="6">
        <v>0</v>
      </c>
      <c r="Q35" s="6">
        <v>0</v>
      </c>
      <c r="R35" s="6">
        <v>7</v>
      </c>
      <c r="S35" s="6">
        <v>0</v>
      </c>
      <c r="T35" s="6">
        <v>99</v>
      </c>
      <c r="U35" s="6">
        <v>0</v>
      </c>
      <c r="V35" s="6">
        <v>0</v>
      </c>
    </row>
    <row r="36" spans="1:24" x14ac:dyDescent="0.2">
      <c r="A36" s="4" t="s">
        <v>277</v>
      </c>
      <c r="B36" s="10" t="s">
        <v>299</v>
      </c>
      <c r="C36" s="6">
        <v>456</v>
      </c>
      <c r="D36" s="6">
        <v>335</v>
      </c>
      <c r="E36" s="6">
        <v>0</v>
      </c>
      <c r="F36" s="6">
        <v>10</v>
      </c>
      <c r="G36" s="6">
        <v>11</v>
      </c>
      <c r="H36" s="6">
        <v>0</v>
      </c>
      <c r="I36" s="6">
        <v>0</v>
      </c>
      <c r="J36" s="6">
        <v>5</v>
      </c>
      <c r="K36" s="6">
        <v>0</v>
      </c>
      <c r="L36" s="6">
        <v>0</v>
      </c>
      <c r="M36" s="6">
        <v>0</v>
      </c>
      <c r="N36" s="6">
        <v>0</v>
      </c>
      <c r="O36" s="6">
        <v>0</v>
      </c>
      <c r="P36" s="6">
        <v>0</v>
      </c>
      <c r="Q36" s="6">
        <v>20</v>
      </c>
      <c r="R36" s="6">
        <v>3</v>
      </c>
      <c r="S36" s="6">
        <v>0</v>
      </c>
      <c r="T36" s="6">
        <v>72</v>
      </c>
      <c r="U36" s="6">
        <v>0</v>
      </c>
      <c r="V36" s="6">
        <v>0</v>
      </c>
    </row>
    <row r="37" spans="1:24" x14ac:dyDescent="0.2">
      <c r="A37" s="14" t="s">
        <v>277</v>
      </c>
      <c r="B37" s="12" t="s">
        <v>286</v>
      </c>
      <c r="C37" s="13">
        <f t="shared" ref="C37:V37" si="2">SUM(C24:C36)</f>
        <v>12342</v>
      </c>
      <c r="D37" s="13">
        <f t="shared" si="2"/>
        <v>10342</v>
      </c>
      <c r="E37" s="13">
        <f t="shared" si="2"/>
        <v>28</v>
      </c>
      <c r="F37" s="13">
        <f t="shared" si="2"/>
        <v>377</v>
      </c>
      <c r="G37" s="13">
        <f t="shared" si="2"/>
        <v>135</v>
      </c>
      <c r="H37" s="13">
        <f t="shared" si="2"/>
        <v>37</v>
      </c>
      <c r="I37" s="13">
        <f t="shared" si="2"/>
        <v>0</v>
      </c>
      <c r="J37" s="13">
        <f t="shared" si="2"/>
        <v>69</v>
      </c>
      <c r="K37" s="13">
        <f t="shared" si="2"/>
        <v>7</v>
      </c>
      <c r="L37" s="13">
        <f t="shared" si="2"/>
        <v>4</v>
      </c>
      <c r="M37" s="13">
        <f t="shared" si="2"/>
        <v>0</v>
      </c>
      <c r="N37" s="13">
        <f t="shared" si="2"/>
        <v>1</v>
      </c>
      <c r="O37" s="13">
        <f t="shared" si="2"/>
        <v>8</v>
      </c>
      <c r="P37" s="13">
        <f t="shared" si="2"/>
        <v>6</v>
      </c>
      <c r="Q37" s="13">
        <f t="shared" si="2"/>
        <v>54</v>
      </c>
      <c r="R37" s="13">
        <f t="shared" si="2"/>
        <v>94</v>
      </c>
      <c r="S37" s="13">
        <f t="shared" si="2"/>
        <v>0</v>
      </c>
      <c r="T37" s="13">
        <f t="shared" si="2"/>
        <v>1179</v>
      </c>
      <c r="U37" s="13">
        <f t="shared" si="2"/>
        <v>1</v>
      </c>
      <c r="V37" s="13">
        <f t="shared" si="2"/>
        <v>0</v>
      </c>
    </row>
    <row r="38" spans="1:24" x14ac:dyDescent="0.2">
      <c r="A38" s="15"/>
      <c r="B38" s="16"/>
      <c r="C38" s="17"/>
      <c r="D38" s="17"/>
      <c r="E38" s="17"/>
      <c r="F38" s="17"/>
      <c r="G38" s="17"/>
      <c r="H38" s="17"/>
      <c r="I38" s="17"/>
      <c r="J38" s="17"/>
      <c r="K38" s="17"/>
      <c r="L38" s="17"/>
      <c r="M38" s="17"/>
      <c r="N38" s="17"/>
      <c r="O38" s="17"/>
      <c r="P38" s="17"/>
      <c r="Q38" s="17"/>
      <c r="R38" s="17"/>
      <c r="S38" s="17"/>
      <c r="T38" s="17"/>
      <c r="U38" s="17"/>
      <c r="V38" s="17"/>
    </row>
    <row r="39" spans="1:24" x14ac:dyDescent="0.2">
      <c r="A39" s="4" t="s">
        <v>278</v>
      </c>
      <c r="B39" s="5" t="s">
        <v>300</v>
      </c>
      <c r="C39" s="6">
        <v>1224</v>
      </c>
      <c r="D39" s="6">
        <v>1034</v>
      </c>
      <c r="E39" s="6">
        <v>3</v>
      </c>
      <c r="F39" s="6">
        <v>2</v>
      </c>
      <c r="G39" s="6">
        <v>9</v>
      </c>
      <c r="H39" s="6">
        <v>1</v>
      </c>
      <c r="I39" s="6">
        <v>0</v>
      </c>
      <c r="J39" s="6">
        <v>8</v>
      </c>
      <c r="K39" s="6">
        <v>0</v>
      </c>
      <c r="L39" s="6">
        <v>0</v>
      </c>
      <c r="M39" s="6">
        <v>0</v>
      </c>
      <c r="N39" s="6">
        <v>0</v>
      </c>
      <c r="O39" s="6">
        <v>20</v>
      </c>
      <c r="P39" s="6">
        <v>0</v>
      </c>
      <c r="Q39" s="6">
        <v>0</v>
      </c>
      <c r="R39" s="6">
        <v>1</v>
      </c>
      <c r="S39" s="6">
        <v>0</v>
      </c>
      <c r="T39" s="6">
        <v>146</v>
      </c>
      <c r="U39" s="6">
        <v>0</v>
      </c>
      <c r="V39" s="6">
        <v>0</v>
      </c>
    </row>
    <row r="40" spans="1:24" x14ac:dyDescent="0.2">
      <c r="A40" s="4" t="s">
        <v>278</v>
      </c>
      <c r="B40" s="5" t="s">
        <v>301</v>
      </c>
      <c r="C40" s="6">
        <v>227</v>
      </c>
      <c r="D40" s="6">
        <v>179</v>
      </c>
      <c r="E40" s="6">
        <v>0</v>
      </c>
      <c r="F40" s="6">
        <v>1</v>
      </c>
      <c r="G40" s="6">
        <v>0</v>
      </c>
      <c r="H40" s="6">
        <v>0</v>
      </c>
      <c r="I40" s="6">
        <v>0</v>
      </c>
      <c r="J40" s="6">
        <v>3</v>
      </c>
      <c r="K40" s="6">
        <v>0</v>
      </c>
      <c r="L40" s="6">
        <v>0</v>
      </c>
      <c r="M40" s="6">
        <v>0</v>
      </c>
      <c r="N40" s="6">
        <v>0</v>
      </c>
      <c r="O40" s="6">
        <v>3</v>
      </c>
      <c r="P40" s="6">
        <v>0</v>
      </c>
      <c r="Q40" s="6">
        <v>0</v>
      </c>
      <c r="R40" s="6">
        <v>0</v>
      </c>
      <c r="S40" s="6">
        <v>0</v>
      </c>
      <c r="T40" s="6">
        <v>41</v>
      </c>
      <c r="U40" s="6">
        <v>0</v>
      </c>
      <c r="V40" s="6">
        <v>0</v>
      </c>
    </row>
    <row r="41" spans="1:24" x14ac:dyDescent="0.2">
      <c r="A41" s="4" t="s">
        <v>278</v>
      </c>
      <c r="B41" s="5" t="s">
        <v>302</v>
      </c>
      <c r="C41" s="6">
        <v>2011</v>
      </c>
      <c r="D41" s="6">
        <v>1614</v>
      </c>
      <c r="E41" s="6">
        <v>7</v>
      </c>
      <c r="F41" s="6">
        <v>0</v>
      </c>
      <c r="G41" s="6">
        <v>25</v>
      </c>
      <c r="H41" s="6">
        <v>21</v>
      </c>
      <c r="I41" s="6">
        <v>0</v>
      </c>
      <c r="J41" s="6">
        <v>1</v>
      </c>
      <c r="K41" s="6">
        <v>0</v>
      </c>
      <c r="L41" s="6">
        <v>0</v>
      </c>
      <c r="M41" s="6">
        <v>0</v>
      </c>
      <c r="N41" s="6">
        <v>0</v>
      </c>
      <c r="O41" s="6">
        <v>1</v>
      </c>
      <c r="P41" s="6">
        <v>0</v>
      </c>
      <c r="Q41" s="6">
        <v>2</v>
      </c>
      <c r="R41" s="6">
        <v>3</v>
      </c>
      <c r="S41" s="6">
        <v>0</v>
      </c>
      <c r="T41" s="6">
        <v>337</v>
      </c>
      <c r="U41" s="6">
        <v>0</v>
      </c>
      <c r="V41" s="6">
        <v>0</v>
      </c>
    </row>
    <row r="42" spans="1:24" x14ac:dyDescent="0.2">
      <c r="A42" s="4" t="s">
        <v>278</v>
      </c>
      <c r="B42" s="5" t="s">
        <v>303</v>
      </c>
      <c r="C42" s="6">
        <v>138</v>
      </c>
      <c r="D42" s="6">
        <v>102</v>
      </c>
      <c r="E42" s="6">
        <v>0</v>
      </c>
      <c r="F42" s="6">
        <v>0</v>
      </c>
      <c r="G42" s="6">
        <v>0</v>
      </c>
      <c r="H42" s="6">
        <v>1</v>
      </c>
      <c r="I42" s="6">
        <v>0</v>
      </c>
      <c r="J42" s="6">
        <v>3</v>
      </c>
      <c r="K42" s="6">
        <v>0</v>
      </c>
      <c r="L42" s="6">
        <v>0</v>
      </c>
      <c r="M42" s="6">
        <v>0</v>
      </c>
      <c r="N42" s="6">
        <v>0</v>
      </c>
      <c r="O42" s="6">
        <v>1</v>
      </c>
      <c r="P42" s="6">
        <v>0</v>
      </c>
      <c r="Q42" s="6">
        <v>0</v>
      </c>
      <c r="R42" s="6">
        <v>0</v>
      </c>
      <c r="S42" s="6">
        <v>0</v>
      </c>
      <c r="T42" s="6">
        <v>31</v>
      </c>
      <c r="U42" s="6">
        <v>0</v>
      </c>
      <c r="V42" s="6">
        <v>0</v>
      </c>
    </row>
    <row r="43" spans="1:24" x14ac:dyDescent="0.2">
      <c r="A43" s="4" t="s">
        <v>278</v>
      </c>
      <c r="B43" s="5" t="s">
        <v>304</v>
      </c>
      <c r="C43" s="6">
        <v>8652</v>
      </c>
      <c r="D43" s="6">
        <v>7385</v>
      </c>
      <c r="E43" s="6">
        <v>44</v>
      </c>
      <c r="F43" s="6">
        <v>10</v>
      </c>
      <c r="G43" s="6">
        <v>106</v>
      </c>
      <c r="H43" s="6">
        <v>38</v>
      </c>
      <c r="I43" s="6">
        <v>0</v>
      </c>
      <c r="J43" s="6">
        <v>4</v>
      </c>
      <c r="K43" s="6">
        <v>1</v>
      </c>
      <c r="L43" s="6">
        <v>0</v>
      </c>
      <c r="M43" s="6">
        <v>0</v>
      </c>
      <c r="N43" s="6">
        <v>0</v>
      </c>
      <c r="O43" s="6">
        <v>1</v>
      </c>
      <c r="P43" s="6">
        <v>0</v>
      </c>
      <c r="Q43" s="6">
        <v>1</v>
      </c>
      <c r="R43" s="6">
        <v>11</v>
      </c>
      <c r="S43" s="6">
        <v>0</v>
      </c>
      <c r="T43" s="6">
        <v>1051</v>
      </c>
      <c r="U43" s="6">
        <v>0</v>
      </c>
      <c r="V43" s="6">
        <v>0</v>
      </c>
    </row>
    <row r="44" spans="1:24" x14ac:dyDescent="0.2">
      <c r="A44" s="4" t="s">
        <v>278</v>
      </c>
      <c r="B44" s="10" t="s">
        <v>305</v>
      </c>
      <c r="C44" s="6">
        <v>34</v>
      </c>
      <c r="D44" s="6">
        <v>28</v>
      </c>
      <c r="E44" s="6">
        <v>0</v>
      </c>
      <c r="F44" s="6">
        <v>0</v>
      </c>
      <c r="G44" s="6">
        <v>0</v>
      </c>
      <c r="H44" s="6">
        <v>1</v>
      </c>
      <c r="I44" s="6">
        <v>0</v>
      </c>
      <c r="J44" s="6">
        <v>0</v>
      </c>
      <c r="K44" s="6">
        <v>0</v>
      </c>
      <c r="L44" s="6">
        <v>0</v>
      </c>
      <c r="M44" s="6">
        <v>0</v>
      </c>
      <c r="N44" s="6">
        <v>0</v>
      </c>
      <c r="O44" s="6">
        <v>1</v>
      </c>
      <c r="P44" s="6">
        <v>0</v>
      </c>
      <c r="Q44" s="6">
        <v>0</v>
      </c>
      <c r="R44" s="6">
        <v>0</v>
      </c>
      <c r="S44" s="6">
        <v>0</v>
      </c>
      <c r="T44" s="6">
        <v>4</v>
      </c>
      <c r="U44" s="6">
        <v>0</v>
      </c>
      <c r="V44" s="6">
        <v>0</v>
      </c>
    </row>
    <row r="45" spans="1:24" x14ac:dyDescent="0.2">
      <c r="A45" s="14" t="s">
        <v>278</v>
      </c>
      <c r="B45" s="12" t="s">
        <v>286</v>
      </c>
      <c r="C45" s="13">
        <f t="shared" ref="C45:V45" si="3">SUM(C39:C44)</f>
        <v>12286</v>
      </c>
      <c r="D45" s="13">
        <f t="shared" si="3"/>
        <v>10342</v>
      </c>
      <c r="E45" s="13">
        <f t="shared" si="3"/>
        <v>54</v>
      </c>
      <c r="F45" s="13">
        <f t="shared" si="3"/>
        <v>13</v>
      </c>
      <c r="G45" s="13">
        <f t="shared" si="3"/>
        <v>140</v>
      </c>
      <c r="H45" s="13">
        <f t="shared" si="3"/>
        <v>62</v>
      </c>
      <c r="I45" s="13">
        <f t="shared" si="3"/>
        <v>0</v>
      </c>
      <c r="J45" s="13">
        <f t="shared" si="3"/>
        <v>19</v>
      </c>
      <c r="K45" s="13">
        <f t="shared" si="3"/>
        <v>1</v>
      </c>
      <c r="L45" s="13">
        <f t="shared" si="3"/>
        <v>0</v>
      </c>
      <c r="M45" s="13">
        <f t="shared" si="3"/>
        <v>0</v>
      </c>
      <c r="N45" s="13">
        <f t="shared" si="3"/>
        <v>0</v>
      </c>
      <c r="O45" s="13">
        <f t="shared" si="3"/>
        <v>27</v>
      </c>
      <c r="P45" s="13">
        <f t="shared" si="3"/>
        <v>0</v>
      </c>
      <c r="Q45" s="13">
        <f t="shared" si="3"/>
        <v>3</v>
      </c>
      <c r="R45" s="13">
        <f t="shared" si="3"/>
        <v>15</v>
      </c>
      <c r="S45" s="13">
        <f t="shared" si="3"/>
        <v>0</v>
      </c>
      <c r="T45" s="13">
        <f t="shared" si="3"/>
        <v>1610</v>
      </c>
      <c r="U45" s="13">
        <f t="shared" si="3"/>
        <v>0</v>
      </c>
      <c r="V45" s="13">
        <f t="shared" si="3"/>
        <v>0</v>
      </c>
    </row>
    <row r="46" spans="1:24" x14ac:dyDescent="0.2">
      <c r="A46" s="4"/>
      <c r="B46" s="4"/>
      <c r="C46" s="6"/>
      <c r="D46" s="6"/>
      <c r="E46" s="6"/>
      <c r="F46" s="6"/>
      <c r="G46" s="6"/>
      <c r="H46" s="6"/>
      <c r="I46" s="6"/>
      <c r="J46" s="6"/>
      <c r="K46" s="6"/>
      <c r="L46" s="6"/>
      <c r="M46" s="6"/>
      <c r="N46" s="6"/>
      <c r="O46" s="6"/>
      <c r="P46" s="6"/>
      <c r="Q46" s="6"/>
      <c r="R46" s="6"/>
      <c r="S46" s="6"/>
      <c r="T46" s="6"/>
      <c r="U46" s="6"/>
      <c r="V46" s="6"/>
    </row>
    <row r="47" spans="1:24" x14ac:dyDescent="0.2">
      <c r="A47" s="9"/>
      <c r="B47" s="9"/>
      <c r="C47" s="9"/>
      <c r="D47" s="6"/>
      <c r="E47" s="6"/>
      <c r="F47" s="6"/>
      <c r="G47" s="4"/>
      <c r="H47" s="4"/>
      <c r="I47" s="9"/>
      <c r="J47" s="9"/>
    </row>
    <row r="48" spans="1:24" ht="13.5" thickBot="1" x14ac:dyDescent="0.25">
      <c r="A48" s="18" t="s">
        <v>312</v>
      </c>
      <c r="B48" s="19"/>
      <c r="C48" s="20">
        <f t="shared" ref="C48:V48" si="4">C18+C22+C37+C45</f>
        <v>281171</v>
      </c>
      <c r="D48" s="20">
        <f t="shared" si="4"/>
        <v>236892</v>
      </c>
      <c r="E48" s="20">
        <f t="shared" si="4"/>
        <v>511</v>
      </c>
      <c r="F48" s="20">
        <f t="shared" si="4"/>
        <v>7193</v>
      </c>
      <c r="G48" s="20">
        <f t="shared" si="4"/>
        <v>4728</v>
      </c>
      <c r="H48" s="20">
        <f t="shared" si="4"/>
        <v>720</v>
      </c>
      <c r="I48" s="20">
        <f t="shared" si="4"/>
        <v>0</v>
      </c>
      <c r="J48" s="20">
        <f t="shared" si="4"/>
        <v>2335</v>
      </c>
      <c r="K48" s="20">
        <f t="shared" si="4"/>
        <v>97</v>
      </c>
      <c r="L48" s="20">
        <f t="shared" si="4"/>
        <v>24</v>
      </c>
      <c r="M48" s="20">
        <f t="shared" si="4"/>
        <v>1</v>
      </c>
      <c r="N48" s="20">
        <f t="shared" si="4"/>
        <v>4</v>
      </c>
      <c r="O48" s="20">
        <f t="shared" si="4"/>
        <v>172</v>
      </c>
      <c r="P48" s="20">
        <f t="shared" si="4"/>
        <v>83</v>
      </c>
      <c r="Q48" s="20">
        <f t="shared" si="4"/>
        <v>293</v>
      </c>
      <c r="R48" s="20">
        <f t="shared" si="4"/>
        <v>1224</v>
      </c>
      <c r="S48" s="20">
        <f t="shared" si="4"/>
        <v>0</v>
      </c>
      <c r="T48" s="20">
        <f t="shared" si="4"/>
        <v>26880</v>
      </c>
      <c r="U48" s="20">
        <f t="shared" si="4"/>
        <v>3</v>
      </c>
      <c r="V48" s="20">
        <f t="shared" si="4"/>
        <v>11</v>
      </c>
      <c r="X48" s="21">
        <f>SUM(D48:W48)-C48</f>
        <v>0</v>
      </c>
    </row>
    <row r="49" ht="13.5" thickTop="1" x14ac:dyDescent="0.2"/>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F35B5-E577-4FF1-A3C2-635606EBBCA1}">
  <sheetPr>
    <tabColor rgb="FFFFC000"/>
    <pageSetUpPr fitToPage="1"/>
  </sheetPr>
  <dimension ref="A1:P43"/>
  <sheetViews>
    <sheetView showGridLines="0" zoomScale="120" zoomScaleNormal="120" workbookViewId="0">
      <selection activeCell="J24" sqref="J24"/>
    </sheetView>
  </sheetViews>
  <sheetFormatPr defaultColWidth="9.140625" defaultRowHeight="15" x14ac:dyDescent="0.25"/>
  <cols>
    <col min="1" max="1" width="5.5703125" style="65" customWidth="1"/>
    <col min="2" max="2" width="13.28515625" style="65" customWidth="1"/>
    <col min="3" max="3" width="0" style="65" hidden="1" customWidth="1"/>
    <col min="4" max="4" width="19" style="65" customWidth="1"/>
    <col min="5" max="5" width="3" style="65" hidden="1" customWidth="1"/>
    <col min="6" max="6" width="18.140625" style="65" customWidth="1"/>
    <col min="7" max="7" width="21.140625" style="65" customWidth="1"/>
    <col min="8" max="8" width="21.42578125" style="65" customWidth="1"/>
    <col min="9" max="9" width="6" style="65" customWidth="1"/>
    <col min="10" max="10" width="23.42578125" style="65" customWidth="1"/>
    <col min="11" max="11" width="9.5703125" style="65" customWidth="1"/>
    <col min="12" max="12" width="10.85546875" style="65" customWidth="1"/>
    <col min="13" max="13" width="12.28515625" style="65" bestFit="1" customWidth="1"/>
    <col min="14" max="14" width="16.7109375" style="65" customWidth="1"/>
    <col min="15" max="15" width="14.7109375" style="65" bestFit="1" customWidth="1"/>
    <col min="16" max="16" width="13.28515625" style="65" bestFit="1" customWidth="1"/>
    <col min="17" max="16384" width="9.140625" style="65"/>
  </cols>
  <sheetData>
    <row r="1" spans="1:16" x14ac:dyDescent="0.25">
      <c r="A1" s="63" t="s">
        <v>313</v>
      </c>
      <c r="B1" s="64"/>
      <c r="C1" s="64"/>
      <c r="D1" s="64"/>
      <c r="E1" s="64"/>
      <c r="F1" s="64"/>
      <c r="G1" s="64"/>
      <c r="H1" s="64"/>
    </row>
    <row r="2" spans="1:16" x14ac:dyDescent="0.25">
      <c r="A2" s="63" t="s">
        <v>314</v>
      </c>
      <c r="B2" s="64"/>
      <c r="C2" s="64"/>
      <c r="D2" s="64"/>
      <c r="E2" s="64"/>
      <c r="F2" s="64"/>
      <c r="G2" s="64"/>
      <c r="H2" s="64"/>
    </row>
    <row r="3" spans="1:16" x14ac:dyDescent="0.25">
      <c r="A3" s="63"/>
      <c r="B3" s="64"/>
      <c r="C3" s="64"/>
      <c r="D3" s="64"/>
      <c r="E3" s="64"/>
      <c r="F3" s="64"/>
      <c r="G3" s="64"/>
      <c r="H3" s="64"/>
    </row>
    <row r="4" spans="1:16" x14ac:dyDescent="0.25">
      <c r="A4" s="63"/>
      <c r="B4" s="64"/>
      <c r="C4" s="64"/>
      <c r="D4" s="66" t="s">
        <v>21</v>
      </c>
      <c r="F4" s="67" t="s">
        <v>22</v>
      </c>
      <c r="G4" s="67" t="s">
        <v>23</v>
      </c>
      <c r="H4" s="67" t="s">
        <v>24</v>
      </c>
    </row>
    <row r="5" spans="1:16" x14ac:dyDescent="0.25">
      <c r="A5" s="63"/>
      <c r="B5" s="64"/>
      <c r="C5" s="64"/>
      <c r="F5" s="68"/>
      <c r="G5" s="67" t="s">
        <v>315</v>
      </c>
      <c r="H5" s="67" t="s">
        <v>316</v>
      </c>
    </row>
    <row r="6" spans="1:16" ht="30" x14ac:dyDescent="0.25">
      <c r="A6" s="63"/>
      <c r="B6" s="64"/>
      <c r="C6" s="64"/>
      <c r="D6" s="69" t="s">
        <v>317</v>
      </c>
      <c r="E6" s="70"/>
      <c r="F6" s="71" t="s">
        <v>318</v>
      </c>
      <c r="G6" s="71" t="s">
        <v>319</v>
      </c>
      <c r="H6" s="71" t="s">
        <v>320</v>
      </c>
    </row>
    <row r="7" spans="1:16" x14ac:dyDescent="0.25">
      <c r="A7" s="63"/>
      <c r="B7" s="64"/>
      <c r="C7" s="64"/>
      <c r="D7" s="72">
        <f>D35*1000</f>
        <v>30131974.842966627</v>
      </c>
      <c r="E7" s="73"/>
      <c r="F7" s="72">
        <f>H35*1000</f>
        <v>-25406036.000007723</v>
      </c>
      <c r="G7" s="72">
        <f>D7+F7</f>
        <v>4725938.8429589048</v>
      </c>
      <c r="H7" s="72">
        <f>G7*10</f>
        <v>47259388.429589048</v>
      </c>
    </row>
    <row r="8" spans="1:16" x14ac:dyDescent="0.25">
      <c r="A8" s="64"/>
      <c r="B8" s="348" t="s">
        <v>321</v>
      </c>
      <c r="C8" s="64"/>
      <c r="D8" s="67" t="s">
        <v>322</v>
      </c>
      <c r="E8" s="67"/>
      <c r="F8" s="67" t="s">
        <v>323</v>
      </c>
      <c r="G8" s="346">
        <f>35.55-31.76</f>
        <v>3.7899999999999956</v>
      </c>
      <c r="H8" s="347">
        <f>H7/G8</f>
        <v>12469495.627859922</v>
      </c>
    </row>
    <row r="9" spans="1:16" ht="60" x14ac:dyDescent="0.25">
      <c r="A9" s="64"/>
      <c r="B9" s="74" t="s">
        <v>1</v>
      </c>
      <c r="C9" s="75"/>
      <c r="D9" s="76" t="s">
        <v>324</v>
      </c>
      <c r="E9" s="77"/>
      <c r="F9" s="76" t="s">
        <v>325</v>
      </c>
      <c r="G9" s="71" t="s">
        <v>326</v>
      </c>
      <c r="H9" s="71" t="s">
        <v>327</v>
      </c>
      <c r="K9" s="329"/>
      <c r="L9" s="329"/>
      <c r="M9" s="329"/>
      <c r="N9" s="329"/>
      <c r="O9" s="329"/>
      <c r="P9" s="329"/>
    </row>
    <row r="10" spans="1:16" x14ac:dyDescent="0.25">
      <c r="A10" s="64"/>
      <c r="B10" s="78">
        <v>2026</v>
      </c>
      <c r="C10" s="78">
        <v>5</v>
      </c>
      <c r="D10" s="79">
        <v>2056.8867092033952</v>
      </c>
      <c r="E10" s="79"/>
      <c r="F10" s="80">
        <v>52910.400000000001</v>
      </c>
      <c r="G10" s="81">
        <v>11.267880765760912</v>
      </c>
      <c r="H10" s="79">
        <v>-596.18807846871618</v>
      </c>
      <c r="J10" s="82" t="s">
        <v>328</v>
      </c>
      <c r="N10" s="93"/>
      <c r="O10" s="93"/>
      <c r="P10" s="93"/>
    </row>
    <row r="11" spans="1:16" x14ac:dyDescent="0.25">
      <c r="A11" s="64"/>
      <c r="B11" s="78">
        <v>2027</v>
      </c>
      <c r="C11" s="78">
        <v>6</v>
      </c>
      <c r="D11" s="79">
        <v>2103.5780375023123</v>
      </c>
      <c r="E11" s="79"/>
      <c r="F11" s="80">
        <v>52910.400000000001</v>
      </c>
      <c r="G11" s="81">
        <v>11.900852063921018</v>
      </c>
      <c r="H11" s="79">
        <v>-629.67884304288668</v>
      </c>
      <c r="J11" s="302" t="s">
        <v>329</v>
      </c>
      <c r="N11" s="93"/>
      <c r="O11" s="93"/>
      <c r="P11" s="93"/>
    </row>
    <row r="12" spans="1:16" x14ac:dyDescent="0.25">
      <c r="A12" s="64"/>
      <c r="B12" s="78">
        <v>2028</v>
      </c>
      <c r="C12" s="78">
        <v>7</v>
      </c>
      <c r="D12" s="79">
        <v>2151.3292589536145</v>
      </c>
      <c r="E12" s="79"/>
      <c r="F12" s="80">
        <v>52910.400000000001</v>
      </c>
      <c r="G12" s="81">
        <v>31.954868946147116</v>
      </c>
      <c r="H12" s="79">
        <v>-1690.7448978882226</v>
      </c>
      <c r="J12" s="82" t="s">
        <v>330</v>
      </c>
      <c r="N12" s="93"/>
      <c r="O12" s="93"/>
      <c r="P12" s="93"/>
    </row>
    <row r="13" spans="1:16" x14ac:dyDescent="0.25">
      <c r="A13" s="64"/>
      <c r="B13" s="78">
        <v>2029</v>
      </c>
      <c r="C13" s="78">
        <v>8</v>
      </c>
      <c r="D13" s="79">
        <v>2200.1644331318616</v>
      </c>
      <c r="E13" s="79"/>
      <c r="F13" s="80">
        <v>52910.400000000001</v>
      </c>
      <c r="G13" s="81">
        <v>31.617029298554865</v>
      </c>
      <c r="H13" s="79">
        <v>-1672.8696669982573</v>
      </c>
      <c r="J13" s="83" t="s">
        <v>331</v>
      </c>
    </row>
    <row r="14" spans="1:16" x14ac:dyDescent="0.25">
      <c r="A14" s="64"/>
      <c r="B14" s="78">
        <v>2030</v>
      </c>
      <c r="C14" s="78">
        <v>9</v>
      </c>
      <c r="D14" s="79">
        <v>2250.1081657639543</v>
      </c>
      <c r="E14" s="79"/>
      <c r="F14" s="80">
        <v>52910.400000000001</v>
      </c>
      <c r="G14" s="81">
        <v>36.132139840545996</v>
      </c>
      <c r="H14" s="79">
        <v>-1911.7659718192249</v>
      </c>
    </row>
    <row r="15" spans="1:16" x14ac:dyDescent="0.25">
      <c r="A15" s="64"/>
      <c r="B15" s="78">
        <v>2031</v>
      </c>
      <c r="C15" s="78">
        <v>10</v>
      </c>
      <c r="D15" s="79">
        <v>2301.1856211267959</v>
      </c>
      <c r="E15" s="79"/>
      <c r="F15" s="80">
        <v>52910.400000000001</v>
      </c>
      <c r="G15" s="81">
        <v>40.562817904200948</v>
      </c>
      <c r="H15" s="79">
        <v>-2146.1949204384341</v>
      </c>
    </row>
    <row r="16" spans="1:16" x14ac:dyDescent="0.25">
      <c r="A16" s="64"/>
      <c r="B16" s="78">
        <v>2032</v>
      </c>
      <c r="C16" s="78">
        <v>11</v>
      </c>
      <c r="D16" s="79">
        <v>2353.4225347263741</v>
      </c>
      <c r="E16" s="79"/>
      <c r="F16" s="80">
        <v>52910.400000000001</v>
      </c>
      <c r="G16" s="81">
        <v>29.215059910225079</v>
      </c>
      <c r="H16" s="79">
        <v>-1545.780505873973</v>
      </c>
    </row>
    <row r="17" spans="1:10" x14ac:dyDescent="0.25">
      <c r="A17" s="64"/>
      <c r="B17" s="78">
        <v>2033</v>
      </c>
      <c r="C17" s="78">
        <v>12</v>
      </c>
      <c r="D17" s="79">
        <v>2406.8452262646624</v>
      </c>
      <c r="E17" s="79"/>
      <c r="F17" s="80">
        <v>52910.400000000001</v>
      </c>
      <c r="G17" s="81">
        <v>25.698855761154839</v>
      </c>
      <c r="H17" s="79">
        <v>-1359.7367378650069</v>
      </c>
    </row>
    <row r="18" spans="1:10" x14ac:dyDescent="0.25">
      <c r="A18" s="64"/>
      <c r="B18" s="78">
        <v>2034</v>
      </c>
      <c r="C18" s="78">
        <v>13</v>
      </c>
      <c r="D18" s="79">
        <v>2461.4806129008703</v>
      </c>
      <c r="E18" s="79"/>
      <c r="F18" s="80">
        <v>52910.400000000001</v>
      </c>
      <c r="G18" s="81">
        <v>25.021188080263769</v>
      </c>
      <c r="H18" s="79">
        <v>-1323.8810698019881</v>
      </c>
    </row>
    <row r="19" spans="1:10" x14ac:dyDescent="0.25">
      <c r="A19" s="64"/>
      <c r="B19" s="78">
        <v>2035</v>
      </c>
      <c r="C19" s="78">
        <v>14</v>
      </c>
      <c r="D19" s="79">
        <v>2517.3562228137198</v>
      </c>
      <c r="E19" s="79"/>
      <c r="F19" s="80">
        <v>52910.400000000001</v>
      </c>
      <c r="G19" s="81">
        <v>56.50706712681302</v>
      </c>
      <c r="H19" s="79">
        <v>-2989.8115245065273</v>
      </c>
    </row>
    <row r="20" spans="1:10" x14ac:dyDescent="0.25">
      <c r="A20" s="64"/>
      <c r="B20" s="78">
        <v>2036</v>
      </c>
      <c r="C20" s="78">
        <v>15</v>
      </c>
      <c r="D20" s="79">
        <v>2574.5002090715911</v>
      </c>
      <c r="E20" s="79"/>
      <c r="F20" s="80">
        <v>52910.400000000001</v>
      </c>
      <c r="G20" s="81">
        <v>64.285402009985134</v>
      </c>
      <c r="H20" s="79">
        <v>-3401.3663345091177</v>
      </c>
    </row>
    <row r="21" spans="1:10" x14ac:dyDescent="0.25">
      <c r="A21" s="64"/>
      <c r="B21" s="78">
        <v>2037</v>
      </c>
      <c r="C21" s="78">
        <v>16</v>
      </c>
      <c r="D21" s="79">
        <v>2632.941363817516</v>
      </c>
      <c r="E21" s="79"/>
      <c r="F21" s="80">
        <v>52910.400000000001</v>
      </c>
      <c r="G21" s="81">
        <v>65.763638817374286</v>
      </c>
      <c r="H21" s="79">
        <v>-3479.5804352828004</v>
      </c>
    </row>
    <row r="22" spans="1:10" x14ac:dyDescent="0.25">
      <c r="A22" s="64"/>
      <c r="B22" s="78">
        <v>2038</v>
      </c>
      <c r="C22" s="78">
        <v>17</v>
      </c>
      <c r="D22" s="79">
        <v>2692.7091327761741</v>
      </c>
      <c r="E22" s="79"/>
      <c r="F22" s="80">
        <v>52910.400000000001</v>
      </c>
      <c r="G22" s="81">
        <v>67.95013926264042</v>
      </c>
      <c r="H22" s="79">
        <v>-3595.26904844201</v>
      </c>
    </row>
    <row r="23" spans="1:10" x14ac:dyDescent="0.25">
      <c r="A23" s="64"/>
      <c r="B23" s="78">
        <v>2039</v>
      </c>
      <c r="C23" s="78">
        <v>18</v>
      </c>
      <c r="D23" s="79">
        <v>2753.8336300901929</v>
      </c>
      <c r="E23" s="79"/>
      <c r="F23" s="80">
        <v>52910.400000000001</v>
      </c>
      <c r="G23" s="81">
        <v>49.136103326615277</v>
      </c>
      <c r="H23" s="79">
        <v>-2599.8108814525449</v>
      </c>
      <c r="J23" s="394" t="s">
        <v>332</v>
      </c>
    </row>
    <row r="24" spans="1:10" x14ac:dyDescent="0.25">
      <c r="A24" s="64"/>
      <c r="B24" s="78">
        <v>2040</v>
      </c>
      <c r="C24" s="78">
        <v>19</v>
      </c>
      <c r="D24" s="79">
        <v>2816.3456534932398</v>
      </c>
      <c r="E24" s="79"/>
      <c r="F24" s="80">
        <v>52910.400000000001</v>
      </c>
      <c r="G24" s="81">
        <v>50.251492872351001</v>
      </c>
      <c r="H24" s="79">
        <v>-2658.8265884732405</v>
      </c>
    </row>
    <row r="25" spans="1:10" x14ac:dyDescent="0.25">
      <c r="A25" s="64"/>
      <c r="B25" s="78">
        <v>2041</v>
      </c>
      <c r="C25" s="78">
        <v>20</v>
      </c>
      <c r="D25" s="79">
        <v>2880.2766998275365</v>
      </c>
      <c r="E25" s="79"/>
      <c r="F25" s="80">
        <v>52910.400000000001</v>
      </c>
      <c r="G25" s="81">
        <v>51.392201760779955</v>
      </c>
      <c r="H25" s="79">
        <v>-2719.181952043572</v>
      </c>
    </row>
    <row r="26" spans="1:10" x14ac:dyDescent="0.25">
      <c r="A26" s="64"/>
      <c r="B26" s="78">
        <v>2042</v>
      </c>
      <c r="C26" s="78">
        <v>21</v>
      </c>
      <c r="D26" s="79">
        <v>2945.6589809136212</v>
      </c>
      <c r="E26" s="79"/>
      <c r="F26" s="80">
        <v>52910.400000000001</v>
      </c>
      <c r="G26" s="81">
        <v>52.558804740981387</v>
      </c>
      <c r="H26" s="79">
        <v>-2780.9073823672215</v>
      </c>
    </row>
    <row r="27" spans="1:10" x14ac:dyDescent="0.25">
      <c r="A27" s="64"/>
      <c r="B27" s="78">
        <v>2043</v>
      </c>
      <c r="C27" s="78">
        <v>22</v>
      </c>
      <c r="D27" s="79">
        <v>3012.5254397803606</v>
      </c>
      <c r="E27" s="79"/>
      <c r="F27" s="80">
        <v>52910.400000000001</v>
      </c>
      <c r="G27" s="81">
        <v>53.751889608838653</v>
      </c>
      <c r="H27" s="79">
        <v>-2844.0339799594967</v>
      </c>
    </row>
    <row r="28" spans="1:10" x14ac:dyDescent="0.25">
      <c r="A28" s="64"/>
      <c r="B28" s="78">
        <v>2044</v>
      </c>
      <c r="C28" s="78">
        <v>23</v>
      </c>
      <c r="D28" s="79">
        <v>3080.9097672633748</v>
      </c>
      <c r="E28" s="79"/>
      <c r="F28" s="80">
        <v>52910.400000000001</v>
      </c>
      <c r="G28" s="81">
        <v>54.972057503201654</v>
      </c>
      <c r="H28" s="79">
        <v>-2908.5935513174009</v>
      </c>
    </row>
    <row r="29" spans="1:10" x14ac:dyDescent="0.25">
      <c r="A29" s="64"/>
      <c r="B29" s="78">
        <v>2045</v>
      </c>
      <c r="C29" s="78">
        <v>24</v>
      </c>
      <c r="D29" s="79">
        <v>3150.846418980253</v>
      </c>
      <c r="E29" s="79"/>
      <c r="F29" s="80">
        <v>52910.400000000001</v>
      </c>
      <c r="G29" s="81">
        <v>56.219923208772201</v>
      </c>
      <c r="H29" s="79">
        <v>-2974.6186249454208</v>
      </c>
    </row>
    <row r="30" spans="1:10" x14ac:dyDescent="0.25">
      <c r="A30" s="64"/>
      <c r="B30" s="78">
        <v>2046</v>
      </c>
      <c r="C30" s="78">
        <v>25</v>
      </c>
      <c r="D30" s="79">
        <v>3222.3706326911038</v>
      </c>
      <c r="E30" s="79"/>
      <c r="F30" s="80">
        <v>52910.400000000001</v>
      </c>
      <c r="G30" s="81">
        <v>57.496115465864825</v>
      </c>
      <c r="H30" s="79">
        <v>-3042.1424677450946</v>
      </c>
    </row>
    <row r="31" spans="1:10" x14ac:dyDescent="0.25">
      <c r="A31" s="64"/>
      <c r="B31" s="78">
        <v>2047</v>
      </c>
      <c r="C31" s="78">
        <v>26</v>
      </c>
      <c r="D31" s="79">
        <v>3295.5184460531914</v>
      </c>
      <c r="E31" s="79"/>
      <c r="F31" s="80">
        <v>52910.400000000001</v>
      </c>
      <c r="G31" s="81">
        <v>58.801277287199206</v>
      </c>
      <c r="H31" s="79">
        <v>-3111.199101776625</v>
      </c>
    </row>
    <row r="32" spans="1:10" x14ac:dyDescent="0.25">
      <c r="A32" s="64"/>
      <c r="B32" s="78">
        <v>2048</v>
      </c>
      <c r="C32" s="78">
        <v>27</v>
      </c>
      <c r="D32" s="79">
        <v>3370.3267147785996</v>
      </c>
      <c r="E32" s="79"/>
      <c r="F32" s="80">
        <v>52910.400000000001</v>
      </c>
      <c r="G32" s="81">
        <v>60.136066281883764</v>
      </c>
      <c r="H32" s="79">
        <v>-3181.8233214009829</v>
      </c>
    </row>
    <row r="33" spans="1:9" x14ac:dyDescent="0.25">
      <c r="A33" s="64"/>
      <c r="B33" s="78">
        <v>2049</v>
      </c>
      <c r="C33" s="78">
        <v>28</v>
      </c>
      <c r="D33" s="79">
        <v>3446.8331312040732</v>
      </c>
      <c r="E33" s="79"/>
      <c r="F33" s="80">
        <v>52910.400000000001</v>
      </c>
      <c r="G33" s="81">
        <v>61.501154986753676</v>
      </c>
      <c r="H33" s="79">
        <v>-3254.0507108111315</v>
      </c>
    </row>
    <row r="34" spans="1:9" x14ac:dyDescent="0.25">
      <c r="A34" s="64"/>
      <c r="B34" s="78">
        <v>2050</v>
      </c>
      <c r="C34" s="78">
        <v>29</v>
      </c>
      <c r="D34" s="79">
        <v>3525.0762432824063</v>
      </c>
      <c r="E34" s="79"/>
      <c r="F34" s="80">
        <v>52910.400000000001</v>
      </c>
      <c r="G34" s="81">
        <v>62.897231205230291</v>
      </c>
      <c r="H34" s="79">
        <v>-3327.9176619612172</v>
      </c>
    </row>
    <row r="35" spans="1:9" x14ac:dyDescent="0.25">
      <c r="A35" s="63"/>
      <c r="B35" s="84" t="s">
        <v>333</v>
      </c>
      <c r="C35" s="85"/>
      <c r="D35" s="86">
        <v>30131.974842966629</v>
      </c>
      <c r="E35" s="86"/>
      <c r="F35" s="87">
        <v>629584.88857544167</v>
      </c>
      <c r="G35" s="88"/>
      <c r="H35" s="86">
        <v>-25406.036000007723</v>
      </c>
      <c r="I35" s="89"/>
    </row>
    <row r="37" spans="1:9" x14ac:dyDescent="0.25">
      <c r="B37" s="90"/>
      <c r="C37" s="91"/>
      <c r="D37" s="91"/>
      <c r="E37" s="91"/>
      <c r="F37" s="91"/>
      <c r="G37" s="90"/>
    </row>
    <row r="38" spans="1:9" x14ac:dyDescent="0.25">
      <c r="B38" s="343"/>
      <c r="C38" s="344"/>
      <c r="D38" s="345"/>
      <c r="G38" s="92"/>
      <c r="I38" s="93"/>
    </row>
    <row r="39" spans="1:9" x14ac:dyDescent="0.25">
      <c r="D39" s="93"/>
      <c r="H39" s="310"/>
      <c r="I39" s="310"/>
    </row>
    <row r="40" spans="1:9" x14ac:dyDescent="0.25">
      <c r="B40" s="92"/>
      <c r="D40" s="93"/>
      <c r="H40" s="310"/>
      <c r="I40" s="310"/>
    </row>
    <row r="41" spans="1:9" x14ac:dyDescent="0.25">
      <c r="B41" s="93"/>
      <c r="H41" s="310"/>
      <c r="I41" s="310"/>
    </row>
    <row r="42" spans="1:9" x14ac:dyDescent="0.25">
      <c r="B42" s="93"/>
    </row>
    <row r="43" spans="1:9" x14ac:dyDescent="0.25">
      <c r="B43" s="93"/>
    </row>
  </sheetData>
  <hyperlinks>
    <hyperlink ref="J13" r:id="rId1" location="page=14" xr:uid="{463B8C1C-48EE-4158-89BC-B7FDBA1617B5}"/>
    <hyperlink ref="J11" r:id="rId2" location="page=188" xr:uid="{E05D7DFE-4B12-493A-8AD7-C2B3E3D71B82}"/>
  </hyperlinks>
  <pageMargins left="0.7" right="0.7" top="0.75" bottom="0.75" header="0.3" footer="0.3"/>
  <pageSetup scale="65"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941F2-0840-4A04-916E-FE17EF8AC8C7}">
  <sheetPr>
    <tabColor rgb="FFFFC000"/>
  </sheetPr>
  <dimension ref="B6:H33"/>
  <sheetViews>
    <sheetView zoomScale="130" zoomScaleNormal="130" workbookViewId="0">
      <selection activeCell="H28" sqref="H28"/>
    </sheetView>
  </sheetViews>
  <sheetFormatPr defaultRowHeight="15" x14ac:dyDescent="0.25"/>
  <cols>
    <col min="2" max="2" width="17.5703125" customWidth="1"/>
    <col min="3" max="3" width="13.42578125" customWidth="1"/>
    <col min="4" max="4" width="14.140625" bestFit="1" customWidth="1"/>
    <col min="5" max="5" width="12.5703125" customWidth="1"/>
    <col min="6" max="6" width="35.140625" customWidth="1"/>
    <col min="7" max="7" width="28.42578125" customWidth="1"/>
    <col min="8" max="8" width="20.42578125" customWidth="1"/>
  </cols>
  <sheetData>
    <row r="6" spans="2:6" x14ac:dyDescent="0.25">
      <c r="B6" s="42" t="s">
        <v>334</v>
      </c>
    </row>
    <row r="7" spans="2:6" x14ac:dyDescent="0.25">
      <c r="B7" t="s">
        <v>335</v>
      </c>
      <c r="C7" t="s">
        <v>336</v>
      </c>
      <c r="D7" t="s">
        <v>337</v>
      </c>
      <c r="E7" t="s">
        <v>338</v>
      </c>
      <c r="F7" t="s">
        <v>339</v>
      </c>
    </row>
    <row r="8" spans="2:6" x14ac:dyDescent="0.25">
      <c r="B8" s="313">
        <v>45287</v>
      </c>
      <c r="C8">
        <v>38</v>
      </c>
      <c r="D8" t="s">
        <v>340</v>
      </c>
      <c r="E8">
        <v>37.729999999999997</v>
      </c>
      <c r="F8" t="s">
        <v>341</v>
      </c>
    </row>
    <row r="9" spans="2:6" x14ac:dyDescent="0.25">
      <c r="B9" s="313">
        <v>45377</v>
      </c>
      <c r="C9">
        <v>38</v>
      </c>
      <c r="D9" t="s">
        <v>340</v>
      </c>
      <c r="E9">
        <v>38</v>
      </c>
      <c r="F9" t="s">
        <v>342</v>
      </c>
    </row>
    <row r="10" spans="2:6" x14ac:dyDescent="0.25">
      <c r="B10" s="313">
        <v>45469</v>
      </c>
      <c r="C10">
        <v>38</v>
      </c>
      <c r="D10" t="s">
        <v>340</v>
      </c>
      <c r="E10">
        <v>29.71</v>
      </c>
      <c r="F10" t="s">
        <v>343</v>
      </c>
    </row>
    <row r="11" spans="2:6" x14ac:dyDescent="0.25">
      <c r="B11" s="313">
        <v>45567</v>
      </c>
      <c r="C11">
        <v>38</v>
      </c>
      <c r="D11" t="s">
        <v>340</v>
      </c>
      <c r="E11">
        <v>36.67</v>
      </c>
      <c r="F11" t="s">
        <v>344</v>
      </c>
    </row>
    <row r="12" spans="2:6" x14ac:dyDescent="0.25">
      <c r="D12" s="292" t="s">
        <v>345</v>
      </c>
      <c r="E12" s="150">
        <f>ROUND(AVERAGE(E8:E11),0)</f>
        <v>36</v>
      </c>
    </row>
    <row r="13" spans="2:6" x14ac:dyDescent="0.25">
      <c r="D13" s="292"/>
      <c r="E13" s="150"/>
    </row>
    <row r="14" spans="2:6" x14ac:dyDescent="0.25">
      <c r="B14" s="42" t="s">
        <v>346</v>
      </c>
    </row>
    <row r="15" spans="2:6" x14ac:dyDescent="0.25">
      <c r="B15" t="s">
        <v>347</v>
      </c>
      <c r="C15" t="s">
        <v>348</v>
      </c>
      <c r="D15" t="s">
        <v>349</v>
      </c>
      <c r="E15" t="s">
        <v>350</v>
      </c>
      <c r="F15" t="s">
        <v>339</v>
      </c>
    </row>
    <row r="16" spans="2:6" x14ac:dyDescent="0.25">
      <c r="B16">
        <v>2023</v>
      </c>
      <c r="C16" t="s">
        <v>351</v>
      </c>
      <c r="D16">
        <v>20</v>
      </c>
      <c r="E16">
        <v>41.45</v>
      </c>
      <c r="F16" t="s">
        <v>352</v>
      </c>
    </row>
    <row r="17" spans="2:8" x14ac:dyDescent="0.25">
      <c r="B17">
        <v>2023</v>
      </c>
      <c r="C17" t="s">
        <v>353</v>
      </c>
      <c r="D17">
        <v>20</v>
      </c>
      <c r="E17">
        <v>41.33</v>
      </c>
      <c r="F17" t="s">
        <v>352</v>
      </c>
    </row>
    <row r="18" spans="2:8" x14ac:dyDescent="0.25">
      <c r="B18">
        <v>2023</v>
      </c>
      <c r="C18" t="s">
        <v>354</v>
      </c>
      <c r="D18">
        <v>20</v>
      </c>
      <c r="E18">
        <v>35.549999999999997</v>
      </c>
      <c r="F18" t="s">
        <v>352</v>
      </c>
    </row>
    <row r="19" spans="2:8" x14ac:dyDescent="0.25">
      <c r="B19">
        <v>2023</v>
      </c>
      <c r="C19" t="s">
        <v>354</v>
      </c>
      <c r="D19">
        <v>200</v>
      </c>
      <c r="E19">
        <v>30.35</v>
      </c>
      <c r="F19" t="s">
        <v>352</v>
      </c>
    </row>
    <row r="20" spans="2:8" x14ac:dyDescent="0.25">
      <c r="B20">
        <v>2023</v>
      </c>
      <c r="C20" t="s">
        <v>355</v>
      </c>
      <c r="D20">
        <v>200</v>
      </c>
      <c r="E20">
        <v>33.85</v>
      </c>
      <c r="F20" t="s">
        <v>352</v>
      </c>
    </row>
    <row r="21" spans="2:8" x14ac:dyDescent="0.25">
      <c r="B21">
        <v>2023</v>
      </c>
      <c r="C21" t="s">
        <v>356</v>
      </c>
      <c r="D21">
        <v>200</v>
      </c>
      <c r="E21">
        <v>39.590000000000003</v>
      </c>
      <c r="F21" t="s">
        <v>352</v>
      </c>
    </row>
    <row r="22" spans="2:8" x14ac:dyDescent="0.25">
      <c r="C22" s="290"/>
      <c r="D22" s="292" t="s">
        <v>345</v>
      </c>
      <c r="E22" s="150">
        <f>ROUND(AVERAGE(E16:E21),0)</f>
        <v>37</v>
      </c>
    </row>
    <row r="23" spans="2:8" x14ac:dyDescent="0.25">
      <c r="C23" s="290"/>
      <c r="D23" s="292"/>
      <c r="E23" s="150"/>
    </row>
    <row r="24" spans="2:8" x14ac:dyDescent="0.25">
      <c r="B24" s="42" t="s">
        <v>357</v>
      </c>
    </row>
    <row r="25" spans="2:8" ht="60" x14ac:dyDescent="0.25">
      <c r="B25" s="150"/>
      <c r="C25" s="44" t="s">
        <v>358</v>
      </c>
      <c r="D25" s="44" t="s">
        <v>359</v>
      </c>
      <c r="E25" s="44" t="s">
        <v>360</v>
      </c>
      <c r="F25" s="44" t="s">
        <v>32</v>
      </c>
      <c r="G25" s="289"/>
      <c r="H25" s="289"/>
    </row>
    <row r="26" spans="2:8" ht="45" x14ac:dyDescent="0.25">
      <c r="B26" s="314" t="s">
        <v>361</v>
      </c>
      <c r="C26" s="315">
        <f>ROUND(MIN(E16:E21),0)</f>
        <v>30</v>
      </c>
      <c r="D26" s="315">
        <f>ROUND(MAX(E8:E11),0)</f>
        <v>38</v>
      </c>
      <c r="E26" s="316">
        <f>E27*1.1</f>
        <v>3152.6000000000004</v>
      </c>
      <c r="F26" s="317" t="s">
        <v>362</v>
      </c>
    </row>
    <row r="27" spans="2:8" ht="45" x14ac:dyDescent="0.25">
      <c r="B27" s="314" t="s">
        <v>363</v>
      </c>
      <c r="C27" s="318">
        <f>E22</f>
        <v>37</v>
      </c>
      <c r="D27" s="318">
        <f>E12</f>
        <v>36</v>
      </c>
      <c r="E27" s="393">
        <f>ROUND('[3]A1 5 100MW solar'!D13/1000,0)</f>
        <v>2866</v>
      </c>
      <c r="F27" s="317" t="s">
        <v>364</v>
      </c>
    </row>
    <row r="28" spans="2:8" ht="45" x14ac:dyDescent="0.25">
      <c r="B28" s="314" t="s">
        <v>365</v>
      </c>
      <c r="C28" s="315">
        <f>ROUND(MAX(E16:E21),0)</f>
        <v>41</v>
      </c>
      <c r="D28" s="315">
        <f>ROUND(MIN(E8:E11),0)</f>
        <v>30</v>
      </c>
      <c r="E28" s="316">
        <f>E27*0.9</f>
        <v>2579.4</v>
      </c>
      <c r="F28" s="317" t="s">
        <v>366</v>
      </c>
    </row>
    <row r="33" spans="3:4" x14ac:dyDescent="0.25">
      <c r="C33" s="60"/>
      <c r="D33" s="56"/>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F6799-AB64-4456-A0E4-A45C9794DBA0}">
  <sheetPr>
    <tabColor rgb="FFC00000"/>
  </sheetPr>
  <dimension ref="B3:F27"/>
  <sheetViews>
    <sheetView zoomScaleNormal="100" workbookViewId="0">
      <selection activeCell="F22" sqref="F22"/>
    </sheetView>
  </sheetViews>
  <sheetFormatPr defaultRowHeight="15" x14ac:dyDescent="0.25"/>
  <cols>
    <col min="2" max="2" width="60.7109375" customWidth="1"/>
    <col min="3" max="3" width="17.85546875" customWidth="1"/>
    <col min="4" max="4" width="13.85546875" customWidth="1"/>
    <col min="5" max="5" width="15.42578125" customWidth="1"/>
    <col min="6" max="6" width="16.140625" customWidth="1"/>
    <col min="9" max="9" width="12.140625" customWidth="1"/>
  </cols>
  <sheetData>
    <row r="3" spans="2:5" ht="21" x14ac:dyDescent="0.35">
      <c r="B3" s="152" t="s">
        <v>367</v>
      </c>
    </row>
    <row r="4" spans="2:5" ht="20.25" customHeight="1" x14ac:dyDescent="0.35">
      <c r="B4" s="153"/>
    </row>
    <row r="5" spans="2:5" x14ac:dyDescent="0.25">
      <c r="B5" s="154" t="s">
        <v>368</v>
      </c>
      <c r="C5" s="349">
        <f>SUM(C17+F22)</f>
        <v>356125.52999999997</v>
      </c>
      <c r="D5" s="155"/>
      <c r="E5" s="155"/>
    </row>
    <row r="6" spans="2:5" x14ac:dyDescent="0.25">
      <c r="B6" s="156"/>
      <c r="C6" s="156"/>
      <c r="D6" s="155"/>
      <c r="E6" s="155"/>
    </row>
    <row r="7" spans="2:5" x14ac:dyDescent="0.25">
      <c r="B7" s="157" t="s">
        <v>369</v>
      </c>
    </row>
    <row r="8" spans="2:5" x14ac:dyDescent="0.25">
      <c r="B8" s="158" t="s">
        <v>370</v>
      </c>
    </row>
    <row r="9" spans="2:5" x14ac:dyDescent="0.25">
      <c r="B9" t="s">
        <v>371</v>
      </c>
    </row>
    <row r="10" spans="2:5" x14ac:dyDescent="0.25">
      <c r="B10" t="s">
        <v>372</v>
      </c>
    </row>
    <row r="11" spans="2:5" ht="15.75" thickBot="1" x14ac:dyDescent="0.3"/>
    <row r="12" spans="2:5" ht="16.5" thickBot="1" x14ac:dyDescent="0.3">
      <c r="B12" s="159" t="s">
        <v>373</v>
      </c>
    </row>
    <row r="13" spans="2:5" ht="16.5" thickBot="1" x14ac:dyDescent="0.3">
      <c r="B13" s="159" t="s">
        <v>374</v>
      </c>
      <c r="C13" s="160" t="s">
        <v>375</v>
      </c>
    </row>
    <row r="14" spans="2:5" ht="16.5" thickBot="1" x14ac:dyDescent="0.3">
      <c r="B14" s="161" t="s">
        <v>376</v>
      </c>
      <c r="C14" s="162">
        <v>0</v>
      </c>
    </row>
    <row r="15" spans="2:5" ht="16.5" thickBot="1" x14ac:dyDescent="0.3">
      <c r="B15" s="161" t="s">
        <v>377</v>
      </c>
      <c r="C15" s="162">
        <v>3750</v>
      </c>
    </row>
    <row r="16" spans="2:5" ht="16.5" thickBot="1" x14ac:dyDescent="0.3">
      <c r="B16" s="161" t="s">
        <v>378</v>
      </c>
      <c r="C16" s="162">
        <v>300</v>
      </c>
    </row>
    <row r="17" spans="2:6" ht="16.5" thickBot="1" x14ac:dyDescent="0.3">
      <c r="B17" s="163" t="s">
        <v>309</v>
      </c>
      <c r="C17" s="164">
        <f>SUM(C14:C16)</f>
        <v>4050</v>
      </c>
    </row>
    <row r="19" spans="2:6" ht="92.1" customHeight="1" x14ac:dyDescent="0.25">
      <c r="B19" s="165" t="s">
        <v>379</v>
      </c>
      <c r="C19" s="166" t="s">
        <v>380</v>
      </c>
      <c r="D19" s="166" t="s">
        <v>381</v>
      </c>
      <c r="E19" s="166" t="s">
        <v>382</v>
      </c>
      <c r="F19" s="166" t="s">
        <v>383</v>
      </c>
    </row>
    <row r="20" spans="2:6" x14ac:dyDescent="0.25">
      <c r="B20" s="167" t="s">
        <v>384</v>
      </c>
      <c r="C20" s="137">
        <v>82659.5</v>
      </c>
      <c r="D20" s="137">
        <v>33721.49</v>
      </c>
      <c r="E20" s="137">
        <v>3704.54</v>
      </c>
      <c r="F20" s="137">
        <f>SUM(C20:E20)</f>
        <v>120085.52999999998</v>
      </c>
    </row>
    <row r="21" spans="2:6" ht="15.75" thickBot="1" x14ac:dyDescent="0.3">
      <c r="B21" s="167" t="s">
        <v>385</v>
      </c>
      <c r="C21" s="143">
        <v>159600</v>
      </c>
      <c r="D21" s="143">
        <v>65550</v>
      </c>
      <c r="E21" s="143">
        <v>6840</v>
      </c>
      <c r="F21" s="144">
        <v>231990</v>
      </c>
    </row>
    <row r="22" spans="2:6" ht="15.75" thickBot="1" x14ac:dyDescent="0.3">
      <c r="B22" s="168" t="s">
        <v>274</v>
      </c>
      <c r="C22" s="147">
        <f>SUM(C20:C21)</f>
        <v>242259.5</v>
      </c>
      <c r="D22" s="148">
        <f>SUM(D20:D21)</f>
        <v>99271.489999999991</v>
      </c>
      <c r="E22" s="148">
        <f>SUM(E20:E21)</f>
        <v>10544.54</v>
      </c>
      <c r="F22" s="149">
        <f>SUM(F20:F21)</f>
        <v>352075.52999999997</v>
      </c>
    </row>
    <row r="27" spans="2:6" x14ac:dyDescent="0.25">
      <c r="D27" s="169"/>
      <c r="E27" s="169"/>
    </row>
  </sheetData>
  <pageMargins left="0.7" right="0.7" top="0.75" bottom="0.75" header="0.3" footer="0.3"/>
  <pageSetup scale="64"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68BA5B0B14C824AA97E22A76F0BCBA5" ma:contentTypeVersion="4" ma:contentTypeDescription="Create a new document." ma:contentTypeScope="" ma:versionID="312b71cb00cb6d75e64b94288050dfb0">
  <xsd:schema xmlns:xsd="http://www.w3.org/2001/XMLSchema" xmlns:xs="http://www.w3.org/2001/XMLSchema" xmlns:p="http://schemas.microsoft.com/office/2006/metadata/properties" xmlns:ns2="98ccc215-0258-4042-881f-4333d6ca4357" targetNamespace="http://schemas.microsoft.com/office/2006/metadata/properties" ma:root="true" ma:fieldsID="93c5e76ece5818ee51d3ac0b2f60bbf4" ns2:_="">
    <xsd:import namespace="98ccc215-0258-4042-881f-4333d6ca435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ccc215-0258-4042-881f-4333d6ca43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7C3164-B664-47C6-B45A-E1F404561A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ccc215-0258-4042-881f-4333d6ca43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3821E7-5DEE-4AEE-8336-8B084DE7F9C6}">
  <ds:schemaRefs>
    <ds:schemaRef ds:uri="http://schemas.microsoft.com/office/2006/documentManagement/types"/>
    <ds:schemaRef ds:uri="http://schemas.microsoft.com/office/2006/metadata/properties"/>
    <ds:schemaRef ds:uri="http://schemas.microsoft.com/office/infopath/2007/PartnerControls"/>
    <ds:schemaRef ds:uri="http://purl.org/dc/dcmitype/"/>
    <ds:schemaRef ds:uri="http://www.w3.org/XML/1998/namespace"/>
    <ds:schemaRef ds:uri="http://purl.org/dc/terms/"/>
    <ds:schemaRef ds:uri="http://schemas.openxmlformats.org/package/2006/metadata/core-properties"/>
    <ds:schemaRef ds:uri="98ccc215-0258-4042-881f-4333d6ca4357"/>
    <ds:schemaRef ds:uri="http://purl.org/dc/elements/1.1/"/>
  </ds:schemaRefs>
</ds:datastoreItem>
</file>

<file path=customXml/itemProps3.xml><?xml version="1.0" encoding="utf-8"?>
<ds:datastoreItem xmlns:ds="http://schemas.openxmlformats.org/officeDocument/2006/customXml" ds:itemID="{E48C2DB2-9BAB-4CAC-8C34-5AAC88D5D9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31</vt:i4>
      </vt:variant>
    </vt:vector>
  </HeadingPairs>
  <TitlesOfParts>
    <vt:vector size="44" baseType="lpstr">
      <vt:lpstr>I-Rate Calculation</vt:lpstr>
      <vt:lpstr>II-Program Costs</vt:lpstr>
      <vt:lpstr>III-Customer Load Calcs</vt:lpstr>
      <vt:lpstr>IIIa-Avg Res by Community</vt:lpstr>
      <vt:lpstr>IV-Attach UT CREA 8.2</vt:lpstr>
      <vt:lpstr>V-Attach UT CREA 8.1</vt:lpstr>
      <vt:lpstr>VI-Small UT Solar Premium</vt:lpstr>
      <vt:lpstr>VIa-Solar Costs &amp; Benefits</vt:lpstr>
      <vt:lpstr>VII-Estimates-9042024</vt:lpstr>
      <vt:lpstr>VIII-Postage&amp;print</vt:lpstr>
      <vt:lpstr>IX-DR 6.1 Adj for New Est</vt:lpstr>
      <vt:lpstr>X-Summary</vt:lpstr>
      <vt:lpstr>XI-Estimate</vt:lpstr>
      <vt:lpstr>'IX-DR 6.1 Adj for New Est'!_ftn1</vt:lpstr>
      <vt:lpstr>'IX-DR 6.1 Adj for New Est'!_ftn10</vt:lpstr>
      <vt:lpstr>'IX-DR 6.1 Adj for New Est'!_ftn11</vt:lpstr>
      <vt:lpstr>'IX-DR 6.1 Adj for New Est'!_ftn12</vt:lpstr>
      <vt:lpstr>'IX-DR 6.1 Adj for New Est'!_ftn13</vt:lpstr>
      <vt:lpstr>'IX-DR 6.1 Adj for New Est'!_ftn14</vt:lpstr>
      <vt:lpstr>'IX-DR 6.1 Adj for New Est'!_ftn15</vt:lpstr>
      <vt:lpstr>'IX-DR 6.1 Adj for New Est'!_ftn2</vt:lpstr>
      <vt:lpstr>'IX-DR 6.1 Adj for New Est'!_ftn3</vt:lpstr>
      <vt:lpstr>'IX-DR 6.1 Adj for New Est'!_ftn4</vt:lpstr>
      <vt:lpstr>'IX-DR 6.1 Adj for New Est'!_ftn5</vt:lpstr>
      <vt:lpstr>'IX-DR 6.1 Adj for New Est'!_ftn6</vt:lpstr>
      <vt:lpstr>'IX-DR 6.1 Adj for New Est'!_ftn7</vt:lpstr>
      <vt:lpstr>'IX-DR 6.1 Adj for New Est'!_ftn8</vt:lpstr>
      <vt:lpstr>'IX-DR 6.1 Adj for New Est'!_ftn9</vt:lpstr>
      <vt:lpstr>'IX-DR 6.1 Adj for New Est'!_ftnref1</vt:lpstr>
      <vt:lpstr>'IX-DR 6.1 Adj for New Est'!_ftnref10</vt:lpstr>
      <vt:lpstr>'IX-DR 6.1 Adj for New Est'!_ftnref11</vt:lpstr>
      <vt:lpstr>'IX-DR 6.1 Adj for New Est'!_ftnref12</vt:lpstr>
      <vt:lpstr>'IX-DR 6.1 Adj for New Est'!_ftnref13</vt:lpstr>
      <vt:lpstr>'IX-DR 6.1 Adj for New Est'!_ftnref14</vt:lpstr>
      <vt:lpstr>'IX-DR 6.1 Adj for New Est'!_ftnref15</vt:lpstr>
      <vt:lpstr>'IX-DR 6.1 Adj for New Est'!_ftnref2</vt:lpstr>
      <vt:lpstr>'IX-DR 6.1 Adj for New Est'!_ftnref3</vt:lpstr>
      <vt:lpstr>'IX-DR 6.1 Adj for New Est'!_ftnref6</vt:lpstr>
      <vt:lpstr>'IX-DR 6.1 Adj for New Est'!_ftnref7</vt:lpstr>
      <vt:lpstr>'IX-DR 6.1 Adj for New Est'!_ftnref8</vt:lpstr>
      <vt:lpstr>'IX-DR 6.1 Adj for New Est'!_ftnref9</vt:lpstr>
      <vt:lpstr>'IIIa-Avg Res by Community'!Print_Area</vt:lpstr>
      <vt:lpstr>'II-Program Costs'!Print_Area</vt:lpstr>
      <vt:lpstr>'XI-Estimate'!Print_Area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Christopher</dc:creator>
  <cp:keywords/>
  <dc:description/>
  <cp:lastModifiedBy>Fred Nass</cp:lastModifiedBy>
  <cp:revision/>
  <dcterms:created xsi:type="dcterms:W3CDTF">2024-11-04T17:03:26Z</dcterms:created>
  <dcterms:modified xsi:type="dcterms:W3CDTF">2025-06-04T22:16:52Z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0x010100E68BA5B0B14C824AA97E22A76F0BCBA5</vt:lpwstr>
  </property>
</Properties>
</file>