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Websites\Pscweb\utilities\electric\25docs\2503518\"/>
    </mc:Choice>
  </mc:AlternateContent>
  <xr:revisionPtr revIDLastSave="0" documentId="8_{E72809C2-2EA3-447E-99BF-5D3DAF216874}" xr6:coauthVersionLast="47" xr6:coauthVersionMax="47" xr10:uidLastSave="{00000000-0000-0000-0000-000000000000}"/>
  <bookViews>
    <workbookView xWindow="1245" yWindow="750" windowWidth="22560" windowHeight="19875" xr2:uid="{00000000-000D-0000-FFFF-FFFF00000000}"/>
  </bookViews>
  <sheets>
    <sheet name="Summary" sheetId="10" r:id="rId1"/>
    <sheet name="2017 Dashboard" sheetId="1" state="hidden" r:id="rId2"/>
    <sheet name="2018 Dashboard" sheetId="4" state="hidden" r:id="rId3"/>
    <sheet name="2019 Dashboard" sheetId="6" state="hidden" r:id="rId4"/>
    <sheet name="2020 Dashboard" sheetId="7" state="hidden" r:id="rId5"/>
    <sheet name="2021 Dashboard" sheetId="8" state="hidden" r:id="rId6"/>
    <sheet name="2022 Dashboard" sheetId="9" r:id="rId7"/>
    <sheet name="2023 Dashboard" sheetId="11" r:id="rId8"/>
    <sheet name="2024 Dashboard" sheetId="12" r:id="rId9"/>
    <sheet name="Solar Credits Donated" sheetId="5" r:id="rId10"/>
  </sheets>
  <definedNames>
    <definedName name="_xlnm.Print_Area" localSheetId="6">'2022 Dashboard'!$A$1:$P$100</definedName>
    <definedName name="_xlnm.Print_Area" localSheetId="7">'2023 Dashboard'!$A$1:$P$114</definedName>
    <definedName name="_xlnm.Print_Area" localSheetId="8">'2024 Dashboard'!$A$1:$P$129</definedName>
    <definedName name="_xlnm.Print_Area" localSheetId="0">Summary!$A$1:$W$38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6" i="9" l="1"/>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108" i="12"/>
  <c r="N92" i="12" l="1"/>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54" i="11"/>
  <c r="N55" i="11"/>
  <c r="N56" i="11"/>
  <c r="N57" i="11"/>
  <c r="N58" i="11"/>
  <c r="N59" i="11"/>
  <c r="N60" i="11"/>
  <c r="N61" i="11"/>
  <c r="N62" i="11"/>
  <c r="N63" i="11"/>
  <c r="N64" i="11"/>
  <c r="N65" i="11"/>
  <c r="N66" i="11"/>
  <c r="N41" i="11"/>
  <c r="N42" i="11"/>
  <c r="N43" i="11"/>
  <c r="N44" i="11"/>
  <c r="N45" i="11"/>
  <c r="N46" i="11"/>
  <c r="N47" i="11"/>
  <c r="N48" i="11"/>
  <c r="N49" i="11"/>
  <c r="N50" i="11"/>
  <c r="N51" i="11"/>
  <c r="N52" i="11"/>
  <c r="N53" i="11"/>
  <c r="N28" i="11"/>
  <c r="N29" i="11"/>
  <c r="N30" i="11"/>
  <c r="N31" i="11"/>
  <c r="N32" i="11"/>
  <c r="N33" i="11"/>
  <c r="N34" i="11"/>
  <c r="N35" i="11"/>
  <c r="N36" i="11"/>
  <c r="N37" i="11"/>
  <c r="N38" i="11"/>
  <c r="N39" i="11"/>
  <c r="N40" i="11"/>
  <c r="N27" i="11"/>
  <c r="N26" i="11"/>
  <c r="N25" i="11"/>
  <c r="C24" i="10" l="1"/>
  <c r="D25" i="10"/>
  <c r="D24" i="10"/>
  <c r="K20" i="10" l="1"/>
  <c r="K19" i="10"/>
  <c r="K18" i="10"/>
  <c r="K17" i="10"/>
  <c r="K16" i="10"/>
  <c r="K15" i="10"/>
  <c r="J20" i="10"/>
  <c r="J19" i="10"/>
  <c r="J18" i="10"/>
  <c r="J17" i="10"/>
  <c r="J16" i="10"/>
  <c r="J15" i="10"/>
  <c r="I20" i="10"/>
  <c r="I19" i="10"/>
  <c r="I18" i="10"/>
  <c r="I17" i="10"/>
  <c r="I16" i="10"/>
  <c r="I15" i="10"/>
  <c r="H19" i="10"/>
  <c r="H17" i="10"/>
  <c r="H16" i="10"/>
  <c r="H15" i="10"/>
  <c r="G17" i="10"/>
  <c r="G16" i="10"/>
  <c r="G15" i="10"/>
  <c r="K10" i="10"/>
  <c r="K9" i="10"/>
  <c r="I11" i="10"/>
  <c r="H11" i="10"/>
  <c r="G11" i="10"/>
  <c r="H18" i="10" l="1"/>
  <c r="H20" i="10" s="1"/>
  <c r="G18" i="10"/>
  <c r="G20" i="10" s="1"/>
  <c r="K104" i="12" l="1"/>
  <c r="K103" i="12"/>
  <c r="K102" i="12"/>
  <c r="K101" i="12"/>
  <c r="K100" i="12"/>
  <c r="K99" i="12"/>
  <c r="N94" i="11"/>
  <c r="K98" i="12"/>
  <c r="K97" i="12"/>
  <c r="K96" i="12"/>
  <c r="K95" i="12"/>
  <c r="L126" i="12" l="1"/>
  <c r="M124" i="12"/>
  <c r="M123" i="12"/>
  <c r="M122" i="12"/>
  <c r="M121" i="12"/>
  <c r="M120" i="12"/>
  <c r="M119" i="12"/>
  <c r="M118" i="12"/>
  <c r="M117" i="12"/>
  <c r="M116" i="12"/>
  <c r="M115" i="12"/>
  <c r="M114" i="12"/>
  <c r="K94" i="12"/>
  <c r="M113" i="12"/>
  <c r="K93" i="12"/>
  <c r="G104" i="12"/>
  <c r="L104" i="12" s="1"/>
  <c r="N104" i="12" s="1"/>
  <c r="G103" i="12"/>
  <c r="L103" i="12" s="1"/>
  <c r="N103" i="12" s="1"/>
  <c r="G102" i="12"/>
  <c r="L102" i="12" s="1"/>
  <c r="N102" i="12" s="1"/>
  <c r="G101" i="12"/>
  <c r="L101" i="12" s="1"/>
  <c r="N101" i="12" s="1"/>
  <c r="G100" i="12"/>
  <c r="L100" i="12" s="1"/>
  <c r="N100" i="12" s="1"/>
  <c r="G99" i="12"/>
  <c r="L99" i="12" s="1"/>
  <c r="N99" i="12" s="1"/>
  <c r="G98" i="12"/>
  <c r="L98" i="12" s="1"/>
  <c r="N98" i="12" s="1"/>
  <c r="G97" i="12"/>
  <c r="L97" i="12" s="1"/>
  <c r="N97" i="12" s="1"/>
  <c r="G96" i="12"/>
  <c r="L96" i="12" s="1"/>
  <c r="N96" i="12" s="1"/>
  <c r="G95" i="12"/>
  <c r="L95" i="12" s="1"/>
  <c r="N95" i="12" s="1"/>
  <c r="G94" i="12"/>
  <c r="L94" i="12" s="1"/>
  <c r="N94" i="12" s="1"/>
  <c r="G93" i="12"/>
  <c r="J105" i="12"/>
  <c r="I105" i="12"/>
  <c r="H105" i="12"/>
  <c r="F105" i="12"/>
  <c r="D105" i="12"/>
  <c r="B105" i="12"/>
  <c r="M105" i="12"/>
  <c r="L93" i="12" l="1"/>
  <c r="N93" i="12" s="1"/>
  <c r="G105" i="12"/>
  <c r="K105" i="12"/>
  <c r="K126" i="12"/>
  <c r="J126" i="12"/>
  <c r="I126" i="12"/>
  <c r="H126" i="12"/>
  <c r="G126" i="12"/>
  <c r="F126" i="12"/>
  <c r="E126" i="12"/>
  <c r="M92" i="12"/>
  <c r="J92" i="12"/>
  <c r="I92" i="12"/>
  <c r="H92" i="12"/>
  <c r="F92" i="12"/>
  <c r="D92" i="12"/>
  <c r="B92" i="12"/>
  <c r="K91" i="12"/>
  <c r="G91" i="12"/>
  <c r="K90" i="12"/>
  <c r="G90" i="12"/>
  <c r="K89" i="12"/>
  <c r="G89" i="12"/>
  <c r="K88" i="12"/>
  <c r="G88" i="12"/>
  <c r="K87" i="12"/>
  <c r="G87" i="12"/>
  <c r="K86" i="12"/>
  <c r="G86" i="12"/>
  <c r="K85" i="12"/>
  <c r="G85" i="12"/>
  <c r="K84" i="12"/>
  <c r="G84" i="12"/>
  <c r="K83" i="12"/>
  <c r="G83" i="12"/>
  <c r="K82" i="12"/>
  <c r="G82" i="12"/>
  <c r="K81" i="12"/>
  <c r="G81" i="12"/>
  <c r="K80" i="12"/>
  <c r="G80" i="12"/>
  <c r="M79" i="12"/>
  <c r="J79" i="12"/>
  <c r="I79" i="12"/>
  <c r="H79" i="12"/>
  <c r="F79" i="12"/>
  <c r="D79" i="12"/>
  <c r="B79" i="12"/>
  <c r="K78" i="12"/>
  <c r="G78" i="12"/>
  <c r="K77" i="12"/>
  <c r="G77" i="12"/>
  <c r="K76" i="12"/>
  <c r="G76" i="12"/>
  <c r="K75" i="12"/>
  <c r="G75" i="12"/>
  <c r="K74" i="12"/>
  <c r="G74" i="12"/>
  <c r="K73" i="12"/>
  <c r="G73" i="12"/>
  <c r="K72" i="12"/>
  <c r="G72" i="12"/>
  <c r="K71" i="12"/>
  <c r="G71" i="12"/>
  <c r="K70" i="12"/>
  <c r="G70" i="12"/>
  <c r="K69" i="12"/>
  <c r="G69" i="12"/>
  <c r="K68" i="12"/>
  <c r="G68" i="12"/>
  <c r="K67" i="12"/>
  <c r="G67" i="12"/>
  <c r="M66" i="12"/>
  <c r="J66" i="12"/>
  <c r="I66" i="12"/>
  <c r="H66" i="12"/>
  <c r="F66" i="12"/>
  <c r="D66" i="12"/>
  <c r="B66" i="12"/>
  <c r="K65" i="12"/>
  <c r="G65" i="12"/>
  <c r="K64" i="12"/>
  <c r="G64" i="12"/>
  <c r="K63" i="12"/>
  <c r="G63" i="12"/>
  <c r="K62" i="12"/>
  <c r="G62" i="12"/>
  <c r="K61" i="12"/>
  <c r="G61" i="12"/>
  <c r="K60" i="12"/>
  <c r="G60" i="12"/>
  <c r="K59" i="12"/>
  <c r="G59" i="12"/>
  <c r="K58" i="12"/>
  <c r="G58" i="12"/>
  <c r="K57" i="12"/>
  <c r="G57" i="12"/>
  <c r="K56" i="12"/>
  <c r="G56" i="12"/>
  <c r="K55" i="12"/>
  <c r="G55" i="12"/>
  <c r="K54" i="12"/>
  <c r="G54" i="12"/>
  <c r="M53" i="12"/>
  <c r="J53" i="12"/>
  <c r="I53" i="12"/>
  <c r="H53" i="12"/>
  <c r="F53" i="12"/>
  <c r="D53" i="12"/>
  <c r="B53" i="12"/>
  <c r="K52" i="12"/>
  <c r="G52" i="12"/>
  <c r="K51" i="12"/>
  <c r="G51" i="12"/>
  <c r="K50" i="12"/>
  <c r="G50" i="12"/>
  <c r="K49" i="12"/>
  <c r="G49" i="12"/>
  <c r="K48" i="12"/>
  <c r="G48" i="12"/>
  <c r="K47" i="12"/>
  <c r="G47" i="12"/>
  <c r="K46" i="12"/>
  <c r="G46" i="12"/>
  <c r="K45" i="12"/>
  <c r="G45" i="12"/>
  <c r="K44" i="12"/>
  <c r="G44" i="12"/>
  <c r="K43" i="12"/>
  <c r="G43" i="12"/>
  <c r="K42" i="12"/>
  <c r="G42" i="12"/>
  <c r="K41" i="12"/>
  <c r="G41" i="12"/>
  <c r="M40" i="12"/>
  <c r="J40" i="12"/>
  <c r="I40" i="12"/>
  <c r="H40" i="12"/>
  <c r="F40" i="12"/>
  <c r="D40" i="12"/>
  <c r="B40" i="12"/>
  <c r="K39" i="12"/>
  <c r="G39" i="12"/>
  <c r="K38" i="12"/>
  <c r="G38" i="12"/>
  <c r="K37" i="12"/>
  <c r="G37" i="12"/>
  <c r="K36" i="12"/>
  <c r="G36" i="12"/>
  <c r="K35" i="12"/>
  <c r="G35" i="12"/>
  <c r="K34" i="12"/>
  <c r="G34" i="12"/>
  <c r="K33" i="12"/>
  <c r="G33" i="12"/>
  <c r="K32" i="12"/>
  <c r="G32" i="12"/>
  <c r="K31" i="12"/>
  <c r="G31" i="12"/>
  <c r="K30" i="12"/>
  <c r="G30" i="12"/>
  <c r="K29" i="12"/>
  <c r="G29" i="12"/>
  <c r="K28" i="12"/>
  <c r="G28" i="12"/>
  <c r="K24" i="12"/>
  <c r="G24" i="12"/>
  <c r="O19" i="12"/>
  <c r="N19" i="12"/>
  <c r="F19" i="12"/>
  <c r="E19" i="12"/>
  <c r="D19" i="12"/>
  <c r="C19" i="12"/>
  <c r="B19" i="12"/>
  <c r="P17" i="12"/>
  <c r="H17" i="12"/>
  <c r="K17" i="12" s="1"/>
  <c r="G17" i="12"/>
  <c r="J17" i="12" s="1"/>
  <c r="P16" i="12"/>
  <c r="H16" i="12"/>
  <c r="K16" i="12" s="1"/>
  <c r="G16" i="12"/>
  <c r="J16" i="12" s="1"/>
  <c r="P15" i="12"/>
  <c r="H15" i="12"/>
  <c r="K15" i="12" s="1"/>
  <c r="G15" i="12"/>
  <c r="J15" i="12" s="1"/>
  <c r="P14" i="12"/>
  <c r="H14" i="12"/>
  <c r="K14" i="12" s="1"/>
  <c r="G14" i="12"/>
  <c r="J14" i="12" s="1"/>
  <c r="P13" i="12"/>
  <c r="H13" i="12"/>
  <c r="K13" i="12" s="1"/>
  <c r="G13" i="12"/>
  <c r="J13" i="12" s="1"/>
  <c r="P12" i="12"/>
  <c r="H12" i="12"/>
  <c r="K12" i="12" s="1"/>
  <c r="G12" i="12"/>
  <c r="J12" i="12" s="1"/>
  <c r="P11" i="12"/>
  <c r="H11" i="12"/>
  <c r="K11" i="12" s="1"/>
  <c r="G11" i="12"/>
  <c r="J11" i="12" s="1"/>
  <c r="P10" i="12"/>
  <c r="H10" i="12"/>
  <c r="K10" i="12" s="1"/>
  <c r="G10" i="12"/>
  <c r="J10" i="12" s="1"/>
  <c r="P9" i="12"/>
  <c r="H9" i="12"/>
  <c r="K9" i="12" s="1"/>
  <c r="G9" i="12"/>
  <c r="J9" i="12" s="1"/>
  <c r="P8" i="12"/>
  <c r="H8" i="12"/>
  <c r="K8" i="12" s="1"/>
  <c r="G8" i="12"/>
  <c r="J8" i="12" s="1"/>
  <c r="P7" i="12"/>
  <c r="H7" i="12"/>
  <c r="K7" i="12" s="1"/>
  <c r="G7" i="12"/>
  <c r="J7" i="12" s="1"/>
  <c r="P6" i="12"/>
  <c r="H6" i="12"/>
  <c r="G6" i="12"/>
  <c r="L10" i="12" l="1"/>
  <c r="L47" i="12"/>
  <c r="H107" i="12"/>
  <c r="J107" i="12"/>
  <c r="I107" i="12"/>
  <c r="L12" i="12"/>
  <c r="L105" i="12"/>
  <c r="N105" i="12" s="1"/>
  <c r="B107" i="12"/>
  <c r="D107" i="12"/>
  <c r="F107" i="12"/>
  <c r="M107" i="12"/>
  <c r="L65" i="12"/>
  <c r="L68" i="12"/>
  <c r="L54" i="12"/>
  <c r="L13" i="12"/>
  <c r="L91" i="12"/>
  <c r="L36" i="12"/>
  <c r="L14" i="12"/>
  <c r="L75" i="12"/>
  <c r="L33" i="12"/>
  <c r="L28" i="12"/>
  <c r="L82" i="12"/>
  <c r="L70" i="12"/>
  <c r="L24" i="12"/>
  <c r="N24" i="12" s="1"/>
  <c r="L55" i="12"/>
  <c r="L62" i="12"/>
  <c r="L67" i="12"/>
  <c r="L72" i="12"/>
  <c r="L30" i="12"/>
  <c r="L90" i="12"/>
  <c r="L58" i="12"/>
  <c r="L63" i="12"/>
  <c r="L49" i="12"/>
  <c r="L85" i="12"/>
  <c r="L38" i="12"/>
  <c r="L86" i="12"/>
  <c r="L57" i="12"/>
  <c r="L41" i="12"/>
  <c r="L17" i="12"/>
  <c r="L8" i="12"/>
  <c r="L16" i="12"/>
  <c r="L44" i="12"/>
  <c r="G92" i="12"/>
  <c r="L31" i="12"/>
  <c r="L45" i="12"/>
  <c r="G79" i="12"/>
  <c r="L71" i="12"/>
  <c r="K92" i="12"/>
  <c r="L59" i="12"/>
  <c r="L64" i="12"/>
  <c r="L32" i="12"/>
  <c r="L37" i="12"/>
  <c r="G53" i="12"/>
  <c r="L81" i="12"/>
  <c r="L87" i="12"/>
  <c r="L46" i="12"/>
  <c r="L51" i="12"/>
  <c r="K79" i="12"/>
  <c r="L9" i="12"/>
  <c r="L60" i="12"/>
  <c r="L88" i="12"/>
  <c r="L52" i="12"/>
  <c r="L78" i="12"/>
  <c r="L89" i="12"/>
  <c r="L42" i="12"/>
  <c r="G66" i="12"/>
  <c r="L39" i="12"/>
  <c r="L56" i="12"/>
  <c r="L69" i="12"/>
  <c r="H19" i="12"/>
  <c r="L15" i="12"/>
  <c r="L48" i="12"/>
  <c r="M126" i="12"/>
  <c r="L43" i="12"/>
  <c r="L74" i="12"/>
  <c r="L84" i="12"/>
  <c r="L11" i="12"/>
  <c r="L50" i="12"/>
  <c r="L76" i="12"/>
  <c r="L61" i="12"/>
  <c r="L73" i="12"/>
  <c r="G19" i="12"/>
  <c r="L34" i="12"/>
  <c r="L83" i="12"/>
  <c r="L29" i="12"/>
  <c r="L7" i="12"/>
  <c r="G40" i="12"/>
  <c r="L35" i="12"/>
  <c r="P19" i="12"/>
  <c r="L77" i="12"/>
  <c r="K53" i="12"/>
  <c r="L80" i="12"/>
  <c r="J6" i="12"/>
  <c r="K66" i="12"/>
  <c r="K40" i="12"/>
  <c r="K6" i="12"/>
  <c r="K19" i="12" s="1"/>
  <c r="K107" i="12" l="1"/>
  <c r="G107" i="12"/>
  <c r="L92" i="12"/>
  <c r="L79" i="12"/>
  <c r="L66" i="12"/>
  <c r="L53" i="12"/>
  <c r="H20" i="12"/>
  <c r="L40" i="12"/>
  <c r="L6" i="12"/>
  <c r="L19" i="12" s="1"/>
  <c r="J19" i="12"/>
  <c r="L107" i="12" l="1"/>
  <c r="N107" i="12" l="1"/>
  <c r="P9" i="11" l="1"/>
  <c r="G81" i="9" l="1"/>
  <c r="F81" i="9"/>
  <c r="M92" i="11" l="1"/>
  <c r="J92" i="11"/>
  <c r="I92" i="11"/>
  <c r="H92" i="11"/>
  <c r="F92" i="11"/>
  <c r="D92" i="11"/>
  <c r="B92" i="11"/>
  <c r="K91" i="11"/>
  <c r="G91" i="11"/>
  <c r="K90" i="11"/>
  <c r="G90" i="11"/>
  <c r="K89" i="11"/>
  <c r="G89" i="11"/>
  <c r="K88" i="11"/>
  <c r="G88" i="11"/>
  <c r="K87" i="11"/>
  <c r="G87" i="11"/>
  <c r="K86" i="11"/>
  <c r="G86" i="11"/>
  <c r="K85" i="11"/>
  <c r="G85" i="11"/>
  <c r="K84" i="11"/>
  <c r="G84" i="11"/>
  <c r="K83" i="11"/>
  <c r="G83" i="11"/>
  <c r="K82" i="11"/>
  <c r="G82" i="11"/>
  <c r="K81" i="11"/>
  <c r="G81" i="11"/>
  <c r="K80" i="11"/>
  <c r="G80" i="11"/>
  <c r="L85" i="11" l="1"/>
  <c r="N85" i="11" s="1"/>
  <c r="L89" i="11"/>
  <c r="N89" i="11" s="1"/>
  <c r="L81" i="11"/>
  <c r="N81" i="11" s="1"/>
  <c r="L80" i="11"/>
  <c r="N80" i="11" s="1"/>
  <c r="G92" i="11"/>
  <c r="K92" i="11"/>
  <c r="L90" i="11"/>
  <c r="N90" i="11" s="1"/>
  <c r="L86" i="11"/>
  <c r="N86" i="11" s="1"/>
  <c r="L83" i="11"/>
  <c r="N83" i="11" s="1"/>
  <c r="L87" i="11"/>
  <c r="N87" i="11" s="1"/>
  <c r="L91" i="11"/>
  <c r="N91" i="11" s="1"/>
  <c r="L82" i="11"/>
  <c r="N82" i="11" s="1"/>
  <c r="L84" i="11"/>
  <c r="N84" i="11" s="1"/>
  <c r="L88" i="11"/>
  <c r="N88" i="11" s="1"/>
  <c r="L92" i="11" l="1"/>
  <c r="N92" i="11" s="1"/>
  <c r="L111" i="11"/>
  <c r="L110" i="11"/>
  <c r="L109" i="11"/>
  <c r="L108" i="11"/>
  <c r="L107" i="11"/>
  <c r="L106" i="11"/>
  <c r="L105" i="11"/>
  <c r="L104" i="11"/>
  <c r="L103" i="11"/>
  <c r="L102" i="11"/>
  <c r="L101" i="11"/>
  <c r="L100" i="11"/>
  <c r="K113" i="11"/>
  <c r="J113" i="11"/>
  <c r="I113" i="11"/>
  <c r="H113" i="11"/>
  <c r="G113" i="11"/>
  <c r="F113" i="11"/>
  <c r="E113" i="11"/>
  <c r="M79" i="11"/>
  <c r="J79" i="11"/>
  <c r="I79" i="11"/>
  <c r="H79" i="11"/>
  <c r="F79" i="11"/>
  <c r="D79" i="11"/>
  <c r="B79" i="11"/>
  <c r="K78" i="11"/>
  <c r="G78" i="11"/>
  <c r="K77" i="11"/>
  <c r="G77" i="11"/>
  <c r="K76" i="11"/>
  <c r="G76" i="11"/>
  <c r="K75" i="11"/>
  <c r="G75" i="11"/>
  <c r="K74" i="11"/>
  <c r="G74" i="11"/>
  <c r="K73" i="11"/>
  <c r="G73" i="11"/>
  <c r="K72" i="11"/>
  <c r="G72" i="11"/>
  <c r="K71" i="11"/>
  <c r="G71" i="11"/>
  <c r="K70" i="11"/>
  <c r="G70" i="11"/>
  <c r="K69" i="11"/>
  <c r="G69" i="11"/>
  <c r="K68" i="11"/>
  <c r="G68" i="11"/>
  <c r="K67" i="11"/>
  <c r="G67" i="11"/>
  <c r="M66" i="11"/>
  <c r="J66" i="11"/>
  <c r="I66" i="11"/>
  <c r="H66" i="11"/>
  <c r="F66" i="11"/>
  <c r="D66" i="11"/>
  <c r="B66" i="11"/>
  <c r="K65" i="11"/>
  <c r="G65" i="11"/>
  <c r="K64" i="11"/>
  <c r="G64" i="11"/>
  <c r="K63" i="11"/>
  <c r="G63" i="11"/>
  <c r="K62" i="11"/>
  <c r="G62" i="11"/>
  <c r="K61" i="11"/>
  <c r="G61" i="11"/>
  <c r="K60" i="11"/>
  <c r="G60" i="11"/>
  <c r="K59" i="11"/>
  <c r="G59" i="11"/>
  <c r="K58" i="11"/>
  <c r="G58" i="11"/>
  <c r="K57" i="11"/>
  <c r="G57" i="11"/>
  <c r="K56" i="11"/>
  <c r="G56" i="11"/>
  <c r="K55" i="11"/>
  <c r="G55" i="11"/>
  <c r="K54" i="11"/>
  <c r="G54" i="11"/>
  <c r="M53" i="11"/>
  <c r="J53" i="11"/>
  <c r="I53" i="11"/>
  <c r="H53" i="11"/>
  <c r="F53" i="11"/>
  <c r="D53" i="11"/>
  <c r="B53" i="11"/>
  <c r="K52" i="11"/>
  <c r="G52" i="11"/>
  <c r="K51" i="11"/>
  <c r="G51" i="11"/>
  <c r="K50" i="11"/>
  <c r="G50" i="11"/>
  <c r="K49" i="11"/>
  <c r="G49" i="11"/>
  <c r="K48" i="11"/>
  <c r="G48" i="11"/>
  <c r="K47" i="11"/>
  <c r="G47" i="11"/>
  <c r="K46" i="11"/>
  <c r="G46" i="11"/>
  <c r="K45" i="11"/>
  <c r="G45" i="11"/>
  <c r="K44" i="11"/>
  <c r="G44" i="11"/>
  <c r="K43" i="11"/>
  <c r="G43" i="11"/>
  <c r="K42" i="11"/>
  <c r="G42" i="11"/>
  <c r="K41" i="11"/>
  <c r="G41" i="11"/>
  <c r="M40" i="11"/>
  <c r="J40" i="11"/>
  <c r="I40" i="11"/>
  <c r="H40" i="11"/>
  <c r="F40" i="11"/>
  <c r="D40" i="11"/>
  <c r="B40" i="11"/>
  <c r="K39" i="11"/>
  <c r="G39" i="11"/>
  <c r="K38" i="11"/>
  <c r="G38" i="11"/>
  <c r="K37" i="11"/>
  <c r="G37" i="11"/>
  <c r="K36" i="11"/>
  <c r="G36" i="11"/>
  <c r="K35" i="11"/>
  <c r="G35" i="11"/>
  <c r="K34" i="11"/>
  <c r="G34" i="11"/>
  <c r="K33" i="11"/>
  <c r="G33" i="11"/>
  <c r="K32" i="11"/>
  <c r="G32" i="11"/>
  <c r="K31" i="11"/>
  <c r="G31" i="11"/>
  <c r="K30" i="11"/>
  <c r="G30" i="11"/>
  <c r="K29" i="11"/>
  <c r="G29" i="11"/>
  <c r="K28" i="11"/>
  <c r="G28" i="11"/>
  <c r="K24" i="11"/>
  <c r="G24" i="11"/>
  <c r="O19" i="11"/>
  <c r="N19" i="11"/>
  <c r="F19" i="11"/>
  <c r="E19" i="11"/>
  <c r="D19" i="11"/>
  <c r="C19" i="11"/>
  <c r="B19" i="11"/>
  <c r="P17" i="11"/>
  <c r="H17" i="11"/>
  <c r="K17" i="11" s="1"/>
  <c r="G17" i="11"/>
  <c r="J17" i="11" s="1"/>
  <c r="P16" i="11"/>
  <c r="H16" i="11"/>
  <c r="K16" i="11" s="1"/>
  <c r="G16" i="11"/>
  <c r="J16" i="11" s="1"/>
  <c r="P15" i="11"/>
  <c r="H15" i="11"/>
  <c r="K15" i="11" s="1"/>
  <c r="G15" i="11"/>
  <c r="P14" i="11"/>
  <c r="H14" i="11"/>
  <c r="G14" i="11"/>
  <c r="J14" i="11" s="1"/>
  <c r="P13" i="11"/>
  <c r="H13" i="11"/>
  <c r="K13" i="11" s="1"/>
  <c r="G13" i="11"/>
  <c r="J13" i="11" s="1"/>
  <c r="P12" i="11"/>
  <c r="H12" i="11"/>
  <c r="K12" i="11" s="1"/>
  <c r="G12" i="11"/>
  <c r="P11" i="11"/>
  <c r="H11" i="11"/>
  <c r="G11" i="11"/>
  <c r="P10" i="11"/>
  <c r="H10" i="11"/>
  <c r="G10" i="11"/>
  <c r="J10" i="11" s="1"/>
  <c r="H9" i="11"/>
  <c r="G9" i="11"/>
  <c r="P8" i="11"/>
  <c r="H8" i="11"/>
  <c r="G8" i="11"/>
  <c r="J8" i="11" s="1"/>
  <c r="P7" i="11"/>
  <c r="H7" i="11"/>
  <c r="K7" i="11" s="1"/>
  <c r="G7" i="11"/>
  <c r="P6" i="11"/>
  <c r="H6" i="11"/>
  <c r="G6" i="11"/>
  <c r="J11" i="11" l="1"/>
  <c r="K10" i="11"/>
  <c r="K8" i="11"/>
  <c r="L8" i="11" s="1"/>
  <c r="J9" i="11"/>
  <c r="I94" i="11"/>
  <c r="J94" i="11"/>
  <c r="M94" i="11"/>
  <c r="H94" i="11"/>
  <c r="B94" i="11"/>
  <c r="D94" i="11"/>
  <c r="F94" i="11"/>
  <c r="J7" i="11"/>
  <c r="L7" i="11" s="1"/>
  <c r="L46" i="11"/>
  <c r="L72" i="11"/>
  <c r="N72" i="11" s="1"/>
  <c r="L31" i="11"/>
  <c r="L39" i="11"/>
  <c r="L37" i="11"/>
  <c r="L41" i="11"/>
  <c r="L33" i="11"/>
  <c r="L35" i="11"/>
  <c r="L71" i="11"/>
  <c r="N71" i="11" s="1"/>
  <c r="L34" i="11"/>
  <c r="L54" i="11"/>
  <c r="G79" i="11"/>
  <c r="L24" i="11"/>
  <c r="N24" i="11" s="1"/>
  <c r="L47" i="11"/>
  <c r="L50" i="11"/>
  <c r="L68" i="11"/>
  <c r="N68" i="11" s="1"/>
  <c r="L48" i="11"/>
  <c r="L57" i="11"/>
  <c r="L65" i="11"/>
  <c r="L30" i="11"/>
  <c r="L55" i="11"/>
  <c r="L60" i="11"/>
  <c r="L63" i="11"/>
  <c r="L38" i="11"/>
  <c r="L44" i="11"/>
  <c r="L49" i="11"/>
  <c r="L42" i="11"/>
  <c r="L52" i="11"/>
  <c r="L70" i="11"/>
  <c r="N70" i="11" s="1"/>
  <c r="L78" i="11"/>
  <c r="N78" i="11" s="1"/>
  <c r="H19" i="11"/>
  <c r="L29" i="11"/>
  <c r="L73" i="11"/>
  <c r="N73" i="11" s="1"/>
  <c r="L13" i="11"/>
  <c r="L59" i="11"/>
  <c r="L17" i="11"/>
  <c r="L51" i="11"/>
  <c r="L61" i="11"/>
  <c r="L67" i="11"/>
  <c r="N67" i="11" s="1"/>
  <c r="L36" i="11"/>
  <c r="L64" i="11"/>
  <c r="L74" i="11"/>
  <c r="N74" i="11" s="1"/>
  <c r="L113" i="11"/>
  <c r="P19" i="11"/>
  <c r="L32" i="11"/>
  <c r="L77" i="11"/>
  <c r="N77" i="11" s="1"/>
  <c r="L45" i="11"/>
  <c r="L62" i="11"/>
  <c r="G40" i="11"/>
  <c r="L43" i="11"/>
  <c r="L58" i="11"/>
  <c r="L75" i="11"/>
  <c r="N75" i="11" s="1"/>
  <c r="L16" i="11"/>
  <c r="L28" i="11"/>
  <c r="G53" i="11"/>
  <c r="K66" i="11"/>
  <c r="L10" i="11"/>
  <c r="G66" i="11"/>
  <c r="L69" i="11"/>
  <c r="N69" i="11" s="1"/>
  <c r="L76" i="11"/>
  <c r="N76" i="11" s="1"/>
  <c r="K53" i="11"/>
  <c r="K79" i="11"/>
  <c r="K6" i="11"/>
  <c r="L56" i="11"/>
  <c r="J15" i="11"/>
  <c r="L15" i="11" s="1"/>
  <c r="J12" i="11"/>
  <c r="L12" i="11" s="1"/>
  <c r="J6" i="11"/>
  <c r="K9" i="11"/>
  <c r="K11" i="11"/>
  <c r="L11" i="11" s="1"/>
  <c r="K40" i="11"/>
  <c r="K14" i="11"/>
  <c r="L14" i="11" s="1"/>
  <c r="G19" i="11"/>
  <c r="G10" i="9"/>
  <c r="L9" i="11" l="1"/>
  <c r="G94" i="11"/>
  <c r="K94" i="11"/>
  <c r="L79" i="11"/>
  <c r="N79" i="11" s="1"/>
  <c r="H20" i="11"/>
  <c r="L66" i="11"/>
  <c r="L40" i="11"/>
  <c r="L53" i="11"/>
  <c r="K19" i="11"/>
  <c r="J19" i="11"/>
  <c r="L6" i="11"/>
  <c r="B38" i="10"/>
  <c r="E18" i="10" l="1"/>
  <c r="E20" i="10" s="1"/>
  <c r="B18" i="10"/>
  <c r="D18" i="10"/>
  <c r="D20" i="10" s="1"/>
  <c r="L19" i="11"/>
  <c r="N95" i="11"/>
  <c r="L94" i="11"/>
  <c r="D11" i="10"/>
  <c r="D26" i="10"/>
  <c r="F18" i="10"/>
  <c r="F20" i="10" s="1"/>
  <c r="E11" i="10"/>
  <c r="C25" i="10"/>
  <c r="C26" i="10" s="1"/>
  <c r="B26" i="10"/>
  <c r="L17" i="10"/>
  <c r="F11" i="10"/>
  <c r="L16" i="10"/>
  <c r="K11" i="10"/>
  <c r="J11" i="10"/>
  <c r="L15" i="10"/>
  <c r="L19" i="10"/>
  <c r="B20" i="10"/>
  <c r="E24" i="10"/>
  <c r="E25" i="10" s="1"/>
  <c r="C18" i="10"/>
  <c r="C20" i="10" s="1"/>
  <c r="L18" i="10" l="1"/>
  <c r="L20" i="10" s="1"/>
  <c r="K78" i="9" l="1"/>
  <c r="K77" i="9"/>
  <c r="K76" i="9"/>
  <c r="K75" i="9"/>
  <c r="K74" i="9"/>
  <c r="K73" i="9"/>
  <c r="K72" i="9"/>
  <c r="K71" i="9"/>
  <c r="K70" i="9"/>
  <c r="K69" i="9"/>
  <c r="K68" i="9"/>
  <c r="K67" i="9"/>
  <c r="G78" i="9"/>
  <c r="G77" i="9"/>
  <c r="G76" i="9"/>
  <c r="G75" i="9"/>
  <c r="L75" i="9" s="1"/>
  <c r="N75" i="9" s="1"/>
  <c r="G74" i="9"/>
  <c r="G73" i="9"/>
  <c r="G72" i="9"/>
  <c r="G71" i="9"/>
  <c r="G70" i="9"/>
  <c r="G69" i="9"/>
  <c r="G68" i="9"/>
  <c r="L74" i="9" l="1"/>
  <c r="N74" i="9" s="1"/>
  <c r="L78" i="9"/>
  <c r="N78" i="9" s="1"/>
  <c r="L72" i="9"/>
  <c r="N72" i="9" s="1"/>
  <c r="L68" i="9"/>
  <c r="N68" i="9" s="1"/>
  <c r="L76" i="9"/>
  <c r="N76" i="9" s="1"/>
  <c r="L73" i="9"/>
  <c r="N73" i="9" s="1"/>
  <c r="L77" i="9"/>
  <c r="N77" i="9" s="1"/>
  <c r="L70" i="9"/>
  <c r="N70" i="9" s="1"/>
  <c r="L69" i="9"/>
  <c r="N69" i="9" s="1"/>
  <c r="L71" i="9"/>
  <c r="N71" i="9" s="1"/>
  <c r="F37" i="5"/>
  <c r="G67" i="9"/>
  <c r="L67" i="9" s="1"/>
  <c r="N67" i="9" s="1"/>
  <c r="M79" i="9" l="1"/>
  <c r="K79" i="9"/>
  <c r="J79" i="9"/>
  <c r="I79" i="9"/>
  <c r="H79" i="9"/>
  <c r="G79" i="9"/>
  <c r="F79" i="9"/>
  <c r="D79" i="9"/>
  <c r="B79" i="9"/>
  <c r="L79" i="9" l="1"/>
  <c r="N79" i="9" s="1"/>
  <c r="K98" i="9"/>
  <c r="K97" i="9"/>
  <c r="K96" i="9"/>
  <c r="K95" i="9"/>
  <c r="K94" i="9"/>
  <c r="K93" i="9"/>
  <c r="K92" i="9"/>
  <c r="K91" i="9"/>
  <c r="K90" i="9"/>
  <c r="K89" i="9"/>
  <c r="K88" i="9"/>
  <c r="K87" i="9"/>
  <c r="J100" i="9"/>
  <c r="I100" i="9"/>
  <c r="H100" i="9"/>
  <c r="G100" i="9"/>
  <c r="F100" i="9"/>
  <c r="E100" i="9"/>
  <c r="M66" i="9"/>
  <c r="J66" i="9"/>
  <c r="I66" i="9"/>
  <c r="H66" i="9"/>
  <c r="F66" i="9"/>
  <c r="D66" i="9"/>
  <c r="B66" i="9"/>
  <c r="K65" i="9"/>
  <c r="G65" i="9"/>
  <c r="K64" i="9"/>
  <c r="G64" i="9"/>
  <c r="K63" i="9"/>
  <c r="G63" i="9"/>
  <c r="K62" i="9"/>
  <c r="G62" i="9"/>
  <c r="K61" i="9"/>
  <c r="G61" i="9"/>
  <c r="K60" i="9"/>
  <c r="G60" i="9"/>
  <c r="K59" i="9"/>
  <c r="G59" i="9"/>
  <c r="K58" i="9"/>
  <c r="G58" i="9"/>
  <c r="K57" i="9"/>
  <c r="G57" i="9"/>
  <c r="K56" i="9"/>
  <c r="G56" i="9"/>
  <c r="K55" i="9"/>
  <c r="G55" i="9"/>
  <c r="K54" i="9"/>
  <c r="G54" i="9"/>
  <c r="M53" i="9"/>
  <c r="J53" i="9"/>
  <c r="I53" i="9"/>
  <c r="H53" i="9"/>
  <c r="F53" i="9"/>
  <c r="D53" i="9"/>
  <c r="B53" i="9"/>
  <c r="K52" i="9"/>
  <c r="G52" i="9"/>
  <c r="K51" i="9"/>
  <c r="G51" i="9"/>
  <c r="K50" i="9"/>
  <c r="G50" i="9"/>
  <c r="K49" i="9"/>
  <c r="G49" i="9"/>
  <c r="K48" i="9"/>
  <c r="G48" i="9"/>
  <c r="K47" i="9"/>
  <c r="G47" i="9"/>
  <c r="K46" i="9"/>
  <c r="G46" i="9"/>
  <c r="L46" i="9" s="1"/>
  <c r="K45" i="9"/>
  <c r="G45" i="9"/>
  <c r="K44" i="9"/>
  <c r="G44" i="9"/>
  <c r="K43" i="9"/>
  <c r="G43" i="9"/>
  <c r="K42" i="9"/>
  <c r="G42" i="9"/>
  <c r="L42" i="9" s="1"/>
  <c r="K41" i="9"/>
  <c r="G41" i="9"/>
  <c r="M40" i="9"/>
  <c r="J40" i="9"/>
  <c r="I40" i="9"/>
  <c r="H40" i="9"/>
  <c r="F40" i="9"/>
  <c r="D40" i="9"/>
  <c r="B40" i="9"/>
  <c r="K39" i="9"/>
  <c r="G39" i="9"/>
  <c r="K38" i="9"/>
  <c r="G38" i="9"/>
  <c r="K37" i="9"/>
  <c r="G37" i="9"/>
  <c r="K36" i="9"/>
  <c r="G36" i="9"/>
  <c r="K35" i="9"/>
  <c r="G35" i="9"/>
  <c r="K34" i="9"/>
  <c r="G34" i="9"/>
  <c r="K33" i="9"/>
  <c r="G33" i="9"/>
  <c r="K32" i="9"/>
  <c r="G32" i="9"/>
  <c r="K31" i="9"/>
  <c r="G31" i="9"/>
  <c r="K30" i="9"/>
  <c r="G30" i="9"/>
  <c r="K29" i="9"/>
  <c r="G29" i="9"/>
  <c r="K28" i="9"/>
  <c r="G28" i="9"/>
  <c r="K24" i="9"/>
  <c r="G24" i="9"/>
  <c r="O19" i="9"/>
  <c r="N19" i="9"/>
  <c r="F19" i="9"/>
  <c r="E19" i="9"/>
  <c r="D19" i="9"/>
  <c r="C19" i="9"/>
  <c r="B19" i="9"/>
  <c r="P17" i="9"/>
  <c r="H17" i="9"/>
  <c r="K17" i="9" s="1"/>
  <c r="G17" i="9"/>
  <c r="J17" i="9" s="1"/>
  <c r="P16" i="9"/>
  <c r="H16" i="9"/>
  <c r="G16" i="9"/>
  <c r="J16" i="9" s="1"/>
  <c r="P15" i="9"/>
  <c r="H15" i="9"/>
  <c r="G15" i="9"/>
  <c r="J15" i="9" s="1"/>
  <c r="P14" i="9"/>
  <c r="H14" i="9"/>
  <c r="G14" i="9"/>
  <c r="J14" i="9" s="1"/>
  <c r="P13" i="9"/>
  <c r="H13" i="9"/>
  <c r="G13" i="9"/>
  <c r="J13" i="9" s="1"/>
  <c r="P12" i="9"/>
  <c r="H12" i="9"/>
  <c r="G12" i="9"/>
  <c r="J12" i="9" s="1"/>
  <c r="P11" i="9"/>
  <c r="H11" i="9"/>
  <c r="G11" i="9"/>
  <c r="J11" i="9" s="1"/>
  <c r="P10" i="9"/>
  <c r="H10" i="9"/>
  <c r="K10" i="9" s="1"/>
  <c r="P9" i="9"/>
  <c r="H9" i="9"/>
  <c r="G9" i="9"/>
  <c r="P8" i="9"/>
  <c r="H8" i="9"/>
  <c r="K8" i="9" s="1"/>
  <c r="G8" i="9"/>
  <c r="J8" i="9" s="1"/>
  <c r="P7" i="9"/>
  <c r="H7" i="9"/>
  <c r="G7" i="9"/>
  <c r="J7" i="9" s="1"/>
  <c r="P6" i="9"/>
  <c r="H6" i="9"/>
  <c r="K6" i="9" s="1"/>
  <c r="G6" i="9"/>
  <c r="K13" i="9" l="1"/>
  <c r="H81" i="9"/>
  <c r="K14" i="9"/>
  <c r="B81" i="9"/>
  <c r="K15" i="9"/>
  <c r="D81" i="9"/>
  <c r="K11" i="9"/>
  <c r="K9" i="9"/>
  <c r="K12" i="9"/>
  <c r="K16" i="9"/>
  <c r="L16" i="9" s="1"/>
  <c r="I81" i="9"/>
  <c r="J81" i="9"/>
  <c r="J6" i="9"/>
  <c r="M81" i="9"/>
  <c r="J9" i="9"/>
  <c r="L9" i="9" s="1"/>
  <c r="L50" i="9"/>
  <c r="L35" i="9"/>
  <c r="L44" i="9"/>
  <c r="L48" i="9"/>
  <c r="L52" i="9"/>
  <c r="L61" i="9"/>
  <c r="L65" i="9"/>
  <c r="L55" i="9"/>
  <c r="L43" i="9"/>
  <c r="L47" i="9"/>
  <c r="L51" i="9"/>
  <c r="L39" i="9"/>
  <c r="G53" i="9"/>
  <c r="K100" i="9"/>
  <c r="K40" i="9"/>
  <c r="L33" i="9"/>
  <c r="L59" i="9"/>
  <c r="L63" i="9"/>
  <c r="L32" i="9"/>
  <c r="L49" i="9"/>
  <c r="L17" i="9"/>
  <c r="L37" i="9"/>
  <c r="L45" i="9"/>
  <c r="L11" i="9"/>
  <c r="L41" i="9"/>
  <c r="L62" i="9"/>
  <c r="L38" i="9"/>
  <c r="L57" i="9"/>
  <c r="L31" i="9"/>
  <c r="L36" i="9"/>
  <c r="L30" i="9"/>
  <c r="G66" i="9"/>
  <c r="L60" i="9"/>
  <c r="L15" i="9"/>
  <c r="L24" i="9"/>
  <c r="N24" i="9" s="1"/>
  <c r="L8" i="9"/>
  <c r="G40" i="9"/>
  <c r="L34" i="9"/>
  <c r="L64" i="9"/>
  <c r="L14" i="9"/>
  <c r="L29" i="9"/>
  <c r="L56" i="9"/>
  <c r="L13" i="9"/>
  <c r="K66" i="9"/>
  <c r="H19" i="9"/>
  <c r="L28" i="9"/>
  <c r="L58" i="9"/>
  <c r="L12" i="9"/>
  <c r="L6" i="9"/>
  <c r="L54" i="9"/>
  <c r="J10" i="9"/>
  <c r="L10" i="9" s="1"/>
  <c r="K53" i="9"/>
  <c r="K7" i="9"/>
  <c r="L7" i="9" s="1"/>
  <c r="P19" i="9"/>
  <c r="G19" i="9"/>
  <c r="K81" i="9" l="1"/>
  <c r="L40" i="9"/>
  <c r="L66" i="9"/>
  <c r="L53" i="9"/>
  <c r="H20" i="9"/>
  <c r="K19" i="9"/>
  <c r="J19" i="9"/>
  <c r="L19" i="9"/>
  <c r="N81" i="9" l="1"/>
  <c r="N82" i="9" s="1"/>
  <c r="L81" i="9"/>
  <c r="S12" i="8" l="1"/>
  <c r="S12" i="7"/>
  <c r="S10" i="7"/>
  <c r="S9" i="7"/>
  <c r="AB17" i="8" l="1"/>
  <c r="AA17" i="8"/>
  <c r="AB16" i="8" l="1"/>
  <c r="AA16" i="8"/>
  <c r="AB15" i="8" l="1"/>
  <c r="AA15" i="8"/>
  <c r="AA18" i="8"/>
  <c r="AB14" i="8"/>
  <c r="AA14" i="8"/>
  <c r="AB13" i="8" l="1"/>
  <c r="AA13" i="8"/>
  <c r="AB12" i="8" l="1"/>
  <c r="AA12" i="8"/>
  <c r="AB11" i="8"/>
  <c r="AA11" i="8"/>
  <c r="P11" i="8"/>
  <c r="X10" i="8" l="1"/>
  <c r="AB10" i="8" l="1"/>
  <c r="AA10" i="8"/>
  <c r="Y10" i="8"/>
  <c r="X9" i="8" l="1"/>
  <c r="AB9" i="8" l="1"/>
  <c r="AA9" i="8"/>
  <c r="Y9" i="8"/>
  <c r="K42" i="6" l="1"/>
  <c r="J42" i="6"/>
  <c r="I42" i="6"/>
  <c r="H42" i="6"/>
  <c r="G42" i="6"/>
  <c r="F42" i="6"/>
  <c r="D42" i="6"/>
  <c r="B42" i="6"/>
  <c r="AB8" i="8" l="1"/>
  <c r="Y8" i="8"/>
  <c r="Y7" i="8" l="1"/>
  <c r="X7" i="8" l="1"/>
  <c r="K65" i="8" l="1"/>
  <c r="K64" i="8"/>
  <c r="K63" i="8"/>
  <c r="K62" i="8"/>
  <c r="K61" i="8"/>
  <c r="K60" i="8"/>
  <c r="K59" i="8"/>
  <c r="K58" i="8"/>
  <c r="K57" i="8"/>
  <c r="K56" i="8"/>
  <c r="K55" i="8"/>
  <c r="K54" i="8"/>
  <c r="L54" i="8" s="1"/>
  <c r="G65" i="8"/>
  <c r="G64" i="8"/>
  <c r="G63" i="8"/>
  <c r="G62" i="8"/>
  <c r="G61" i="8"/>
  <c r="G60" i="8"/>
  <c r="G59" i="8"/>
  <c r="G58" i="8"/>
  <c r="G57" i="8"/>
  <c r="G56" i="8"/>
  <c r="G55" i="8"/>
  <c r="G54" i="8"/>
  <c r="L65" i="8" l="1"/>
  <c r="N65" i="8" s="1"/>
  <c r="L64" i="8"/>
  <c r="N64" i="8" s="1"/>
  <c r="L63" i="8"/>
  <c r="N63" i="8" s="1"/>
  <c r="L62" i="8"/>
  <c r="N62" i="8" s="1"/>
  <c r="L61" i="8"/>
  <c r="L60" i="8"/>
  <c r="N60" i="8" s="1"/>
  <c r="L59" i="8"/>
  <c r="N59" i="8" s="1"/>
  <c r="L58" i="8"/>
  <c r="N58" i="8" s="1"/>
  <c r="L57" i="8"/>
  <c r="N57" i="8" s="1"/>
  <c r="L56" i="8"/>
  <c r="L55" i="8"/>
  <c r="N55" i="8" s="1"/>
  <c r="AB7" i="8"/>
  <c r="N61" i="8"/>
  <c r="N56" i="8"/>
  <c r="N54" i="8"/>
  <c r="M66" i="8" l="1"/>
  <c r="K66" i="8"/>
  <c r="J66" i="8"/>
  <c r="I66" i="8"/>
  <c r="H66" i="8"/>
  <c r="G66" i="8"/>
  <c r="F66" i="8"/>
  <c r="D66" i="8"/>
  <c r="B66" i="8"/>
  <c r="J85" i="8"/>
  <c r="J84" i="8"/>
  <c r="J83" i="8"/>
  <c r="J82" i="8"/>
  <c r="J81" i="8"/>
  <c r="J80" i="8"/>
  <c r="J79" i="8"/>
  <c r="J78" i="8"/>
  <c r="J77" i="8"/>
  <c r="J76" i="8"/>
  <c r="J75" i="8"/>
  <c r="J74" i="8"/>
  <c r="I87" i="8"/>
  <c r="H87" i="8"/>
  <c r="G87" i="8"/>
  <c r="F87" i="8"/>
  <c r="E87" i="8"/>
  <c r="P6" i="8"/>
  <c r="Q6" i="8" s="1"/>
  <c r="P7" i="8"/>
  <c r="P8" i="8"/>
  <c r="P9" i="8"/>
  <c r="P10" i="8"/>
  <c r="Q10" i="8" s="1"/>
  <c r="Q11" i="8"/>
  <c r="P12" i="8"/>
  <c r="P13" i="8"/>
  <c r="P14" i="8"/>
  <c r="P15" i="8"/>
  <c r="Q15" i="8" s="1"/>
  <c r="P16" i="8"/>
  <c r="P17" i="8"/>
  <c r="Q17" i="8" s="1"/>
  <c r="N19" i="8"/>
  <c r="O19" i="8"/>
  <c r="M53" i="8"/>
  <c r="J53" i="8"/>
  <c r="I53" i="8"/>
  <c r="H53" i="8"/>
  <c r="F53" i="8"/>
  <c r="D53" i="8"/>
  <c r="B53" i="8"/>
  <c r="K52" i="8"/>
  <c r="G52" i="8"/>
  <c r="K51" i="8"/>
  <c r="G51" i="8"/>
  <c r="K50" i="8"/>
  <c r="G50" i="8"/>
  <c r="K49" i="8"/>
  <c r="G49" i="8"/>
  <c r="K48" i="8"/>
  <c r="G48" i="8"/>
  <c r="K47" i="8"/>
  <c r="G47" i="8"/>
  <c r="K46" i="8"/>
  <c r="G46" i="8"/>
  <c r="K45" i="8"/>
  <c r="G45" i="8"/>
  <c r="K44" i="8"/>
  <c r="G44" i="8"/>
  <c r="K43" i="8"/>
  <c r="G43" i="8"/>
  <c r="K42" i="8"/>
  <c r="G42" i="8"/>
  <c r="K41" i="8"/>
  <c r="G41" i="8"/>
  <c r="M40" i="8"/>
  <c r="J40" i="8"/>
  <c r="I40" i="8"/>
  <c r="H40" i="8"/>
  <c r="F40" i="8"/>
  <c r="D40" i="8"/>
  <c r="B40" i="8"/>
  <c r="K39" i="8"/>
  <c r="G39" i="8"/>
  <c r="K38" i="8"/>
  <c r="G38" i="8"/>
  <c r="K37" i="8"/>
  <c r="G37" i="8"/>
  <c r="K36" i="8"/>
  <c r="G36" i="8"/>
  <c r="K35" i="8"/>
  <c r="G35" i="8"/>
  <c r="K34" i="8"/>
  <c r="G34" i="8"/>
  <c r="K33" i="8"/>
  <c r="G33" i="8"/>
  <c r="K32" i="8"/>
  <c r="G32" i="8"/>
  <c r="K31" i="8"/>
  <c r="G31" i="8"/>
  <c r="K30" i="8"/>
  <c r="G30" i="8"/>
  <c r="K29" i="8"/>
  <c r="G29" i="8"/>
  <c r="K28" i="8"/>
  <c r="G28" i="8"/>
  <c r="L28" i="8" s="1"/>
  <c r="N28" i="8" s="1"/>
  <c r="K24" i="8"/>
  <c r="G24" i="8"/>
  <c r="F19" i="8"/>
  <c r="E19" i="8"/>
  <c r="D19" i="8"/>
  <c r="C19" i="8"/>
  <c r="B19" i="8"/>
  <c r="H17" i="8"/>
  <c r="K17" i="8" s="1"/>
  <c r="G17" i="8"/>
  <c r="H16" i="8"/>
  <c r="K16" i="8" s="1"/>
  <c r="G16" i="8"/>
  <c r="J16" i="8" s="1"/>
  <c r="H15" i="8"/>
  <c r="G15" i="8"/>
  <c r="J15" i="8" s="1"/>
  <c r="H14" i="8"/>
  <c r="K14" i="8" s="1"/>
  <c r="G14" i="8"/>
  <c r="J14" i="8" s="1"/>
  <c r="H13" i="8"/>
  <c r="G13" i="8"/>
  <c r="J13" i="8" s="1"/>
  <c r="H12" i="8"/>
  <c r="K12" i="8" s="1"/>
  <c r="G12" i="8"/>
  <c r="J12" i="8" s="1"/>
  <c r="H11" i="8"/>
  <c r="G11" i="8"/>
  <c r="J11" i="8" s="1"/>
  <c r="H10" i="8"/>
  <c r="K10" i="8" s="1"/>
  <c r="G10" i="8"/>
  <c r="J10" i="8" s="1"/>
  <c r="H9" i="8"/>
  <c r="G9" i="8"/>
  <c r="J9" i="8" s="1"/>
  <c r="H8" i="8"/>
  <c r="G8" i="8"/>
  <c r="H7" i="8"/>
  <c r="K7" i="8" s="1"/>
  <c r="G7" i="8"/>
  <c r="J7" i="8" s="1"/>
  <c r="H6" i="8"/>
  <c r="K6" i="8" s="1"/>
  <c r="G6" i="8"/>
  <c r="J17" i="8" l="1"/>
  <c r="L17" i="8" s="1"/>
  <c r="S9" i="8"/>
  <c r="J8" i="8"/>
  <c r="X8" i="8"/>
  <c r="AA8" i="8" s="1"/>
  <c r="Q7" i="8"/>
  <c r="S10" i="8"/>
  <c r="H68" i="8"/>
  <c r="J6" i="8"/>
  <c r="M68" i="8"/>
  <c r="D68" i="8"/>
  <c r="B68" i="8"/>
  <c r="L29" i="8"/>
  <c r="N29" i="8" s="1"/>
  <c r="L37" i="8"/>
  <c r="N37" i="8" s="1"/>
  <c r="F68" i="8"/>
  <c r="J68" i="8"/>
  <c r="L66" i="8"/>
  <c r="N66" i="8" s="1"/>
  <c r="N68" i="8" s="1"/>
  <c r="N69" i="8" s="1"/>
  <c r="I68" i="8"/>
  <c r="L32" i="8"/>
  <c r="N32" i="8" s="1"/>
  <c r="Q8" i="8"/>
  <c r="K8" i="8"/>
  <c r="L7" i="8"/>
  <c r="Y6" i="8"/>
  <c r="AB6" i="8" s="1"/>
  <c r="Q16" i="8"/>
  <c r="Q14" i="8"/>
  <c r="Q9" i="8"/>
  <c r="L16" i="8"/>
  <c r="K11" i="8"/>
  <c r="L11" i="8" s="1"/>
  <c r="Q12" i="8"/>
  <c r="L12" i="8"/>
  <c r="K15" i="8"/>
  <c r="L15" i="8" s="1"/>
  <c r="J87" i="8"/>
  <c r="L10" i="8"/>
  <c r="L14" i="8"/>
  <c r="L6" i="8"/>
  <c r="K13" i="8"/>
  <c r="L13" i="8" s="1"/>
  <c r="L34" i="8"/>
  <c r="N34" i="8" s="1"/>
  <c r="L38" i="8"/>
  <c r="N38" i="8" s="1"/>
  <c r="K9" i="8"/>
  <c r="L9" i="8" s="1"/>
  <c r="X6" i="8"/>
  <c r="P19" i="8"/>
  <c r="Q13" i="8"/>
  <c r="L41" i="8"/>
  <c r="N41" i="8" s="1"/>
  <c r="L30" i="8"/>
  <c r="N30" i="8" s="1"/>
  <c r="L31" i="8"/>
  <c r="N31" i="8" s="1"/>
  <c r="L39" i="8"/>
  <c r="N39" i="8" s="1"/>
  <c r="L35" i="8"/>
  <c r="N35" i="8" s="1"/>
  <c r="G53" i="8"/>
  <c r="G68" i="8" s="1"/>
  <c r="L33" i="8"/>
  <c r="N33" i="8" s="1"/>
  <c r="L36" i="8"/>
  <c r="N36" i="8" s="1"/>
  <c r="L45" i="8"/>
  <c r="N45" i="8" s="1"/>
  <c r="L49" i="8"/>
  <c r="N49" i="8" s="1"/>
  <c r="G19" i="8"/>
  <c r="G40" i="8"/>
  <c r="L42" i="8"/>
  <c r="N42" i="8" s="1"/>
  <c r="L46" i="8"/>
  <c r="N46" i="8" s="1"/>
  <c r="L50" i="8"/>
  <c r="N50" i="8" s="1"/>
  <c r="K40" i="8"/>
  <c r="L43" i="8"/>
  <c r="N43" i="8" s="1"/>
  <c r="L51" i="8"/>
  <c r="N51" i="8" s="1"/>
  <c r="K53" i="8"/>
  <c r="K68" i="8" s="1"/>
  <c r="L47" i="8"/>
  <c r="N47" i="8" s="1"/>
  <c r="L44" i="8"/>
  <c r="N44" i="8" s="1"/>
  <c r="L48" i="8"/>
  <c r="N48" i="8" s="1"/>
  <c r="L52" i="8"/>
  <c r="N52" i="8" s="1"/>
  <c r="H19" i="8"/>
  <c r="L24" i="8"/>
  <c r="L8" i="8" l="1"/>
  <c r="L19" i="8" s="1"/>
  <c r="J19" i="8"/>
  <c r="L53" i="8"/>
  <c r="N53" i="8" s="1"/>
  <c r="Y18" i="8"/>
  <c r="Y19" i="8" s="1"/>
  <c r="X18" i="8"/>
  <c r="X19" i="8" s="1"/>
  <c r="AA6" i="8"/>
  <c r="AA7" i="8" s="1"/>
  <c r="K19" i="8"/>
  <c r="H20" i="8"/>
  <c r="R19" i="8" s="1"/>
  <c r="S19" i="8" s="1"/>
  <c r="T19" i="8" s="1"/>
  <c r="L40" i="8"/>
  <c r="N40" i="8" s="1"/>
  <c r="N24" i="8"/>
  <c r="T20" i="8" l="1"/>
  <c r="L68" i="8"/>
  <c r="Y21" i="8"/>
  <c r="X17" i="7"/>
  <c r="I72" i="7" l="1"/>
  <c r="I71" i="7"/>
  <c r="I70" i="7"/>
  <c r="I69" i="7"/>
  <c r="I68" i="7"/>
  <c r="I67" i="7"/>
  <c r="I66" i="7"/>
  <c r="I65" i="7"/>
  <c r="I64" i="7"/>
  <c r="I63" i="7"/>
  <c r="I62" i="7"/>
  <c r="I61" i="7"/>
  <c r="P17" i="7" l="1"/>
  <c r="Y17" i="7" l="1"/>
  <c r="X16" i="7" l="1"/>
  <c r="X15" i="7"/>
  <c r="X14" i="7"/>
  <c r="X13" i="7"/>
  <c r="Y16" i="7" l="1"/>
  <c r="P16" i="7"/>
  <c r="P15" i="7" l="1"/>
  <c r="Y15" i="7" s="1"/>
  <c r="P14" i="7" l="1"/>
  <c r="Y14" i="7" s="1"/>
  <c r="P13" i="7" l="1"/>
  <c r="Y13" i="7" s="1"/>
  <c r="Y12" i="7" l="1"/>
  <c r="P12" i="7"/>
  <c r="P11" i="7" l="1"/>
  <c r="Y11" i="7" s="1"/>
  <c r="P10" i="7" l="1"/>
  <c r="P9" i="7"/>
  <c r="Y10" i="7" l="1"/>
  <c r="F19" i="7"/>
  <c r="E19" i="7"/>
  <c r="D19" i="7"/>
  <c r="C19" i="7"/>
  <c r="B19" i="7"/>
  <c r="H17" i="7"/>
  <c r="K17" i="7" s="1"/>
  <c r="H16" i="7"/>
  <c r="K16" i="7" s="1"/>
  <c r="H15" i="7"/>
  <c r="K15" i="7" s="1"/>
  <c r="H14" i="7"/>
  <c r="K14" i="7" s="1"/>
  <c r="H13" i="7"/>
  <c r="K13" i="7" s="1"/>
  <c r="H12" i="7"/>
  <c r="K12" i="7" s="1"/>
  <c r="H11" i="7"/>
  <c r="H10" i="7"/>
  <c r="G17" i="7"/>
  <c r="J17" i="7" s="1"/>
  <c r="G16" i="7"/>
  <c r="J16" i="7" s="1"/>
  <c r="G15" i="7"/>
  <c r="J15" i="7" s="1"/>
  <c r="G14" i="7"/>
  <c r="G13" i="7"/>
  <c r="J13" i="7" s="1"/>
  <c r="G12" i="7"/>
  <c r="X12" i="7" s="1"/>
  <c r="G11" i="7"/>
  <c r="J11" i="7" s="1"/>
  <c r="G10" i="7"/>
  <c r="J10" i="7" s="1"/>
  <c r="K10" i="7" l="1"/>
  <c r="X10" i="7"/>
  <c r="J14" i="7"/>
  <c r="K11" i="7"/>
  <c r="X11" i="7"/>
  <c r="J12" i="7"/>
  <c r="O19" i="7" l="1"/>
  <c r="N19" i="7"/>
  <c r="H9" i="7" l="1"/>
  <c r="G9" i="7"/>
  <c r="J9" i="7" s="1"/>
  <c r="K9" i="7" l="1"/>
  <c r="X9" i="7"/>
  <c r="Y9" i="7"/>
  <c r="H8" i="7" l="1"/>
  <c r="G8" i="7"/>
  <c r="J8" i="7" s="1"/>
  <c r="K8" i="7" l="1"/>
  <c r="X8" i="7"/>
  <c r="P8" i="7"/>
  <c r="Y8" i="7" s="1"/>
  <c r="H7" i="7" l="1"/>
  <c r="G7" i="7"/>
  <c r="J7" i="7" s="1"/>
  <c r="K7" i="7" l="1"/>
  <c r="X7" i="7"/>
  <c r="P7" i="7"/>
  <c r="H6" i="7" l="1"/>
  <c r="G6" i="7"/>
  <c r="K6" i="7" l="1"/>
  <c r="X6" i="7"/>
  <c r="H19" i="7"/>
  <c r="G19" i="7"/>
  <c r="J6" i="7"/>
  <c r="K52" i="7"/>
  <c r="K51" i="7"/>
  <c r="K50" i="7"/>
  <c r="K49" i="7"/>
  <c r="K48" i="7"/>
  <c r="K47" i="7"/>
  <c r="K46" i="7"/>
  <c r="K45" i="7"/>
  <c r="K44" i="7"/>
  <c r="K43" i="7"/>
  <c r="K42" i="7"/>
  <c r="K41" i="7"/>
  <c r="H74" i="7" l="1"/>
  <c r="G74" i="7"/>
  <c r="F74" i="7"/>
  <c r="E74" i="7"/>
  <c r="G52" i="7"/>
  <c r="L52" i="7" s="1"/>
  <c r="N52" i="7" s="1"/>
  <c r="G51" i="7"/>
  <c r="L51" i="7" s="1"/>
  <c r="N51" i="7" s="1"/>
  <c r="G50" i="7"/>
  <c r="L50" i="7" s="1"/>
  <c r="N50" i="7" s="1"/>
  <c r="G49" i="7"/>
  <c r="L49" i="7" s="1"/>
  <c r="N49" i="7" s="1"/>
  <c r="G48" i="7"/>
  <c r="L48" i="7" s="1"/>
  <c r="N48" i="7" s="1"/>
  <c r="G47" i="7"/>
  <c r="L47" i="7" s="1"/>
  <c r="N47" i="7" s="1"/>
  <c r="G46" i="7"/>
  <c r="L46" i="7" s="1"/>
  <c r="N46" i="7" s="1"/>
  <c r="G45" i="7"/>
  <c r="L45" i="7" s="1"/>
  <c r="N45" i="7" s="1"/>
  <c r="G44" i="7"/>
  <c r="L44" i="7" s="1"/>
  <c r="N44" i="7" s="1"/>
  <c r="G43" i="7"/>
  <c r="L43" i="7" s="1"/>
  <c r="N43" i="7" s="1"/>
  <c r="G42" i="7"/>
  <c r="L42" i="7" s="1"/>
  <c r="N42" i="7" s="1"/>
  <c r="G41" i="7"/>
  <c r="L41" i="7" s="1"/>
  <c r="N41" i="7" s="1"/>
  <c r="M53" i="7"/>
  <c r="K53" i="7"/>
  <c r="J53" i="7"/>
  <c r="I53" i="7"/>
  <c r="H53" i="7"/>
  <c r="F53" i="7"/>
  <c r="D53" i="7"/>
  <c r="B53" i="7"/>
  <c r="M40" i="7"/>
  <c r="J40" i="7"/>
  <c r="I40" i="7"/>
  <c r="H40" i="7"/>
  <c r="F40" i="7"/>
  <c r="D40" i="7"/>
  <c r="B40" i="7"/>
  <c r="K39" i="7"/>
  <c r="G39" i="7"/>
  <c r="K38" i="7"/>
  <c r="G38" i="7"/>
  <c r="K37" i="7"/>
  <c r="G37" i="7"/>
  <c r="K36" i="7"/>
  <c r="G36" i="7"/>
  <c r="K35" i="7"/>
  <c r="G35" i="7"/>
  <c r="K34" i="7"/>
  <c r="G34" i="7"/>
  <c r="K33" i="7"/>
  <c r="G33" i="7"/>
  <c r="K32" i="7"/>
  <c r="G32" i="7"/>
  <c r="K31" i="7"/>
  <c r="G31" i="7"/>
  <c r="K30" i="7"/>
  <c r="G30" i="7"/>
  <c r="K29" i="7"/>
  <c r="G29" i="7"/>
  <c r="K28" i="7"/>
  <c r="G28" i="7"/>
  <c r="M40" i="6"/>
  <c r="M55" i="7" l="1"/>
  <c r="I55" i="7"/>
  <c r="J55" i="7"/>
  <c r="H55" i="7"/>
  <c r="D55" i="7"/>
  <c r="B55" i="7"/>
  <c r="L29" i="7"/>
  <c r="N29" i="7" s="1"/>
  <c r="F55" i="7"/>
  <c r="G53" i="7"/>
  <c r="L53" i="7" s="1"/>
  <c r="N53" i="7" s="1"/>
  <c r="L28" i="7"/>
  <c r="N28" i="7" s="1"/>
  <c r="L37" i="7"/>
  <c r="N37" i="7" s="1"/>
  <c r="L36" i="7"/>
  <c r="N36" i="7" s="1"/>
  <c r="L35" i="7"/>
  <c r="N35" i="7" s="1"/>
  <c r="I74" i="7"/>
  <c r="L30" i="7"/>
  <c r="N30" i="7" s="1"/>
  <c r="L34" i="7"/>
  <c r="N34" i="7" s="1"/>
  <c r="G40" i="7"/>
  <c r="L31" i="7"/>
  <c r="N31" i="7" s="1"/>
  <c r="L38" i="7"/>
  <c r="N38" i="7" s="1"/>
  <c r="L32" i="7"/>
  <c r="N32" i="7" s="1"/>
  <c r="L39" i="7"/>
  <c r="N39" i="7" s="1"/>
  <c r="L33" i="7"/>
  <c r="N33" i="7" s="1"/>
  <c r="K40" i="7"/>
  <c r="L40" i="7" l="1"/>
  <c r="N40" i="7" s="1"/>
  <c r="M42" i="6" l="1"/>
  <c r="G61" i="6"/>
  <c r="F61" i="6"/>
  <c r="E61" i="6"/>
  <c r="H59" i="6"/>
  <c r="H58" i="6"/>
  <c r="H57" i="6"/>
  <c r="H56" i="6"/>
  <c r="H55" i="6"/>
  <c r="H54" i="6"/>
  <c r="H53" i="6"/>
  <c r="H52" i="6"/>
  <c r="H51" i="6"/>
  <c r="H50" i="6"/>
  <c r="H61" i="6" s="1"/>
  <c r="H49" i="6"/>
  <c r="H48" i="6"/>
  <c r="J40" i="6" l="1"/>
  <c r="I40" i="6"/>
  <c r="H40" i="6"/>
  <c r="F40" i="6"/>
  <c r="D40" i="6"/>
  <c r="B40" i="6"/>
  <c r="K39" i="6"/>
  <c r="G39" i="6"/>
  <c r="K38" i="6"/>
  <c r="G38" i="6"/>
  <c r="K37" i="6"/>
  <c r="G37" i="6"/>
  <c r="K36" i="6"/>
  <c r="G36" i="6"/>
  <c r="K35" i="6"/>
  <c r="G35" i="6"/>
  <c r="K34" i="6"/>
  <c r="G34" i="6"/>
  <c r="K33" i="6"/>
  <c r="G33" i="6"/>
  <c r="K32" i="6"/>
  <c r="G32" i="6"/>
  <c r="K31" i="6"/>
  <c r="G31" i="6"/>
  <c r="K30" i="6"/>
  <c r="G30" i="6"/>
  <c r="K29" i="6"/>
  <c r="G29" i="6"/>
  <c r="K28" i="6"/>
  <c r="G28" i="6"/>
  <c r="K24" i="7"/>
  <c r="K55" i="7" s="1"/>
  <c r="G24" i="7"/>
  <c r="G55" i="7" s="1"/>
  <c r="Y7" i="7"/>
  <c r="P6" i="7"/>
  <c r="L36" i="6" l="1"/>
  <c r="N36" i="6" s="1"/>
  <c r="L33" i="6"/>
  <c r="N33" i="6" s="1"/>
  <c r="L32" i="6"/>
  <c r="N32" i="6" s="1"/>
  <c r="L29" i="6"/>
  <c r="N29" i="6" s="1"/>
  <c r="L37" i="6"/>
  <c r="N37" i="6" s="1"/>
  <c r="AA6" i="7"/>
  <c r="L17" i="7"/>
  <c r="L10" i="7"/>
  <c r="L14" i="7"/>
  <c r="L11" i="7"/>
  <c r="L9" i="7"/>
  <c r="L24" i="7"/>
  <c r="Y6" i="7"/>
  <c r="AB6" i="7" s="1"/>
  <c r="AB7" i="7" s="1"/>
  <c r="AB8" i="7" s="1"/>
  <c r="AB9" i="7" s="1"/>
  <c r="AB10" i="7" s="1"/>
  <c r="L15" i="7"/>
  <c r="L16" i="7"/>
  <c r="G40" i="6"/>
  <c r="L31" i="6"/>
  <c r="N31" i="6" s="1"/>
  <c r="L35" i="6"/>
  <c r="N35" i="6" s="1"/>
  <c r="L39" i="6"/>
  <c r="N39" i="6" s="1"/>
  <c r="K40" i="6"/>
  <c r="L30" i="6"/>
  <c r="N30" i="6" s="1"/>
  <c r="L34" i="6"/>
  <c r="N34" i="6" s="1"/>
  <c r="L38" i="6"/>
  <c r="N38" i="6" s="1"/>
  <c r="L28" i="6"/>
  <c r="N28" i="6" s="1"/>
  <c r="L8" i="7"/>
  <c r="L13" i="7"/>
  <c r="P19" i="7"/>
  <c r="L12" i="7"/>
  <c r="L7" i="7"/>
  <c r="J19" i="7"/>
  <c r="K19" i="7" l="1"/>
  <c r="N24" i="7"/>
  <c r="N55" i="7" s="1"/>
  <c r="N56" i="7" s="1"/>
  <c r="L55" i="7"/>
  <c r="AB11" i="7"/>
  <c r="AB12" i="7" s="1"/>
  <c r="AB13" i="7" s="1"/>
  <c r="AB14" i="7" s="1"/>
  <c r="AB15" i="7" s="1"/>
  <c r="AB16" i="7" s="1"/>
  <c r="AB17" i="7" s="1"/>
  <c r="Y18" i="7"/>
  <c r="Y19" i="7" s="1"/>
  <c r="H20" i="7"/>
  <c r="R19" i="7" s="1"/>
  <c r="S19" i="7" s="1"/>
  <c r="AA7" i="7"/>
  <c r="AA8" i="7" s="1"/>
  <c r="AA9" i="7" s="1"/>
  <c r="AA10" i="7" s="1"/>
  <c r="AA11" i="7" s="1"/>
  <c r="AA12" i="7" s="1"/>
  <c r="AA13" i="7" s="1"/>
  <c r="AA14" i="7" s="1"/>
  <c r="AA15" i="7" s="1"/>
  <c r="AA16" i="7" s="1"/>
  <c r="AA17" i="7" s="1"/>
  <c r="X18" i="7"/>
  <c r="L40" i="6"/>
  <c r="N40" i="6" s="1"/>
  <c r="L6" i="7"/>
  <c r="L19" i="7" s="1"/>
  <c r="X11" i="6"/>
  <c r="X19" i="7" l="1"/>
  <c r="Y21" i="7"/>
  <c r="T19" i="7"/>
  <c r="T20" i="7" s="1"/>
  <c r="AA18" i="7"/>
  <c r="H14" i="6"/>
  <c r="G14" i="6" l="1"/>
  <c r="X14" i="6" s="1"/>
  <c r="G13" i="6"/>
  <c r="H13" i="6" l="1"/>
  <c r="X13" i="6" s="1"/>
  <c r="G12" i="6" l="1"/>
  <c r="H12" i="6" l="1"/>
  <c r="X12" i="6" s="1"/>
  <c r="G10" i="4"/>
  <c r="H10" i="4"/>
  <c r="G11" i="4"/>
  <c r="H11" i="4"/>
  <c r="G12" i="4"/>
  <c r="H12" i="4"/>
  <c r="G13" i="4"/>
  <c r="H13" i="4"/>
  <c r="G14" i="4"/>
  <c r="H14" i="4"/>
  <c r="G15" i="4"/>
  <c r="H15" i="4"/>
  <c r="G16" i="4"/>
  <c r="H16" i="4"/>
  <c r="G17" i="4"/>
  <c r="H17" i="4"/>
  <c r="J13" i="6" l="1"/>
  <c r="J14" i="6"/>
  <c r="G15" i="6"/>
  <c r="J15" i="6" s="1"/>
  <c r="K13" i="6"/>
  <c r="G17" i="6"/>
  <c r="G16" i="6"/>
  <c r="K14" i="6"/>
  <c r="K24" i="6"/>
  <c r="G24" i="6"/>
  <c r="O19" i="6"/>
  <c r="N19" i="6"/>
  <c r="F18" i="6"/>
  <c r="F19" i="6" s="1"/>
  <c r="E18" i="6"/>
  <c r="E19" i="6" s="1"/>
  <c r="C18" i="6"/>
  <c r="C19" i="6" s="1"/>
  <c r="P17" i="6"/>
  <c r="Q17" i="7" s="1"/>
  <c r="P16" i="6"/>
  <c r="Q16" i="7" s="1"/>
  <c r="P15" i="6"/>
  <c r="Q15" i="7" s="1"/>
  <c r="P14" i="6"/>
  <c r="P13" i="6"/>
  <c r="P12" i="6"/>
  <c r="K12" i="6"/>
  <c r="J12" i="6"/>
  <c r="P11" i="6"/>
  <c r="K11" i="6"/>
  <c r="J11" i="6"/>
  <c r="P10" i="6"/>
  <c r="H10" i="6"/>
  <c r="G10" i="6"/>
  <c r="J10" i="6" s="1"/>
  <c r="P9" i="6"/>
  <c r="H9" i="6"/>
  <c r="G9" i="6"/>
  <c r="J9" i="6" s="1"/>
  <c r="P8" i="6"/>
  <c r="H8" i="6"/>
  <c r="G8" i="6"/>
  <c r="J8" i="6" s="1"/>
  <c r="P7" i="6"/>
  <c r="H7" i="6"/>
  <c r="G7" i="6"/>
  <c r="J7" i="6" s="1"/>
  <c r="P6" i="6"/>
  <c r="H6" i="6"/>
  <c r="G6" i="6"/>
  <c r="Y9" i="6" l="1"/>
  <c r="Q9" i="7"/>
  <c r="Y10" i="6"/>
  <c r="Q10" i="7"/>
  <c r="Y14" i="6"/>
  <c r="Q14" i="7"/>
  <c r="Y8" i="6"/>
  <c r="Q8" i="7"/>
  <c r="Y7" i="6"/>
  <c r="Q7" i="7"/>
  <c r="Y11" i="6"/>
  <c r="Q11" i="7"/>
  <c r="Y12" i="6"/>
  <c r="Q12" i="7"/>
  <c r="Y13" i="6"/>
  <c r="Q13" i="7"/>
  <c r="S10" i="6"/>
  <c r="Q6" i="7"/>
  <c r="L24" i="6"/>
  <c r="K10" i="6"/>
  <c r="L10" i="6" s="1"/>
  <c r="X10" i="6"/>
  <c r="K8" i="6"/>
  <c r="L8" i="6" s="1"/>
  <c r="X8" i="6"/>
  <c r="K9" i="6"/>
  <c r="L9" i="6" s="1"/>
  <c r="X9" i="6"/>
  <c r="X6" i="6"/>
  <c r="AA6" i="6" s="1"/>
  <c r="Y6" i="6"/>
  <c r="AB6" i="6" s="1"/>
  <c r="AB7" i="6" s="1"/>
  <c r="K7" i="6"/>
  <c r="L7" i="6" s="1"/>
  <c r="X7" i="6"/>
  <c r="Y17" i="6"/>
  <c r="Y16" i="6"/>
  <c r="Y15" i="6"/>
  <c r="J16" i="6"/>
  <c r="J17" i="6"/>
  <c r="J6" i="6"/>
  <c r="B18" i="6"/>
  <c r="B19" i="6" s="1"/>
  <c r="H15" i="6"/>
  <c r="X15" i="6" s="1"/>
  <c r="L12" i="6"/>
  <c r="L14" i="6"/>
  <c r="K6" i="6"/>
  <c r="P19" i="6"/>
  <c r="L11" i="6"/>
  <c r="L13" i="6"/>
  <c r="G18" i="6"/>
  <c r="G19" i="6" s="1"/>
  <c r="N24" i="6" l="1"/>
  <c r="N42" i="6" s="1"/>
  <c r="N43" i="6" s="1"/>
  <c r="L42" i="6"/>
  <c r="AB8" i="6"/>
  <c r="AB9" i="6" s="1"/>
  <c r="AB10" i="6" s="1"/>
  <c r="AB11" i="6" s="1"/>
  <c r="AB12" i="6" s="1"/>
  <c r="AB13" i="6" s="1"/>
  <c r="AB14" i="6" s="1"/>
  <c r="AB15" i="6" s="1"/>
  <c r="AB16" i="6" s="1"/>
  <c r="AB17" i="6" s="1"/>
  <c r="L6" i="6"/>
  <c r="AA7" i="6"/>
  <c r="AA8" i="6" s="1"/>
  <c r="AA9" i="6" s="1"/>
  <c r="AA10" i="6" s="1"/>
  <c r="AA11" i="6" s="1"/>
  <c r="AA12" i="6" s="1"/>
  <c r="AA13" i="6" s="1"/>
  <c r="AA14" i="6" s="1"/>
  <c r="AA15" i="6" s="1"/>
  <c r="J19" i="6"/>
  <c r="Y18" i="6"/>
  <c r="Y19" i="6" s="1"/>
  <c r="K15" i="6"/>
  <c r="L15" i="6" s="1"/>
  <c r="H16" i="6"/>
  <c r="X16" i="6" s="1"/>
  <c r="H17" i="6"/>
  <c r="X17" i="6" s="1"/>
  <c r="S9" i="6" l="1"/>
  <c r="S12" i="6" s="1"/>
  <c r="AA16" i="6"/>
  <c r="AA17" i="6" s="1"/>
  <c r="AA18" i="6" s="1"/>
  <c r="K16" i="6"/>
  <c r="L16" i="6" s="1"/>
  <c r="K17" i="6"/>
  <c r="L17" i="6" s="1"/>
  <c r="H18" i="6"/>
  <c r="H19" i="6" s="1"/>
  <c r="H20" i="6" s="1"/>
  <c r="R19" i="6" s="1"/>
  <c r="D18" i="6"/>
  <c r="D19" i="6" s="1"/>
  <c r="E26" i="5"/>
  <c r="E25" i="5"/>
  <c r="E22" i="5"/>
  <c r="D22" i="5"/>
  <c r="F22" i="5" s="1"/>
  <c r="E21" i="5"/>
  <c r="D21" i="5"/>
  <c r="F21" i="5" s="1"/>
  <c r="B10" i="5"/>
  <c r="B12" i="5" s="1"/>
  <c r="B6" i="5"/>
  <c r="B14" i="5" l="1"/>
  <c r="X18" i="6"/>
  <c r="X19" i="6" s="1"/>
  <c r="L19" i="6"/>
  <c r="K19" i="6"/>
  <c r="S19" i="6"/>
  <c r="T19" i="6" s="1"/>
  <c r="T20" i="6" s="1"/>
  <c r="B26" i="5"/>
  <c r="D26" i="5" s="1"/>
  <c r="F26" i="5" s="1"/>
  <c r="B25" i="5"/>
  <c r="D25" i="5" s="1"/>
  <c r="F25" i="5" s="1"/>
  <c r="F29" i="5" l="1"/>
  <c r="F31" i="5" s="1"/>
  <c r="H7" i="4"/>
  <c r="K7" i="4" s="1"/>
  <c r="H8" i="4"/>
  <c r="K8" i="4" s="1"/>
  <c r="H9" i="4"/>
  <c r="K9" i="4" s="1"/>
  <c r="K10" i="4"/>
  <c r="K11" i="4"/>
  <c r="K12" i="4"/>
  <c r="K13" i="4"/>
  <c r="K14" i="4"/>
  <c r="K15" i="4"/>
  <c r="K16" i="4"/>
  <c r="K17" i="4"/>
  <c r="G7" i="4"/>
  <c r="J7" i="4" s="1"/>
  <c r="G8" i="4"/>
  <c r="J8" i="4" s="1"/>
  <c r="G9" i="4"/>
  <c r="J9" i="4" s="1"/>
  <c r="J10" i="4"/>
  <c r="J11" i="4"/>
  <c r="J12" i="4"/>
  <c r="J13" i="4"/>
  <c r="J14" i="4"/>
  <c r="J15" i="4"/>
  <c r="J16" i="4"/>
  <c r="J17" i="4"/>
  <c r="P7" i="4" l="1"/>
  <c r="Q7" i="6" s="1"/>
  <c r="P8" i="4"/>
  <c r="Q8" i="6" s="1"/>
  <c r="P9" i="4"/>
  <c r="Q9" i="6" s="1"/>
  <c r="P10" i="4"/>
  <c r="Q10" i="6" s="1"/>
  <c r="P11" i="4"/>
  <c r="Q11" i="6" s="1"/>
  <c r="P12" i="4"/>
  <c r="Q12" i="6" s="1"/>
  <c r="P13" i="4"/>
  <c r="Q13" i="6" s="1"/>
  <c r="P14" i="4"/>
  <c r="Q14" i="6" s="1"/>
  <c r="P15" i="4"/>
  <c r="Q15" i="6" s="1"/>
  <c r="P16" i="4"/>
  <c r="Q16" i="6" s="1"/>
  <c r="P17" i="4"/>
  <c r="Q17" i="6" s="1"/>
  <c r="P6" i="4"/>
  <c r="Q6" i="6" s="1"/>
  <c r="F60" i="4"/>
  <c r="E60" i="4"/>
  <c r="G58" i="4"/>
  <c r="G57" i="4"/>
  <c r="G56" i="4"/>
  <c r="G55" i="4"/>
  <c r="G54" i="4"/>
  <c r="G53" i="4"/>
  <c r="G52" i="4"/>
  <c r="G51" i="4"/>
  <c r="G50" i="4"/>
  <c r="G49" i="4"/>
  <c r="G48" i="4"/>
  <c r="G47" i="4"/>
  <c r="G60" i="4" l="1"/>
  <c r="K38" i="4" l="1"/>
  <c r="K37" i="4"/>
  <c r="K36" i="4"/>
  <c r="K35" i="4"/>
  <c r="K34" i="4"/>
  <c r="K33" i="4"/>
  <c r="K32" i="4"/>
  <c r="K31" i="4"/>
  <c r="K30" i="4"/>
  <c r="K29" i="4"/>
  <c r="K28" i="4"/>
  <c r="K27" i="4"/>
  <c r="G38" i="4"/>
  <c r="G37" i="4"/>
  <c r="G36" i="4"/>
  <c r="G35" i="4"/>
  <c r="G34" i="4"/>
  <c r="G33" i="4"/>
  <c r="G32" i="4"/>
  <c r="G31" i="4"/>
  <c r="G30" i="4"/>
  <c r="G29" i="4"/>
  <c r="G28" i="4"/>
  <c r="G27" i="4"/>
  <c r="M39" i="4"/>
  <c r="J39" i="4"/>
  <c r="I39" i="4"/>
  <c r="H39" i="4"/>
  <c r="F39" i="4"/>
  <c r="D39" i="4"/>
  <c r="B39" i="4"/>
  <c r="L30" i="4" l="1"/>
  <c r="N30" i="4" s="1"/>
  <c r="L34" i="4"/>
  <c r="N34" i="4" s="1"/>
  <c r="L38" i="4"/>
  <c r="N38" i="4" s="1"/>
  <c r="G39" i="4"/>
  <c r="K39" i="4"/>
  <c r="L31" i="4"/>
  <c r="N31" i="4" s="1"/>
  <c r="L35" i="4"/>
  <c r="N35" i="4" s="1"/>
  <c r="L28" i="4"/>
  <c r="N28" i="4" s="1"/>
  <c r="L32" i="4"/>
  <c r="N32" i="4" s="1"/>
  <c r="L36" i="4"/>
  <c r="N36" i="4" s="1"/>
  <c r="L29" i="4"/>
  <c r="N29" i="4" s="1"/>
  <c r="L33" i="4"/>
  <c r="N33" i="4" s="1"/>
  <c r="L37" i="4"/>
  <c r="N37" i="4" s="1"/>
  <c r="L27" i="4"/>
  <c r="L39" i="4" l="1"/>
  <c r="N39" i="4" s="1"/>
  <c r="N27" i="4"/>
  <c r="F41" i="4" l="1"/>
  <c r="K24" i="4"/>
  <c r="G24" i="4"/>
  <c r="P19" i="4"/>
  <c r="O19" i="4"/>
  <c r="N19" i="4"/>
  <c r="F18" i="4"/>
  <c r="F19" i="4" s="1"/>
  <c r="E18" i="4"/>
  <c r="E19" i="4" s="1"/>
  <c r="D18" i="4"/>
  <c r="D19" i="4" s="1"/>
  <c r="C18" i="4"/>
  <c r="C19" i="4" s="1"/>
  <c r="B18" i="4"/>
  <c r="B19" i="4" s="1"/>
  <c r="L14" i="4"/>
  <c r="L10" i="4"/>
  <c r="H6" i="4"/>
  <c r="H18" i="4" s="1"/>
  <c r="G6" i="4"/>
  <c r="B41" i="4" l="1"/>
  <c r="D41" i="4"/>
  <c r="J41" i="4"/>
  <c r="L24" i="4"/>
  <c r="G41" i="4"/>
  <c r="N24" i="4"/>
  <c r="G18" i="4"/>
  <c r="G19" i="4" s="1"/>
  <c r="J6" i="4"/>
  <c r="J19" i="4" s="1"/>
  <c r="L12" i="4"/>
  <c r="L16" i="4"/>
  <c r="H41" i="4"/>
  <c r="M41" i="4"/>
  <c r="L9" i="4"/>
  <c r="L11" i="4"/>
  <c r="L13" i="4"/>
  <c r="L15" i="4"/>
  <c r="L17" i="4"/>
  <c r="I41" i="4"/>
  <c r="L8" i="4"/>
  <c r="H19" i="4"/>
  <c r="K6" i="4"/>
  <c r="K19" i="4" s="1"/>
  <c r="L7" i="4"/>
  <c r="C18" i="1"/>
  <c r="D18" i="1"/>
  <c r="E18" i="1"/>
  <c r="F18" i="1"/>
  <c r="K41" i="4" l="1"/>
  <c r="H20" i="4"/>
  <c r="L6" i="4"/>
  <c r="L19" i="4" s="1"/>
  <c r="N41" i="4" l="1"/>
  <c r="N42" i="4" s="1"/>
  <c r="L41" i="4"/>
  <c r="E71" i="1" l="1"/>
  <c r="M51" i="1" l="1"/>
  <c r="J51" i="1"/>
  <c r="I51" i="1"/>
  <c r="H51" i="1"/>
  <c r="F51" i="1"/>
  <c r="D51" i="1"/>
  <c r="B51" i="1"/>
  <c r="K50" i="1"/>
  <c r="G50" i="1"/>
  <c r="K49" i="1"/>
  <c r="G49" i="1"/>
  <c r="K48" i="1"/>
  <c r="G48" i="1"/>
  <c r="K47" i="1"/>
  <c r="G47" i="1"/>
  <c r="K46" i="1"/>
  <c r="G46" i="1"/>
  <c r="K45" i="1"/>
  <c r="G45" i="1"/>
  <c r="K44" i="1"/>
  <c r="G44" i="1"/>
  <c r="K43" i="1"/>
  <c r="G43" i="1"/>
  <c r="K42" i="1"/>
  <c r="G42" i="1"/>
  <c r="K41" i="1"/>
  <c r="G41" i="1"/>
  <c r="K40" i="1"/>
  <c r="G40" i="1"/>
  <c r="K39" i="1"/>
  <c r="G39" i="1"/>
  <c r="M38" i="1"/>
  <c r="J38" i="1"/>
  <c r="I38" i="1"/>
  <c r="H38" i="1"/>
  <c r="F38" i="1"/>
  <c r="D38" i="1"/>
  <c r="B38" i="1"/>
  <c r="K37" i="1"/>
  <c r="G37" i="1"/>
  <c r="K36" i="1"/>
  <c r="G36" i="1"/>
  <c r="K35" i="1"/>
  <c r="G35" i="1"/>
  <c r="K34" i="1"/>
  <c r="G34" i="1"/>
  <c r="K33" i="1"/>
  <c r="G33" i="1"/>
  <c r="K32" i="1"/>
  <c r="G32" i="1"/>
  <c r="K31" i="1"/>
  <c r="G31" i="1"/>
  <c r="K30" i="1"/>
  <c r="G30" i="1"/>
  <c r="K29" i="1"/>
  <c r="G29" i="1"/>
  <c r="K28" i="1"/>
  <c r="G28" i="1"/>
  <c r="K27" i="1"/>
  <c r="G27" i="1"/>
  <c r="K26" i="1"/>
  <c r="G26" i="1"/>
  <c r="K25" i="1"/>
  <c r="G25" i="1"/>
  <c r="P19" i="1"/>
  <c r="O19" i="1"/>
  <c r="N19" i="1"/>
  <c r="F19" i="1"/>
  <c r="E19" i="1"/>
  <c r="C19" i="1"/>
  <c r="B18" i="1"/>
  <c r="B19" i="1" s="1"/>
  <c r="K17" i="1"/>
  <c r="J17" i="1"/>
  <c r="K16" i="1"/>
  <c r="J16" i="1"/>
  <c r="K15" i="1"/>
  <c r="J15" i="1"/>
  <c r="K14" i="1"/>
  <c r="J14" i="1"/>
  <c r="K13" i="1"/>
  <c r="J13" i="1"/>
  <c r="K12" i="1"/>
  <c r="J12" i="1"/>
  <c r="K11" i="1"/>
  <c r="J11" i="1"/>
  <c r="K10" i="1"/>
  <c r="J10" i="1"/>
  <c r="K9" i="1"/>
  <c r="J9" i="1"/>
  <c r="K8" i="1"/>
  <c r="J8" i="1"/>
  <c r="K7" i="1"/>
  <c r="J7" i="1"/>
  <c r="H6" i="1"/>
  <c r="H18" i="1" s="1"/>
  <c r="G6" i="1"/>
  <c r="L11" i="1" l="1"/>
  <c r="L13" i="1"/>
  <c r="L15" i="1"/>
  <c r="L12" i="1"/>
  <c r="G51" i="1"/>
  <c r="G18" i="1"/>
  <c r="G19" i="1" s="1"/>
  <c r="J19" i="1"/>
  <c r="D19" i="1"/>
  <c r="H53" i="1"/>
  <c r="G38" i="1"/>
  <c r="I53" i="1"/>
  <c r="L10" i="1"/>
  <c r="K38" i="1"/>
  <c r="D53" i="1"/>
  <c r="J53" i="1"/>
  <c r="L7" i="1"/>
  <c r="K6" i="1"/>
  <c r="L6" i="1" s="1"/>
  <c r="L8" i="1"/>
  <c r="L17" i="1"/>
  <c r="L28" i="1"/>
  <c r="N28" i="1" s="1"/>
  <c r="L30" i="1"/>
  <c r="N30" i="1" s="1"/>
  <c r="L32" i="1"/>
  <c r="N32" i="1" s="1"/>
  <c r="L34" i="1"/>
  <c r="N34" i="1" s="1"/>
  <c r="L36" i="1"/>
  <c r="N36" i="1" s="1"/>
  <c r="B53" i="1"/>
  <c r="L39" i="1"/>
  <c r="N39" i="1" s="1"/>
  <c r="L41" i="1"/>
  <c r="N41" i="1" s="1"/>
  <c r="L43" i="1"/>
  <c r="N43" i="1" s="1"/>
  <c r="L45" i="1"/>
  <c r="N45" i="1" s="1"/>
  <c r="L47" i="1"/>
  <c r="N47" i="1" s="1"/>
  <c r="L49" i="1"/>
  <c r="N49" i="1" s="1"/>
  <c r="L9" i="1"/>
  <c r="L14" i="1"/>
  <c r="L16" i="1"/>
  <c r="L27" i="1"/>
  <c r="N27" i="1" s="1"/>
  <c r="L29" i="1"/>
  <c r="N29" i="1" s="1"/>
  <c r="L31" i="1"/>
  <c r="N31" i="1" s="1"/>
  <c r="L33" i="1"/>
  <c r="N33" i="1" s="1"/>
  <c r="L35" i="1"/>
  <c r="N35" i="1" s="1"/>
  <c r="L37" i="1"/>
  <c r="N37" i="1" s="1"/>
  <c r="F53" i="1"/>
  <c r="L40" i="1"/>
  <c r="N40" i="1" s="1"/>
  <c r="L42" i="1"/>
  <c r="N42" i="1" s="1"/>
  <c r="L44" i="1"/>
  <c r="N44" i="1" s="1"/>
  <c r="L46" i="1"/>
  <c r="N46" i="1" s="1"/>
  <c r="L48" i="1"/>
  <c r="N48" i="1" s="1"/>
  <c r="L50" i="1"/>
  <c r="N50" i="1" s="1"/>
  <c r="H19" i="1"/>
  <c r="L25" i="1"/>
  <c r="L26" i="1"/>
  <c r="K51" i="1"/>
  <c r="M53" i="1"/>
  <c r="G53" i="1" l="1"/>
  <c r="L51" i="1"/>
  <c r="K19" i="1"/>
  <c r="L19" i="1"/>
  <c r="H20" i="1"/>
  <c r="L38" i="1"/>
  <c r="N26" i="1"/>
  <c r="K53" i="1"/>
  <c r="N25" i="1"/>
  <c r="L53" i="1" l="1"/>
  <c r="N51" i="1"/>
  <c r="N38" i="1"/>
  <c r="N53" i="1" l="1"/>
</calcChain>
</file>

<file path=xl/sharedStrings.xml><?xml version="1.0" encoding="utf-8"?>
<sst xmlns="http://schemas.openxmlformats.org/spreadsheetml/2006/main" count="546" uniqueCount="146">
  <si>
    <t>2017 Subscriber Solar Dashboard</t>
  </si>
  <si>
    <t>BLOCKS INVOICED</t>
  </si>
  <si>
    <t>REVENUES</t>
  </si>
  <si>
    <t>ENERGY GENERATED</t>
  </si>
  <si>
    <t>RESIDENTIAL</t>
  </si>
  <si>
    <t>COMMERCIAL</t>
  </si>
  <si>
    <t>TOTAL BLOCKS</t>
  </si>
  <si>
    <t>6A</t>
  </si>
  <si>
    <t>TOTAL $</t>
  </si>
  <si>
    <t>ON PEAK</t>
  </si>
  <si>
    <t>OFF PEAK</t>
  </si>
  <si>
    <t>TOTAL KWH</t>
  </si>
  <si>
    <t>TOTAL Blocks</t>
  </si>
  <si>
    <t>Res and Comm KWH</t>
  </si>
  <si>
    <t>PROGRAM ADMIN &amp; BILLING SETUP</t>
  </si>
  <si>
    <t>MARKETING</t>
  </si>
  <si>
    <t>Program Mgmt</t>
  </si>
  <si>
    <t>Call Center</t>
  </si>
  <si>
    <t>I/T Billing</t>
  </si>
  <si>
    <t>TOTAL ADMIN</t>
  </si>
  <si>
    <t>Cust Outreach</t>
  </si>
  <si>
    <t>Prod/Collateral</t>
  </si>
  <si>
    <t>Website</t>
  </si>
  <si>
    <t>TOTAL MKTG</t>
  </si>
  <si>
    <t>TOTAL EXP</t>
  </si>
  <si>
    <t>TOTAL EXPENSE</t>
  </si>
  <si>
    <t>Original Budget</t>
  </si>
  <si>
    <t>Variance</t>
  </si>
  <si>
    <t>INTEREST EXPENSE</t>
  </si>
  <si>
    <t>Cancellation Fees</t>
  </si>
  <si>
    <t>Program Management Commentary</t>
  </si>
  <si>
    <t>Program Sales Summary</t>
  </si>
  <si>
    <t>Program Expenses Summary</t>
  </si>
  <si>
    <t>Generation Status</t>
  </si>
  <si>
    <t>Total Program Management/Admin Expenses</t>
  </si>
  <si>
    <t>Total Marketing Expenses</t>
  </si>
  <si>
    <t>Total Expenses</t>
  </si>
  <si>
    <t>Total Residential Block Revenues</t>
  </si>
  <si>
    <t>Total Program Revenues</t>
  </si>
  <si>
    <t>Variance to Budget</t>
  </si>
  <si>
    <t>COST OF GENERATION</t>
  </si>
  <si>
    <t>Unsold Generation</t>
  </si>
  <si>
    <t>Cost</t>
  </si>
  <si>
    <t xml:space="preserve">Generation Purchased </t>
  </si>
  <si>
    <t xml:space="preserve">Generation Sold </t>
  </si>
  <si>
    <t xml:space="preserve">TOTAL </t>
  </si>
  <si>
    <t>Total Interest Expense</t>
  </si>
  <si>
    <t>2018 Subscriber Solar Dashboard</t>
  </si>
  <si>
    <t>TOTAL</t>
  </si>
  <si>
    <t>Total Non-Residential Block Revenues</t>
  </si>
  <si>
    <t>Less Interest, plus cancellation fees</t>
  </si>
  <si>
    <t>Donated</t>
  </si>
  <si>
    <t>Generation Purchased/Unused Credits</t>
  </si>
  <si>
    <t>Subscriber Solar Credit - Excess Energy Valuation</t>
  </si>
  <si>
    <t>Onpeak</t>
  </si>
  <si>
    <t>Hrs</t>
  </si>
  <si>
    <t>Hrs Per Day (6am to 10pm)</t>
  </si>
  <si>
    <t>Days Per Week</t>
  </si>
  <si>
    <t xml:space="preserve">  Total</t>
  </si>
  <si>
    <t>Offpeak (10pm to 6am)</t>
  </si>
  <si>
    <t>Days</t>
  </si>
  <si>
    <t>Sunday</t>
  </si>
  <si>
    <t>Total Hours</t>
  </si>
  <si>
    <t>Reconcile 7 * 24</t>
  </si>
  <si>
    <t>Percent</t>
  </si>
  <si>
    <t>Sch. 37</t>
  </si>
  <si>
    <t>Calc</t>
  </si>
  <si>
    <t>Allocation (8 mo)</t>
  </si>
  <si>
    <t>cents per kWh</t>
  </si>
  <si>
    <t>Onpeak Rate</t>
  </si>
  <si>
    <t>Offpeak Rate</t>
  </si>
  <si>
    <t>Allocation (4 mo)</t>
  </si>
  <si>
    <t>Total Avoided Cost (per kWh)</t>
  </si>
  <si>
    <t>Annualized Billing Period (12 months)</t>
  </si>
  <si>
    <t>Click to see Solar Credits Donated Worksheet</t>
  </si>
  <si>
    <t>2015-2018 EXPENSE DETAIL</t>
  </si>
  <si>
    <t>2015-2017 EXPENSE DETAIL</t>
  </si>
  <si>
    <t>Grand Total</t>
  </si>
  <si>
    <t>Customer Class</t>
  </si>
  <si>
    <t>Donation</t>
  </si>
  <si>
    <t>Commercial</t>
  </si>
  <si>
    <t>Industrial</t>
  </si>
  <si>
    <t>Residential</t>
  </si>
  <si>
    <t>Jan</t>
  </si>
  <si>
    <t>Feb</t>
  </si>
  <si>
    <t>Mar</t>
  </si>
  <si>
    <t>Apr</t>
  </si>
  <si>
    <t>May</t>
  </si>
  <si>
    <t>Jun</t>
  </si>
  <si>
    <t>Jul</t>
  </si>
  <si>
    <t>Aug</t>
  </si>
  <si>
    <t>Sep</t>
  </si>
  <si>
    <t>Oct</t>
  </si>
  <si>
    <t>Nov</t>
  </si>
  <si>
    <t>Dec</t>
  </si>
  <si>
    <t>Uses volumetric winter and summer energy prices for on-peak and off-peak hours for non-levelized tracking solar facilities</t>
  </si>
  <si>
    <t>2019 Subscriber Solar Dashboard</t>
  </si>
  <si>
    <t>Forecast</t>
  </si>
  <si>
    <t># Blocks Avail</t>
  </si>
  <si>
    <t>kWh Var.</t>
  </si>
  <si>
    <t>Average 2017/2018</t>
  </si>
  <si>
    <t>Sold</t>
  </si>
  <si>
    <t>Generated</t>
  </si>
  <si>
    <t>YTD</t>
  </si>
  <si>
    <t>Over/Undersold</t>
  </si>
  <si>
    <t>Forecast Sold</t>
  </si>
  <si>
    <t>Actual Month to Date</t>
  </si>
  <si>
    <t>Remaining Blocks/Month</t>
  </si>
  <si>
    <t>Avg</t>
  </si>
  <si>
    <t>Cumulative Generated</t>
  </si>
  <si>
    <t>Cumulative Sold</t>
  </si>
  <si>
    <t>2020 Subscriber Solar Dashboard</t>
  </si>
  <si>
    <t>Solar Credits Donated to Low Income Assistance Fund</t>
  </si>
  <si>
    <t>Utah Liability Account Balance Reconciliation</t>
  </si>
  <si>
    <t>KWH INVOICED</t>
  </si>
  <si>
    <t>Unsold kWh</t>
  </si>
  <si>
    <t>2021 Subscriber Solar Dashboard</t>
  </si>
  <si>
    <t>2022 Subscriber Solar Dashboard</t>
  </si>
  <si>
    <t>Block Customers</t>
  </si>
  <si>
    <t>Full Coverage</t>
  </si>
  <si>
    <t>Unsold Generation EBA Charge</t>
  </si>
  <si>
    <t>EBA Charge</t>
  </si>
  <si>
    <t>Annual Interest =</t>
  </si>
  <si>
    <t>Amortization =</t>
  </si>
  <si>
    <t>2023 Subscriber Solar Dashboard</t>
  </si>
  <si>
    <t>2024 Subscriber Solar Dashboard</t>
  </si>
  <si>
    <t>2015-2024 EXPENSE DETAIL</t>
  </si>
  <si>
    <t>2024 Subscriber Solar Summary Report</t>
  </si>
  <si>
    <t>2024 Program Marketing and Communications Highlights</t>
  </si>
  <si>
    <t>2024 NEWSLETTER - PROGRAM IN REVIEW</t>
  </si>
  <si>
    <t>2024 SUBSCRIPTIONS AND MARKETING</t>
  </si>
  <si>
    <t>2024 KWH</t>
  </si>
  <si>
    <t>2024 % Sold</t>
  </si>
  <si>
    <t>Mix as of March 1, 2025</t>
  </si>
  <si>
    <t>Jan 2017-Dec 2024 kWh</t>
  </si>
  <si>
    <t>2024 Generation</t>
  </si>
  <si>
    <t>2024 kWh</t>
  </si>
  <si>
    <t>Jan 2024 Liability Account Balance =</t>
  </si>
  <si>
    <t>2024 Program Expenses =</t>
  </si>
  <si>
    <t>Dec 2024 Liability Account Balance  =</t>
  </si>
  <si>
    <t xml:space="preserve">The annual Subscriber Solar Newsletter is in development and will be sent during May 2025. The newsletter will be sent electonically to all customers unless we do not have an email address, then they will be sent a hard copy. </t>
  </si>
  <si>
    <t>The program sold 98.1% of production during CY2024, deficit primarily due to cancellations and gaps between billing cycles of new customer subscriptions as well as the addition of full coverage. Marketing costs were low and mainly focused on expanding awareness through co-marketing partnership opportunities with other programs as well as a small email campaign in July.</t>
  </si>
  <si>
    <t>2024 Winter (Oct-May) - Prices effective June 1, 2023 (time of valuation/single donation)</t>
  </si>
  <si>
    <t>2024 Summer (Jun-Sep) - Prices effective June 15, 2024 (time of valuation/single donation)</t>
  </si>
  <si>
    <t>Total Donated kWh value, 2024</t>
  </si>
  <si>
    <t>The program continues to be fully subscribed and we continue to get interest in more availablity. Salt Lake City has requested to have their Subscriber Solar RECs deposited in their own WREGIS account. They supported 4,510,351 kWh through Subscriber Solar in 2023, therefore 4,511 RECs were transferred to their WREGIS account and retired.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</si>
</sst>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quot;$&quot;#,##0"/>
    <numFmt numFmtId="166" formatCode="[$-409]mmm\-yy;@"/>
    <numFmt numFmtId="167" formatCode="0.0%"/>
    <numFmt numFmtId="168" formatCode="0.000"/>
    <numFmt numFmtId="169" formatCode="&quot;$&quot;#,##0.0000_);\(&quot;$&quot;#,##0.0000\)"/>
    <numFmt numFmtId="170" formatCode="_(* #,##0_);_(* \(#,##0\);_(* &quot;-&quot;??_);_(@_)"/>
    <numFmt numFmtId="171" formatCode="0.000%"/>
  </numFmts>
  <fonts count="38">
    <font>
      <sz val="11"/>
      <color theme="1"/>
      <name val="Calibri"/>
      <family val="2"/>
      <scheme val="minor"/>
    </font>
    <font>
      <sz val="11"/>
      <color theme="1"/>
      <name val="Calibri"/>
      <family val="2"/>
      <scheme val="minor"/>
    </font>
    <font>
      <sz val="18"/>
      <color theme="3"/>
      <name val="Calibri Light"/>
      <family val="2"/>
      <scheme val="major"/>
    </font>
    <font>
      <b/>
      <sz val="11"/>
      <color theme="1"/>
      <name val="Calibri"/>
      <family val="2"/>
      <scheme val="minor"/>
    </font>
    <font>
      <b/>
      <sz val="25"/>
      <color theme="0"/>
      <name val="Gill Sans MT"/>
      <family val="2"/>
    </font>
    <font>
      <sz val="25"/>
      <color theme="1"/>
      <name val="Calibri"/>
      <family val="2"/>
      <scheme val="minor"/>
    </font>
    <font>
      <b/>
      <sz val="15"/>
      <color theme="0"/>
      <name val="Gill Sans MT"/>
      <family val="2"/>
    </font>
    <font>
      <sz val="15"/>
      <color theme="0"/>
      <name val="Gill Sans MT"/>
      <family val="2"/>
    </font>
    <font>
      <sz val="11"/>
      <color theme="0"/>
      <name val="Gill Sans MT"/>
      <family val="2"/>
    </font>
    <font>
      <b/>
      <sz val="15"/>
      <name val="Calibri"/>
      <family val="2"/>
      <scheme val="minor"/>
    </font>
    <font>
      <sz val="15"/>
      <name val="Calibri"/>
      <family val="2"/>
      <scheme val="minor"/>
    </font>
    <font>
      <b/>
      <sz val="11"/>
      <name val="Calibri"/>
      <family val="2"/>
      <scheme val="minor"/>
    </font>
    <font>
      <b/>
      <sz val="17"/>
      <color theme="0"/>
      <name val="Gill Sans MT"/>
      <family val="2"/>
    </font>
    <font>
      <sz val="10"/>
      <name val="Arial"/>
      <family val="2"/>
    </font>
    <font>
      <b/>
      <sz val="12"/>
      <name val="GillSans"/>
      <family val="2"/>
    </font>
    <font>
      <sz val="10"/>
      <color rgb="FF0070C0"/>
      <name val="Gill Sans MT"/>
      <family val="2"/>
    </font>
    <font>
      <sz val="14"/>
      <color rgb="FF0070C0"/>
      <name val="Arial"/>
      <family val="2"/>
    </font>
    <font>
      <b/>
      <sz val="14"/>
      <name val="Arial"/>
      <family val="2"/>
    </font>
    <font>
      <sz val="11"/>
      <name val="GillSans"/>
      <family val="2"/>
    </font>
    <font>
      <sz val="10"/>
      <name val="Gill Sans MT"/>
      <family val="2"/>
    </font>
    <font>
      <b/>
      <sz val="12"/>
      <color theme="3" tint="-0.499984740745262"/>
      <name val="Calibri"/>
      <family val="2"/>
      <scheme val="minor"/>
    </font>
    <font>
      <u/>
      <sz val="11"/>
      <color theme="10"/>
      <name val="Calibri"/>
      <family val="2"/>
      <scheme val="minor"/>
    </font>
    <font>
      <u/>
      <sz val="11"/>
      <color rgb="FF7030A0"/>
      <name val="Calibri"/>
      <family val="2"/>
      <scheme val="minor"/>
    </font>
    <font>
      <b/>
      <sz val="12"/>
      <name val="Arial"/>
      <family val="2"/>
    </font>
    <font>
      <b/>
      <sz val="10"/>
      <name val="Gill Sans MT"/>
      <family val="2"/>
    </font>
    <font>
      <b/>
      <sz val="14"/>
      <color rgb="FF0070C0"/>
      <name val="Arial"/>
      <family val="2"/>
    </font>
    <font>
      <sz val="11"/>
      <color rgb="FF7030A0"/>
      <name val="Calibri"/>
      <family val="2"/>
      <scheme val="minor"/>
    </font>
    <font>
      <b/>
      <sz val="12"/>
      <color rgb="FF0070C0"/>
      <name val="Gill Sans MT"/>
      <family val="2"/>
    </font>
    <font>
      <b/>
      <sz val="12"/>
      <name val="Gill Sans MT"/>
      <family val="2"/>
    </font>
    <font>
      <b/>
      <sz val="14"/>
      <color rgb="FF0070C0"/>
      <name val="Gill Sans MT"/>
      <family val="2"/>
    </font>
    <font>
      <sz val="11"/>
      <color theme="0"/>
      <name val="Calibri"/>
      <family val="2"/>
      <scheme val="minor"/>
    </font>
    <font>
      <sz val="11"/>
      <name val="Calibri"/>
      <family val="2"/>
      <scheme val="minor"/>
    </font>
    <font>
      <sz val="12"/>
      <name val="Gill Sans MT"/>
      <family val="2"/>
    </font>
    <font>
      <b/>
      <sz val="11"/>
      <name val="GillSans"/>
    </font>
    <font>
      <sz val="11"/>
      <color rgb="FFFF0000"/>
      <name val="GillSans"/>
      <family val="2"/>
    </font>
    <font>
      <sz val="10"/>
      <color rgb="FFFF0000"/>
      <name val="Gill Sans MT"/>
      <family val="2"/>
    </font>
    <font>
      <b/>
      <sz val="12"/>
      <color rgb="FFFF0000"/>
      <name val="Arial"/>
      <family val="2"/>
    </font>
    <font>
      <b/>
      <sz val="10"/>
      <color rgb="FFFF0000"/>
      <name val="Gill Sans MT"/>
      <family val="2"/>
    </font>
  </fonts>
  <fills count="20">
    <fill>
      <patternFill patternType="none"/>
    </fill>
    <fill>
      <patternFill patternType="gray125"/>
    </fill>
    <fill>
      <patternFill patternType="solid">
        <fgColor rgb="FF00B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3" fillId="0" borderId="0"/>
    <xf numFmtId="0" fontId="21" fillId="0" borderId="0" applyNumberFormat="0" applyFill="0" applyBorder="0" applyAlignment="0" applyProtection="0"/>
    <xf numFmtId="43" fontId="1" fillId="0" borderId="0" applyFont="0" applyFill="0" applyBorder="0" applyAlignment="0" applyProtection="0"/>
    <xf numFmtId="44" fontId="13" fillId="0" borderId="0" applyFont="0" applyFill="0" applyBorder="0" applyAlignment="0" applyProtection="0"/>
  </cellStyleXfs>
  <cellXfs count="305">
    <xf numFmtId="0" fontId="0" fillId="0" borderId="0" xfId="0"/>
    <xf numFmtId="0" fontId="6" fillId="0" borderId="0" xfId="4" applyFont="1" applyFill="1" applyAlignment="1" applyProtection="1">
      <alignment vertical="center"/>
      <protection locked="0"/>
    </xf>
    <xf numFmtId="0" fontId="7" fillId="0" borderId="0" xfId="0" applyFont="1" applyAlignment="1">
      <alignment vertical="center"/>
    </xf>
    <xf numFmtId="0" fontId="8" fillId="0" borderId="0" xfId="0" applyFont="1"/>
    <xf numFmtId="0" fontId="8" fillId="0" borderId="0" xfId="0" applyFont="1" applyProtection="1">
      <protection locked="0"/>
    </xf>
    <xf numFmtId="0" fontId="10" fillId="0" borderId="0" xfId="0" applyFont="1" applyAlignment="1">
      <alignment horizontal="left" vertical="center"/>
    </xf>
    <xf numFmtId="0" fontId="0" fillId="0" borderId="1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9"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5" xfId="0" applyFont="1" applyBorder="1" applyAlignment="1">
      <alignment horizontal="center" vertical="center"/>
    </xf>
    <xf numFmtId="17" fontId="0" fillId="0" borderId="6" xfId="0" applyNumberFormat="1" applyBorder="1" applyAlignment="1">
      <alignment horizontal="center" vertical="center"/>
    </xf>
    <xf numFmtId="3" fontId="0" fillId="4" borderId="1" xfId="0" applyNumberFormat="1" applyFill="1" applyBorder="1" applyAlignment="1">
      <alignment horizontal="center" vertical="center"/>
    </xf>
    <xf numFmtId="3" fontId="0" fillId="5" borderId="1" xfId="0" applyNumberFormat="1" applyFill="1" applyBorder="1" applyAlignment="1">
      <alignment horizontal="center" vertical="center"/>
    </xf>
    <xf numFmtId="3" fontId="3" fillId="4"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164" fontId="0" fillId="4" borderId="1" xfId="2" applyNumberFormat="1" applyFont="1" applyFill="1" applyBorder="1" applyAlignment="1">
      <alignment horizontal="center" vertical="center"/>
    </xf>
    <xf numFmtId="164" fontId="0" fillId="5" borderId="1" xfId="2" applyNumberFormat="1" applyFont="1" applyFill="1" applyBorder="1" applyAlignment="1">
      <alignment horizontal="center" vertical="center"/>
    </xf>
    <xf numFmtId="164" fontId="3" fillId="0" borderId="5" xfId="0" applyNumberFormat="1" applyFont="1" applyBorder="1" applyAlignment="1">
      <alignment horizontal="center" vertical="center"/>
    </xf>
    <xf numFmtId="3" fontId="0" fillId="6" borderId="1" xfId="0" applyNumberFormat="1" applyFill="1" applyBorder="1" applyAlignment="1">
      <alignment horizontal="center" vertical="center"/>
    </xf>
    <xf numFmtId="3" fontId="3" fillId="0" borderId="5" xfId="0" applyNumberFormat="1" applyFont="1" applyBorder="1" applyAlignment="1">
      <alignment horizontal="center" vertical="center"/>
    </xf>
    <xf numFmtId="1" fontId="3" fillId="5" borderId="1" xfId="0" applyNumberFormat="1" applyFont="1" applyFill="1" applyBorder="1" applyAlignment="1">
      <alignment horizontal="center" vertical="center"/>
    </xf>
    <xf numFmtId="0" fontId="3" fillId="0" borderId="6" xfId="0" applyFont="1" applyBorder="1" applyAlignment="1">
      <alignment horizontal="right" vertical="center"/>
    </xf>
    <xf numFmtId="3" fontId="3" fillId="0" borderId="0" xfId="0" applyNumberFormat="1" applyFont="1" applyAlignment="1">
      <alignment horizontal="center" vertical="center"/>
    </xf>
    <xf numFmtId="0" fontId="0" fillId="0" borderId="0" xfId="0" applyAlignment="1">
      <alignment vertical="center"/>
    </xf>
    <xf numFmtId="164" fontId="0" fillId="0" borderId="0" xfId="0" applyNumberFormat="1" applyAlignment="1">
      <alignment horizontal="center" vertical="center"/>
    </xf>
    <xf numFmtId="164" fontId="0" fillId="0" borderId="0" xfId="0" applyNumberFormat="1" applyAlignment="1">
      <alignment vertical="center"/>
    </xf>
    <xf numFmtId="0" fontId="0" fillId="0" borderId="6" xfId="0" applyBorder="1" applyAlignment="1">
      <alignment horizontal="left" vertical="center" indent="1"/>
    </xf>
    <xf numFmtId="3" fontId="0" fillId="0" borderId="0" xfId="0" applyNumberFormat="1" applyAlignment="1">
      <alignment vertical="center"/>
    </xf>
    <xf numFmtId="10" fontId="0" fillId="0" borderId="0" xfId="0" applyNumberFormat="1" applyAlignment="1">
      <alignment vertical="center"/>
    </xf>
    <xf numFmtId="0" fontId="3" fillId="0" borderId="6" xfId="0" applyFont="1" applyBorder="1" applyAlignment="1">
      <alignment horizontal="right"/>
    </xf>
    <xf numFmtId="3" fontId="3" fillId="0" borderId="0" xfId="0" applyNumberFormat="1" applyFont="1" applyAlignment="1">
      <alignment horizontal="center"/>
    </xf>
    <xf numFmtId="3" fontId="3" fillId="0" borderId="5" xfId="0" applyNumberFormat="1" applyFont="1" applyBorder="1" applyAlignment="1">
      <alignment horizontal="center"/>
    </xf>
    <xf numFmtId="4" fontId="3" fillId="0" borderId="0" xfId="0" applyNumberFormat="1" applyFont="1" applyAlignment="1">
      <alignment vertical="center"/>
    </xf>
    <xf numFmtId="164" fontId="3" fillId="0" borderId="0" xfId="0" applyNumberFormat="1" applyFont="1" applyAlignment="1">
      <alignment horizontal="center" vertical="center"/>
    </xf>
    <xf numFmtId="164" fontId="11" fillId="7" borderId="1" xfId="0" applyNumberFormat="1" applyFont="1" applyFill="1" applyBorder="1" applyAlignment="1">
      <alignment horizontal="center" vertical="center"/>
    </xf>
    <xf numFmtId="3" fontId="3" fillId="8" borderId="0" xfId="0" applyNumberFormat="1" applyFont="1" applyFill="1" applyAlignment="1">
      <alignment horizontal="center"/>
    </xf>
    <xf numFmtId="3" fontId="3" fillId="7" borderId="5" xfId="0" applyNumberFormat="1" applyFont="1" applyFill="1" applyBorder="1" applyAlignment="1">
      <alignment horizontal="center"/>
    </xf>
    <xf numFmtId="0" fontId="0" fillId="0" borderId="6" xfId="0" applyBorder="1"/>
    <xf numFmtId="0" fontId="0" fillId="0" borderId="0" xfId="0" applyAlignment="1">
      <alignment horizontal="center" vertical="center"/>
    </xf>
    <xf numFmtId="3" fontId="0" fillId="0" borderId="0" xfId="0" applyNumberFormat="1" applyAlignment="1">
      <alignment horizontal="center" vertical="center"/>
    </xf>
    <xf numFmtId="10" fontId="0" fillId="0" borderId="0" xfId="0" applyNumberFormat="1" applyAlignment="1">
      <alignment horizontal="center" vertical="center"/>
    </xf>
    <xf numFmtId="0" fontId="0" fillId="0" borderId="0" xfId="0" applyAlignment="1">
      <alignment horizontal="right"/>
    </xf>
    <xf numFmtId="3" fontId="3" fillId="7" borderId="13" xfId="0" applyNumberFormat="1" applyFont="1" applyFill="1" applyBorder="1" applyAlignment="1">
      <alignment horizontal="center"/>
    </xf>
    <xf numFmtId="0" fontId="0" fillId="0" borderId="0" xfId="0" applyAlignment="1">
      <alignment horizontal="left" vertical="center"/>
    </xf>
    <xf numFmtId="4" fontId="0" fillId="0" borderId="0" xfId="0" applyNumberFormat="1" applyAlignment="1">
      <alignment vertical="center"/>
    </xf>
    <xf numFmtId="0" fontId="0" fillId="0" borderId="5" xfId="0" applyBorder="1"/>
    <xf numFmtId="0" fontId="0" fillId="0" borderId="6" xfId="0" applyBorder="1" applyAlignment="1">
      <alignment horizontal="right" vertical="center"/>
    </xf>
    <xf numFmtId="0" fontId="0" fillId="0" borderId="12" xfId="0" applyBorder="1" applyAlignment="1">
      <alignment vertical="center"/>
    </xf>
    <xf numFmtId="0" fontId="0" fillId="0" borderId="11" xfId="0" applyBorder="1" applyAlignment="1">
      <alignment vertical="center"/>
    </xf>
    <xf numFmtId="0" fontId="0" fillId="0" borderId="0" xfId="0" applyAlignment="1">
      <alignment horizontal="center"/>
    </xf>
    <xf numFmtId="0" fontId="3" fillId="9" borderId="8" xfId="0" applyFont="1" applyFill="1" applyBorder="1" applyAlignment="1">
      <alignment horizontal="center"/>
    </xf>
    <xf numFmtId="0" fontId="3" fillId="10" borderId="7" xfId="0" applyFont="1" applyFill="1" applyBorder="1" applyAlignment="1">
      <alignment horizontal="center"/>
    </xf>
    <xf numFmtId="0" fontId="3" fillId="10" borderId="8" xfId="0" applyFont="1" applyFill="1" applyBorder="1" applyAlignment="1" applyProtection="1">
      <alignment horizontal="center"/>
      <protection locked="0"/>
    </xf>
    <xf numFmtId="0" fontId="3" fillId="0" borderId="2" xfId="0" applyFont="1" applyBorder="1" applyAlignment="1">
      <alignment horizontal="center" vertical="center"/>
    </xf>
    <xf numFmtId="164" fontId="3" fillId="0" borderId="4" xfId="0" applyNumberFormat="1" applyFont="1" applyBorder="1" applyAlignment="1">
      <alignment horizontal="center"/>
    </xf>
    <xf numFmtId="164" fontId="3" fillId="0" borderId="7" xfId="0" applyNumberFormat="1" applyFont="1" applyBorder="1" applyAlignment="1">
      <alignment horizontal="center"/>
    </xf>
    <xf numFmtId="164" fontId="0" fillId="0" borderId="5" xfId="0" applyNumberFormat="1" applyBorder="1" applyAlignment="1">
      <alignment horizontal="center"/>
    </xf>
    <xf numFmtId="164" fontId="0" fillId="0" borderId="0" xfId="0" applyNumberFormat="1" applyAlignment="1">
      <alignment horizontal="center"/>
    </xf>
    <xf numFmtId="164" fontId="3" fillId="0" borderId="3" xfId="0" applyNumberFormat="1" applyFont="1" applyBorder="1" applyAlignment="1">
      <alignment horizontal="center"/>
    </xf>
    <xf numFmtId="164" fontId="3" fillId="0" borderId="2" xfId="0" applyNumberFormat="1" applyFont="1" applyBorder="1" applyAlignment="1">
      <alignment horizontal="center"/>
    </xf>
    <xf numFmtId="164" fontId="0" fillId="0" borderId="5" xfId="0" applyNumberFormat="1" applyBorder="1" applyAlignment="1">
      <alignment horizontal="center" vertical="center"/>
    </xf>
    <xf numFmtId="0" fontId="3" fillId="0" borderId="0" xfId="0" applyFont="1"/>
    <xf numFmtId="164" fontId="3" fillId="0" borderId="0" xfId="0" applyNumberFormat="1" applyFont="1" applyAlignment="1">
      <alignment horizontal="center"/>
    </xf>
    <xf numFmtId="0" fontId="3" fillId="9" borderId="7" xfId="0" applyFont="1" applyFill="1" applyBorder="1" applyAlignment="1">
      <alignment horizontal="center"/>
    </xf>
    <xf numFmtId="164" fontId="3" fillId="11" borderId="8" xfId="0" applyNumberFormat="1" applyFont="1" applyFill="1" applyBorder="1" applyAlignment="1">
      <alignment horizontal="center"/>
    </xf>
    <xf numFmtId="164" fontId="3" fillId="11" borderId="5" xfId="0" applyNumberFormat="1" applyFont="1" applyFill="1" applyBorder="1" applyAlignment="1">
      <alignment horizontal="center"/>
    </xf>
    <xf numFmtId="164" fontId="3" fillId="11" borderId="3" xfId="0" applyNumberFormat="1" applyFont="1" applyFill="1" applyBorder="1" applyAlignment="1">
      <alignment horizontal="center"/>
    </xf>
    <xf numFmtId="164" fontId="3" fillId="11" borderId="5" xfId="0" applyNumberFormat="1" applyFont="1" applyFill="1" applyBorder="1" applyAlignment="1">
      <alignment horizontal="center" vertical="center"/>
    </xf>
    <xf numFmtId="164" fontId="3" fillId="12" borderId="5" xfId="0" applyNumberFormat="1" applyFont="1" applyFill="1" applyBorder="1" applyAlignment="1">
      <alignment horizontal="center"/>
    </xf>
    <xf numFmtId="164" fontId="3" fillId="12" borderId="5" xfId="0" applyNumberFormat="1" applyFont="1" applyFill="1" applyBorder="1" applyAlignment="1">
      <alignment horizontal="center" vertical="center"/>
    </xf>
    <xf numFmtId="164" fontId="3" fillId="10" borderId="8" xfId="0" applyNumberFormat="1" applyFont="1" applyFill="1" applyBorder="1" applyAlignment="1">
      <alignment horizontal="center"/>
    </xf>
    <xf numFmtId="164" fontId="3" fillId="10" borderId="4" xfId="0" applyNumberFormat="1" applyFont="1" applyFill="1" applyBorder="1" applyAlignment="1">
      <alignment horizontal="center"/>
    </xf>
    <xf numFmtId="164" fontId="3" fillId="13" borderId="8" xfId="0" applyNumberFormat="1" applyFont="1" applyFill="1" applyBorder="1" applyAlignment="1">
      <alignment horizontal="center"/>
    </xf>
    <xf numFmtId="164" fontId="3" fillId="13" borderId="5" xfId="0" applyNumberFormat="1" applyFont="1" applyFill="1" applyBorder="1" applyAlignment="1">
      <alignment horizontal="center"/>
    </xf>
    <xf numFmtId="164" fontId="3" fillId="13" borderId="4" xfId="0" applyNumberFormat="1" applyFont="1" applyFill="1" applyBorder="1" applyAlignment="1">
      <alignment horizontal="center"/>
    </xf>
    <xf numFmtId="164" fontId="3" fillId="13" borderId="5" xfId="0" applyNumberFormat="1" applyFont="1" applyFill="1" applyBorder="1" applyAlignment="1">
      <alignment horizontal="center" vertical="center"/>
    </xf>
    <xf numFmtId="164" fontId="3" fillId="12" borderId="21" xfId="0" applyNumberFormat="1" applyFont="1" applyFill="1" applyBorder="1" applyAlignment="1">
      <alignment horizontal="center"/>
    </xf>
    <xf numFmtId="0" fontId="0" fillId="12" borderId="0" xfId="0" applyFill="1" applyAlignment="1" applyProtection="1">
      <alignment horizontal="center"/>
      <protection locked="0"/>
    </xf>
    <xf numFmtId="164" fontId="3" fillId="12" borderId="0" xfId="0" applyNumberFormat="1" applyFont="1" applyFill="1" applyAlignment="1">
      <alignment horizontal="center"/>
    </xf>
    <xf numFmtId="0" fontId="0" fillId="11" borderId="0" xfId="0" applyFill="1" applyAlignment="1">
      <alignment horizontal="center"/>
    </xf>
    <xf numFmtId="164" fontId="3" fillId="11" borderId="0" xfId="0" applyNumberFormat="1" applyFont="1" applyFill="1" applyAlignment="1">
      <alignment horizontal="center"/>
    </xf>
    <xf numFmtId="0" fontId="0" fillId="13" borderId="0" xfId="0" applyFill="1" applyAlignment="1" applyProtection="1">
      <alignment horizontal="center"/>
      <protection locked="0"/>
    </xf>
    <xf numFmtId="164" fontId="3" fillId="13" borderId="0" xfId="0" applyNumberFormat="1" applyFont="1" applyFill="1" applyAlignment="1">
      <alignment horizontal="center"/>
    </xf>
    <xf numFmtId="0" fontId="0" fillId="10" borderId="0" xfId="0" applyFill="1"/>
    <xf numFmtId="164" fontId="3" fillId="10" borderId="0" xfId="0" applyNumberFormat="1" applyFont="1" applyFill="1" applyAlignment="1">
      <alignment horizontal="center"/>
    </xf>
    <xf numFmtId="164" fontId="3" fillId="12" borderId="3" xfId="0" applyNumberFormat="1" applyFont="1" applyFill="1" applyBorder="1" applyAlignment="1">
      <alignment horizontal="center"/>
    </xf>
    <xf numFmtId="164" fontId="3" fillId="10" borderId="2" xfId="0" applyNumberFormat="1" applyFont="1" applyFill="1" applyBorder="1" applyAlignment="1">
      <alignment horizontal="center"/>
    </xf>
    <xf numFmtId="164" fontId="3" fillId="12" borderId="9" xfId="0" applyNumberFormat="1" applyFont="1" applyFill="1" applyBorder="1" applyAlignment="1">
      <alignment horizontal="center"/>
    </xf>
    <xf numFmtId="0" fontId="3" fillId="12" borderId="2" xfId="0" applyFont="1" applyFill="1" applyBorder="1" applyAlignment="1">
      <alignment horizontal="center"/>
    </xf>
    <xf numFmtId="164" fontId="3" fillId="10" borderId="9" xfId="0" applyNumberFormat="1" applyFont="1" applyFill="1" applyBorder="1" applyAlignment="1">
      <alignment horizontal="center"/>
    </xf>
    <xf numFmtId="0" fontId="3" fillId="10" borderId="2" xfId="0" applyFont="1" applyFill="1" applyBorder="1" applyAlignment="1">
      <alignment horizontal="center"/>
    </xf>
    <xf numFmtId="0" fontId="3" fillId="10" borderId="4" xfId="0" applyFont="1" applyFill="1" applyBorder="1" applyAlignment="1">
      <alignment horizontal="center"/>
    </xf>
    <xf numFmtId="0" fontId="3" fillId="0" borderId="6" xfId="0" applyFont="1" applyBorder="1" applyAlignment="1">
      <alignment horizontal="center" vertical="center"/>
    </xf>
    <xf numFmtId="167" fontId="25" fillId="0" borderId="10" xfId="3" applyNumberFormat="1" applyFont="1" applyFill="1" applyBorder="1" applyAlignment="1">
      <alignment horizontal="center"/>
    </xf>
    <xf numFmtId="167" fontId="25" fillId="0" borderId="0" xfId="3" applyNumberFormat="1" applyFont="1" applyFill="1" applyBorder="1" applyAlignment="1">
      <alignment horizontal="center"/>
    </xf>
    <xf numFmtId="165" fontId="19" fillId="0" borderId="0" xfId="1" applyNumberFormat="1" applyFont="1" applyFill="1" applyBorder="1" applyAlignment="1">
      <alignment horizontal="center" vertical="center"/>
    </xf>
    <xf numFmtId="164" fontId="21" fillId="0" borderId="0" xfId="6" applyNumberFormat="1" applyFill="1" applyBorder="1"/>
    <xf numFmtId="164" fontId="19" fillId="0" borderId="0" xfId="1" applyNumberFormat="1" applyFont="1" applyFill="1" applyBorder="1" applyAlignment="1">
      <alignment horizontal="center" vertical="center"/>
    </xf>
    <xf numFmtId="164" fontId="19" fillId="0" borderId="7" xfId="1" applyNumberFormat="1" applyFont="1" applyFill="1" applyBorder="1" applyAlignment="1">
      <alignment horizontal="center" vertical="center"/>
    </xf>
    <xf numFmtId="3" fontId="0" fillId="0" borderId="0" xfId="0" applyNumberFormat="1" applyAlignment="1">
      <alignment horizontal="center"/>
    </xf>
    <xf numFmtId="3" fontId="0" fillId="0" borderId="8" xfId="0" applyNumberFormat="1" applyBorder="1" applyAlignment="1">
      <alignment horizontal="center"/>
    </xf>
    <xf numFmtId="0" fontId="3" fillId="0" borderId="0" xfId="0" applyFont="1" applyAlignment="1">
      <alignment horizontal="center"/>
    </xf>
    <xf numFmtId="0" fontId="3" fillId="0" borderId="9" xfId="0" applyFont="1" applyBorder="1" applyAlignment="1">
      <alignment horizontal="left" vertical="center"/>
    </xf>
    <xf numFmtId="164" fontId="3" fillId="0" borderId="7" xfId="2" applyNumberFormat="1" applyFont="1" applyFill="1" applyBorder="1" applyAlignment="1">
      <alignment horizontal="center" vertical="center"/>
    </xf>
    <xf numFmtId="0" fontId="3" fillId="0" borderId="6" xfId="0" applyFont="1" applyBorder="1" applyAlignment="1">
      <alignment horizontal="center"/>
    </xf>
    <xf numFmtId="0" fontId="3" fillId="0" borderId="9" xfId="0" applyFont="1" applyBorder="1" applyAlignment="1">
      <alignment horizontal="center" vertical="center"/>
    </xf>
    <xf numFmtId="164" fontId="0" fillId="0" borderId="8" xfId="0" applyNumberFormat="1" applyBorder="1" applyAlignment="1">
      <alignment horizontal="center"/>
    </xf>
    <xf numFmtId="167" fontId="25" fillId="0" borderId="6" xfId="3" applyNumberFormat="1" applyFont="1" applyFill="1" applyBorder="1" applyAlignment="1">
      <alignment horizontal="center"/>
    </xf>
    <xf numFmtId="167" fontId="25" fillId="0" borderId="12" xfId="3" applyNumberFormat="1" applyFont="1" applyFill="1" applyBorder="1" applyAlignment="1">
      <alignment horizontal="center"/>
    </xf>
    <xf numFmtId="164" fontId="3" fillId="11" borderId="13" xfId="0" applyNumberFormat="1" applyFont="1" applyFill="1" applyBorder="1" applyAlignment="1">
      <alignment horizontal="center" vertical="center"/>
    </xf>
    <xf numFmtId="164" fontId="3" fillId="11" borderId="21" xfId="0" applyNumberFormat="1" applyFont="1" applyFill="1" applyBorder="1" applyAlignment="1">
      <alignment horizontal="center" vertical="center"/>
    </xf>
    <xf numFmtId="164" fontId="3" fillId="11" borderId="22" xfId="0" applyNumberFormat="1" applyFont="1" applyFill="1" applyBorder="1" applyAlignment="1">
      <alignment horizontal="center" vertical="center"/>
    </xf>
    <xf numFmtId="164" fontId="0" fillId="6" borderId="0" xfId="2" applyNumberFormat="1" applyFont="1" applyFill="1" applyBorder="1" applyAlignment="1">
      <alignment horizontal="center" vertical="center"/>
    </xf>
    <xf numFmtId="0" fontId="9" fillId="0" borderId="10" xfId="0" applyFont="1" applyBorder="1" applyAlignment="1" applyProtection="1">
      <alignment horizontal="left" vertical="center" wrapText="1"/>
      <protection locked="0"/>
    </xf>
    <xf numFmtId="0" fontId="10" fillId="0" borderId="12" xfId="0" applyFont="1" applyBorder="1" applyAlignment="1">
      <alignment horizontal="left" vertical="center" wrapText="1"/>
    </xf>
    <xf numFmtId="0" fontId="0" fillId="0" borderId="11" xfId="0" applyBorder="1"/>
    <xf numFmtId="0" fontId="3" fillId="0" borderId="2" xfId="0" applyFont="1" applyBorder="1" applyAlignment="1">
      <alignment horizontal="center"/>
    </xf>
    <xf numFmtId="164" fontId="0" fillId="0" borderId="4" xfId="0" applyNumberFormat="1" applyBorder="1" applyAlignment="1">
      <alignment horizontal="center"/>
    </xf>
    <xf numFmtId="0" fontId="10" fillId="0" borderId="11" xfId="0" applyFont="1" applyBorder="1" applyAlignment="1">
      <alignment horizontal="left" vertical="center" wrapText="1"/>
    </xf>
    <xf numFmtId="0" fontId="3" fillId="0" borderId="5" xfId="0" applyFont="1" applyBorder="1" applyAlignment="1">
      <alignment horizontal="center"/>
    </xf>
    <xf numFmtId="164" fontId="0" fillId="6" borderId="5" xfId="2" applyNumberFormat="1" applyFont="1" applyFill="1" applyBorder="1" applyAlignment="1">
      <alignment horizontal="center" vertical="center"/>
    </xf>
    <xf numFmtId="164" fontId="3" fillId="0" borderId="8" xfId="2" applyNumberFormat="1" applyFont="1" applyFill="1" applyBorder="1" applyAlignment="1">
      <alignment horizontal="center" vertical="center"/>
    </xf>
    <xf numFmtId="0" fontId="9" fillId="3" borderId="6" xfId="0" applyFont="1" applyFill="1" applyBorder="1" applyAlignment="1" applyProtection="1">
      <alignment horizontal="left" vertical="center"/>
      <protection locked="0"/>
    </xf>
    <xf numFmtId="0" fontId="10" fillId="3" borderId="0" xfId="0" applyFont="1" applyFill="1" applyAlignment="1">
      <alignment horizontal="left" vertical="center"/>
    </xf>
    <xf numFmtId="3" fontId="3" fillId="5" borderId="1" xfId="0" applyNumberFormat="1" applyFont="1" applyFill="1" applyBorder="1" applyAlignment="1">
      <alignment horizontal="center" vertical="center"/>
    </xf>
    <xf numFmtId="3" fontId="3" fillId="0" borderId="11" xfId="0" applyNumberFormat="1" applyFont="1" applyBorder="1" applyAlignment="1">
      <alignment horizontal="center" vertical="center"/>
    </xf>
    <xf numFmtId="0" fontId="3" fillId="10" borderId="1" xfId="0" applyFont="1" applyFill="1" applyBorder="1" applyAlignment="1">
      <alignment horizontal="center"/>
    </xf>
    <xf numFmtId="164" fontId="3" fillId="10" borderId="1" xfId="0" applyNumberFormat="1" applyFont="1" applyFill="1" applyBorder="1" applyAlignment="1">
      <alignment horizontal="center"/>
    </xf>
    <xf numFmtId="164" fontId="28" fillId="0" borderId="1" xfId="1" applyNumberFormat="1" applyFont="1" applyFill="1" applyBorder="1" applyAlignment="1">
      <alignment horizontal="center" vertical="center"/>
    </xf>
    <xf numFmtId="0" fontId="0" fillId="10" borderId="7" xfId="0" applyFill="1" applyBorder="1" applyAlignment="1">
      <alignment horizontal="center"/>
    </xf>
    <xf numFmtId="0" fontId="0" fillId="0" borderId="7" xfId="0" applyBorder="1"/>
    <xf numFmtId="0" fontId="0" fillId="0" borderId="7" xfId="0" applyBorder="1" applyAlignment="1">
      <alignment horizontal="center"/>
    </xf>
    <xf numFmtId="2" fontId="0" fillId="0" borderId="0" xfId="0" applyNumberFormat="1" applyAlignment="1">
      <alignment horizontal="center"/>
    </xf>
    <xf numFmtId="168" fontId="0" fillId="0" borderId="0" xfId="0" applyNumberFormat="1" applyAlignment="1">
      <alignment horizontal="center"/>
    </xf>
    <xf numFmtId="168" fontId="0" fillId="0" borderId="7" xfId="0" applyNumberFormat="1" applyBorder="1" applyAlignment="1">
      <alignment horizontal="center"/>
    </xf>
    <xf numFmtId="168" fontId="0" fillId="16" borderId="0" xfId="0" applyNumberFormat="1" applyFill="1" applyAlignment="1">
      <alignment horizontal="center"/>
    </xf>
    <xf numFmtId="168" fontId="0" fillId="0" borderId="0" xfId="0" applyNumberFormat="1"/>
    <xf numFmtId="0" fontId="0" fillId="13" borderId="23" xfId="0" applyFill="1" applyBorder="1"/>
    <xf numFmtId="0" fontId="0" fillId="13" borderId="23" xfId="0" applyFill="1" applyBorder="1" applyAlignment="1">
      <alignment horizontal="right"/>
    </xf>
    <xf numFmtId="169" fontId="0" fillId="13" borderId="23" xfId="2" applyNumberFormat="1" applyFont="1" applyFill="1" applyBorder="1" applyAlignment="1">
      <alignment horizontal="center"/>
    </xf>
    <xf numFmtId="44" fontId="0" fillId="10" borderId="23" xfId="0" applyNumberFormat="1" applyFill="1" applyBorder="1"/>
    <xf numFmtId="0" fontId="21" fillId="0" borderId="0" xfId="6"/>
    <xf numFmtId="170" fontId="0" fillId="10" borderId="23" xfId="1" applyNumberFormat="1" applyFont="1" applyFill="1" applyBorder="1" applyAlignment="1">
      <alignment horizontal="right"/>
    </xf>
    <xf numFmtId="0" fontId="0" fillId="13" borderId="23" xfId="0" applyFill="1" applyBorder="1" applyAlignment="1">
      <alignment horizontal="center"/>
    </xf>
    <xf numFmtId="0" fontId="0" fillId="7" borderId="0" xfId="0" applyFill="1"/>
    <xf numFmtId="3" fontId="30" fillId="17" borderId="1" xfId="0" applyNumberFormat="1" applyFont="1" applyFill="1" applyBorder="1" applyAlignment="1">
      <alignment horizontal="center" vertical="center"/>
    </xf>
    <xf numFmtId="3" fontId="30" fillId="17" borderId="0" xfId="0" applyNumberFormat="1" applyFont="1" applyFill="1" applyAlignment="1">
      <alignment vertical="center"/>
    </xf>
    <xf numFmtId="10" fontId="30" fillId="17" borderId="0" xfId="0" applyNumberFormat="1" applyFont="1" applyFill="1" applyAlignment="1">
      <alignment vertical="center"/>
    </xf>
    <xf numFmtId="0" fontId="0" fillId="0" borderId="1" xfId="0" applyBorder="1"/>
    <xf numFmtId="3" fontId="0" fillId="0" borderId="1" xfId="0" applyNumberFormat="1" applyBorder="1"/>
    <xf numFmtId="3" fontId="0" fillId="0" borderId="0" xfId="0" applyNumberFormat="1"/>
    <xf numFmtId="3" fontId="0" fillId="7" borderId="1" xfId="0" applyNumberFormat="1" applyFill="1" applyBorder="1" applyAlignment="1">
      <alignment horizontal="center" vertical="center"/>
    </xf>
    <xf numFmtId="3" fontId="0" fillId="7" borderId="0" xfId="0" applyNumberFormat="1" applyFill="1"/>
    <xf numFmtId="9" fontId="0" fillId="0" borderId="0" xfId="3" applyFont="1"/>
    <xf numFmtId="171" fontId="0" fillId="0" borderId="0" xfId="3" applyNumberFormat="1" applyFont="1"/>
    <xf numFmtId="9" fontId="0" fillId="0" borderId="0" xfId="0" applyNumberFormat="1"/>
    <xf numFmtId="0" fontId="0" fillId="0" borderId="0" xfId="0" applyAlignment="1">
      <alignment wrapText="1"/>
    </xf>
    <xf numFmtId="3" fontId="30" fillId="0" borderId="0" xfId="0" applyNumberFormat="1" applyFont="1" applyAlignment="1">
      <alignment vertical="center"/>
    </xf>
    <xf numFmtId="10" fontId="30" fillId="0" borderId="0" xfId="0" applyNumberFormat="1" applyFont="1" applyAlignment="1">
      <alignment vertical="center"/>
    </xf>
    <xf numFmtId="164" fontId="3" fillId="12" borderId="1" xfId="0" applyNumberFormat="1" applyFont="1" applyFill="1" applyBorder="1" applyAlignment="1">
      <alignment horizontal="center" vertical="center"/>
    </xf>
    <xf numFmtId="164" fontId="3" fillId="10" borderId="3" xfId="0" applyNumberFormat="1" applyFont="1" applyFill="1" applyBorder="1" applyAlignment="1">
      <alignment horizontal="center"/>
    </xf>
    <xf numFmtId="0" fontId="3" fillId="0" borderId="10" xfId="0" applyFont="1" applyBorder="1" applyAlignment="1">
      <alignment horizontal="center" vertical="center"/>
    </xf>
    <xf numFmtId="164" fontId="0" fillId="0" borderId="11" xfId="0" applyNumberFormat="1" applyBorder="1" applyAlignment="1">
      <alignment horizontal="center"/>
    </xf>
    <xf numFmtId="0" fontId="0" fillId="0" borderId="0" xfId="0" applyAlignment="1" applyProtection="1">
      <alignment horizontal="center"/>
      <protection locked="0"/>
    </xf>
    <xf numFmtId="17" fontId="0" fillId="0" borderId="0" xfId="0" applyNumberFormat="1" applyAlignment="1">
      <alignment horizontal="center" vertical="center"/>
    </xf>
    <xf numFmtId="0" fontId="3" fillId="0" borderId="24" xfId="0" applyFont="1" applyBorder="1" applyAlignment="1">
      <alignment horizontal="center" vertical="center"/>
    </xf>
    <xf numFmtId="164" fontId="0" fillId="0" borderId="25" xfId="0" applyNumberFormat="1" applyBorder="1" applyAlignment="1">
      <alignment horizontal="center"/>
    </xf>
    <xf numFmtId="0" fontId="3" fillId="0" borderId="26" xfId="0" applyFont="1" applyBorder="1" applyAlignment="1">
      <alignment horizontal="center"/>
    </xf>
    <xf numFmtId="164" fontId="0" fillId="0" borderId="27" xfId="0" applyNumberFormat="1" applyBorder="1" applyAlignment="1">
      <alignment horizontal="center"/>
    </xf>
    <xf numFmtId="0" fontId="3" fillId="0" borderId="28" xfId="0" applyFont="1" applyBorder="1" applyAlignment="1">
      <alignment horizontal="center"/>
    </xf>
    <xf numFmtId="167" fontId="0" fillId="0" borderId="0" xfId="3" applyNumberFormat="1" applyFont="1"/>
    <xf numFmtId="165" fontId="0" fillId="0" borderId="0" xfId="0" applyNumberFormat="1" applyAlignment="1">
      <alignment horizontal="center"/>
    </xf>
    <xf numFmtId="164" fontId="31" fillId="0" borderId="0" xfId="1" applyNumberFormat="1" applyFont="1" applyFill="1" applyBorder="1" applyAlignment="1">
      <alignment horizontal="center" vertical="center"/>
    </xf>
    <xf numFmtId="164" fontId="11" fillId="0" borderId="6" xfId="3" applyNumberFormat="1" applyFont="1" applyFill="1" applyBorder="1" applyAlignment="1">
      <alignment horizontal="center"/>
    </xf>
    <xf numFmtId="164" fontId="31" fillId="0" borderId="7" xfId="1" applyNumberFormat="1" applyFont="1" applyFill="1" applyBorder="1" applyAlignment="1">
      <alignment horizontal="center" vertical="center"/>
    </xf>
    <xf numFmtId="164" fontId="32" fillId="0" borderId="1" xfId="1" applyNumberFormat="1" applyFont="1" applyFill="1" applyBorder="1" applyAlignment="1">
      <alignment horizontal="center" vertical="center"/>
    </xf>
    <xf numFmtId="164" fontId="22" fillId="3" borderId="0" xfId="6" applyNumberFormat="1" applyFont="1" applyFill="1" applyBorder="1" applyAlignment="1">
      <alignment horizontal="right"/>
    </xf>
    <xf numFmtId="0" fontId="26" fillId="3" borderId="0" xfId="0" applyFont="1" applyFill="1" applyAlignment="1">
      <alignment horizontal="right"/>
    </xf>
    <xf numFmtId="1" fontId="0" fillId="0" borderId="1" xfId="0" applyNumberFormat="1" applyBorder="1"/>
    <xf numFmtId="3" fontId="0" fillId="18" borderId="1" xfId="0" applyNumberFormat="1" applyFill="1" applyBorder="1" applyAlignment="1">
      <alignment horizontal="center" vertical="center"/>
    </xf>
    <xf numFmtId="164" fontId="0" fillId="0" borderId="29" xfId="0" applyNumberFormat="1" applyBorder="1" applyAlignment="1">
      <alignment horizontal="center"/>
    </xf>
    <xf numFmtId="164" fontId="3" fillId="12" borderId="0" xfId="0" applyNumberFormat="1" applyFont="1" applyFill="1" applyAlignment="1">
      <alignment horizontal="center" vertical="center"/>
    </xf>
    <xf numFmtId="0" fontId="21" fillId="3" borderId="0" xfId="6" applyFill="1" applyAlignment="1">
      <alignment horizontal="right" wrapText="1"/>
    </xf>
    <xf numFmtId="0" fontId="26" fillId="3" borderId="0" xfId="0" applyFont="1" applyFill="1" applyAlignment="1">
      <alignment horizontal="right" wrapText="1"/>
    </xf>
    <xf numFmtId="164" fontId="3" fillId="2" borderId="0" xfId="0" applyNumberFormat="1" applyFont="1" applyFill="1" applyAlignment="1">
      <alignment horizontal="center"/>
    </xf>
    <xf numFmtId="164" fontId="3" fillId="2" borderId="1" xfId="0" applyNumberFormat="1" applyFont="1" applyFill="1" applyBorder="1" applyAlignment="1">
      <alignment horizontal="center"/>
    </xf>
    <xf numFmtId="0" fontId="14" fillId="0" borderId="0" xfId="5" applyFont="1"/>
    <xf numFmtId="0" fontId="15" fillId="0" borderId="0" xfId="5" applyFont="1" applyAlignment="1">
      <alignment horizontal="left"/>
    </xf>
    <xf numFmtId="0" fontId="15" fillId="0" borderId="0" xfId="5" applyFont="1" applyAlignment="1">
      <alignment horizontal="center"/>
    </xf>
    <xf numFmtId="0" fontId="16" fillId="0" borderId="0" xfId="5" applyFont="1" applyAlignment="1">
      <alignment horizontal="center"/>
    </xf>
    <xf numFmtId="166" fontId="15" fillId="0" borderId="0" xfId="5" applyNumberFormat="1" applyFont="1"/>
    <xf numFmtId="0" fontId="15" fillId="0" borderId="0" xfId="5" applyFont="1"/>
    <xf numFmtId="0" fontId="17" fillId="3" borderId="0" xfId="5" applyFont="1" applyFill="1" applyAlignment="1">
      <alignment horizontal="left"/>
    </xf>
    <xf numFmtId="0" fontId="19" fillId="3" borderId="0" xfId="5" applyFont="1" applyFill="1"/>
    <xf numFmtId="0" fontId="0" fillId="0" borderId="0" xfId="0" applyAlignment="1">
      <alignment vertical="top"/>
    </xf>
    <xf numFmtId="0" fontId="19" fillId="3" borderId="0" xfId="5" applyFont="1" applyFill="1" applyAlignment="1">
      <alignment horizontal="center"/>
    </xf>
    <xf numFmtId="0" fontId="16" fillId="3" borderId="0" xfId="5" applyFont="1" applyFill="1"/>
    <xf numFmtId="0" fontId="20" fillId="3"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23" fillId="0" borderId="7" xfId="5" applyFont="1" applyBorder="1" applyAlignment="1">
      <alignment horizontal="center" vertical="center"/>
    </xf>
    <xf numFmtId="0" fontId="23" fillId="0" borderId="7" xfId="5" applyFont="1" applyBorder="1" applyAlignment="1">
      <alignment horizontal="center"/>
    </xf>
    <xf numFmtId="0" fontId="23" fillId="0" borderId="0" xfId="5" applyFont="1" applyAlignment="1">
      <alignment horizontal="center"/>
    </xf>
    <xf numFmtId="0" fontId="24" fillId="0" borderId="0" xfId="5" applyFont="1"/>
    <xf numFmtId="164" fontId="0" fillId="0" borderId="7" xfId="0" applyNumberFormat="1" applyBorder="1" applyAlignment="1">
      <alignment horizontal="center"/>
    </xf>
    <xf numFmtId="0" fontId="18" fillId="0" borderId="0" xfId="5" applyFont="1" applyAlignment="1">
      <alignment horizontal="left" vertical="top" wrapText="1"/>
    </xf>
    <xf numFmtId="165" fontId="15" fillId="0" borderId="0" xfId="5" applyNumberFormat="1" applyFont="1" applyAlignment="1">
      <alignment horizontal="center"/>
    </xf>
    <xf numFmtId="165" fontId="16" fillId="0" borderId="0" xfId="5" applyNumberFormat="1" applyFont="1" applyAlignment="1">
      <alignment horizontal="center"/>
    </xf>
    <xf numFmtId="164" fontId="11" fillId="0" borderId="0" xfId="3" applyNumberFormat="1" applyFont="1" applyFill="1" applyBorder="1" applyAlignment="1">
      <alignment horizontal="center"/>
    </xf>
    <xf numFmtId="10" fontId="29" fillId="0" borderId="0" xfId="5" applyNumberFormat="1" applyFont="1" applyAlignment="1">
      <alignment horizontal="center"/>
    </xf>
    <xf numFmtId="0" fontId="23" fillId="0" borderId="7" xfId="5" applyFont="1" applyBorder="1" applyAlignment="1">
      <alignment horizontal="left" vertical="center"/>
    </xf>
    <xf numFmtId="0" fontId="18" fillId="0" borderId="0" xfId="5" applyFont="1" applyAlignment="1">
      <alignment vertical="top" wrapText="1"/>
    </xf>
    <xf numFmtId="0" fontId="0" fillId="0" borderId="0" xfId="0" applyAlignment="1">
      <alignment vertical="top" wrapText="1"/>
    </xf>
    <xf numFmtId="3" fontId="0" fillId="0" borderId="3" xfId="0" applyNumberFormat="1" applyBorder="1" applyAlignment="1">
      <alignment horizontal="center"/>
    </xf>
    <xf numFmtId="164" fontId="31" fillId="0" borderId="7" xfId="5" applyNumberFormat="1" applyFont="1" applyBorder="1" applyAlignment="1">
      <alignment horizontal="center"/>
    </xf>
    <xf numFmtId="3" fontId="31" fillId="0" borderId="7" xfId="5" applyNumberFormat="1" applyFont="1" applyBorder="1" applyAlignment="1">
      <alignment horizontal="center"/>
    </xf>
    <xf numFmtId="3" fontId="11" fillId="0" borderId="0" xfId="5" applyNumberFormat="1" applyFont="1" applyAlignment="1">
      <alignment horizontal="center" vertical="center"/>
    </xf>
    <xf numFmtId="164" fontId="11" fillId="0" borderId="0" xfId="5" applyNumberFormat="1" applyFont="1" applyAlignment="1">
      <alignment horizontal="center"/>
    </xf>
    <xf numFmtId="3" fontId="11" fillId="0" borderId="0" xfId="5" applyNumberFormat="1" applyFont="1" applyAlignment="1">
      <alignment horizontal="center"/>
    </xf>
    <xf numFmtId="0" fontId="35" fillId="0" borderId="0" xfId="5" applyFont="1"/>
    <xf numFmtId="164" fontId="15" fillId="0" borderId="0" xfId="5" applyNumberFormat="1" applyFont="1"/>
    <xf numFmtId="0" fontId="36" fillId="0" borderId="0" xfId="5" applyFont="1" applyAlignment="1">
      <alignment horizontal="center" vertical="center"/>
    </xf>
    <xf numFmtId="0" fontId="24" fillId="0" borderId="0" xfId="5" applyFont="1" applyAlignment="1">
      <alignment horizontal="right"/>
    </xf>
    <xf numFmtId="164" fontId="24" fillId="0" borderId="0" xfId="5" applyNumberFormat="1" applyFont="1" applyAlignment="1">
      <alignment horizontal="center"/>
    </xf>
    <xf numFmtId="164" fontId="37" fillId="0" borderId="0" xfId="5" applyNumberFormat="1" applyFont="1" applyAlignment="1">
      <alignment horizontal="center"/>
    </xf>
    <xf numFmtId="164" fontId="3" fillId="11" borderId="0" xfId="0" applyNumberFormat="1" applyFont="1" applyFill="1" applyAlignment="1">
      <alignment wrapText="1"/>
    </xf>
    <xf numFmtId="164" fontId="3" fillId="0" borderId="3" xfId="0" applyNumberFormat="1" applyFont="1" applyBorder="1" applyAlignment="1">
      <alignment wrapText="1"/>
    </xf>
    <xf numFmtId="164" fontId="3" fillId="11" borderId="3" xfId="0" applyNumberFormat="1" applyFont="1" applyFill="1" applyBorder="1" applyAlignment="1">
      <alignment horizontal="center" vertical="center" wrapText="1"/>
    </xf>
    <xf numFmtId="0" fontId="23" fillId="0" borderId="0" xfId="5" applyFont="1" applyAlignment="1">
      <alignment horizontal="center" vertical="center"/>
    </xf>
    <xf numFmtId="164" fontId="31" fillId="0" borderId="0" xfId="5" applyNumberFormat="1" applyFont="1" applyAlignment="1">
      <alignment horizontal="center"/>
    </xf>
    <xf numFmtId="3" fontId="3" fillId="0" borderId="13" xfId="0" applyNumberFormat="1" applyFont="1" applyBorder="1" applyAlignment="1">
      <alignment horizontal="center"/>
    </xf>
    <xf numFmtId="1" fontId="3" fillId="0" borderId="0" xfId="0" applyNumberFormat="1" applyFont="1" applyAlignment="1">
      <alignment horizontal="center" vertical="center"/>
    </xf>
    <xf numFmtId="0" fontId="0" fillId="19" borderId="0" xfId="0" applyFill="1"/>
    <xf numFmtId="3" fontId="0" fillId="19" borderId="0" xfId="0" applyNumberFormat="1" applyFill="1"/>
    <xf numFmtId="3" fontId="30" fillId="19" borderId="0" xfId="0" applyNumberFormat="1" applyFont="1" applyFill="1" applyAlignment="1">
      <alignment horizontal="center" vertical="center"/>
    </xf>
    <xf numFmtId="1" fontId="0" fillId="19" borderId="0" xfId="0" applyNumberFormat="1" applyFill="1"/>
    <xf numFmtId="0" fontId="0" fillId="19" borderId="7" xfId="0" applyFill="1" applyBorder="1" applyAlignment="1">
      <alignment horizontal="left"/>
    </xf>
    <xf numFmtId="0" fontId="18" fillId="0" borderId="0" xfId="5" applyFont="1" applyAlignment="1">
      <alignment horizontal="left" vertical="top" wrapText="1"/>
    </xf>
    <xf numFmtId="0" fontId="12" fillId="14" borderId="0" xfId="4" applyFont="1" applyFill="1" applyAlignment="1" applyProtection="1">
      <alignment vertical="center" wrapText="1"/>
      <protection locked="0"/>
    </xf>
    <xf numFmtId="0" fontId="0" fillId="0" borderId="0" xfId="0" applyAlignment="1">
      <alignment wrapText="1"/>
    </xf>
    <xf numFmtId="0" fontId="12" fillId="14" borderId="0" xfId="4" applyFont="1" applyFill="1" applyBorder="1" applyAlignment="1" applyProtection="1">
      <alignment vertical="center" wrapText="1"/>
      <protection locked="0"/>
    </xf>
    <xf numFmtId="0" fontId="27" fillId="0" borderId="0" xfId="5" applyFont="1" applyAlignment="1">
      <alignment wrapText="1"/>
    </xf>
    <xf numFmtId="0" fontId="18" fillId="0" borderId="0" xfId="5" applyFont="1" applyAlignment="1">
      <alignment vertical="top" wrapText="1"/>
    </xf>
    <xf numFmtId="0" fontId="21" fillId="0" borderId="0" xfId="6" applyFill="1" applyAlignment="1">
      <alignment horizontal="left" wrapText="1"/>
    </xf>
    <xf numFmtId="0" fontId="33" fillId="0" borderId="0" xfId="5" applyFont="1" applyAlignment="1">
      <alignment horizontal="left" vertical="top" wrapText="1"/>
    </xf>
    <xf numFmtId="164" fontId="21" fillId="3" borderId="0" xfId="6" applyNumberFormat="1" applyFill="1" applyBorder="1" applyAlignment="1">
      <alignment horizontal="right" wrapText="1"/>
    </xf>
    <xf numFmtId="0" fontId="21" fillId="3" borderId="0" xfId="6" applyFill="1" applyAlignment="1">
      <alignment horizontal="right" wrapText="1"/>
    </xf>
    <xf numFmtId="0" fontId="34" fillId="0" borderId="0" xfId="5" applyFont="1" applyAlignment="1">
      <alignment vertical="top" wrapText="1"/>
    </xf>
    <xf numFmtId="164" fontId="22" fillId="3" borderId="0" xfId="6" applyNumberFormat="1" applyFont="1" applyFill="1" applyBorder="1" applyAlignment="1">
      <alignment horizontal="right" wrapText="1"/>
    </xf>
    <xf numFmtId="0" fontId="26" fillId="3" borderId="0" xfId="0" applyFont="1" applyFill="1" applyAlignment="1">
      <alignment horizontal="right" wrapText="1"/>
    </xf>
    <xf numFmtId="164" fontId="18" fillId="0" borderId="0" xfId="5" applyNumberFormat="1" applyFont="1" applyAlignment="1">
      <alignment vertical="top" wrapText="1"/>
    </xf>
    <xf numFmtId="164" fontId="3" fillId="0" borderId="0" xfId="0" applyNumberFormat="1" applyFont="1" applyAlignment="1">
      <alignment horizontal="center" wrapText="1"/>
    </xf>
    <xf numFmtId="0" fontId="3" fillId="9" borderId="10" xfId="0" applyFont="1" applyFill="1" applyBorder="1" applyAlignment="1">
      <alignment horizontal="center" wrapText="1"/>
    </xf>
    <xf numFmtId="0" fontId="3" fillId="9" borderId="12" xfId="0" applyFont="1" applyFill="1" applyBorder="1" applyAlignment="1">
      <alignment horizontal="center" wrapText="1"/>
    </xf>
    <xf numFmtId="0" fontId="0" fillId="0" borderId="11" xfId="0" applyBorder="1" applyAlignment="1">
      <alignment horizontal="center" wrapText="1"/>
    </xf>
    <xf numFmtId="0" fontId="9" fillId="3" borderId="2"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9" xfId="0" applyFont="1" applyFill="1" applyBorder="1" applyAlignment="1" applyProtection="1">
      <alignment horizontal="left" wrapText="1"/>
      <protection locked="0"/>
    </xf>
    <xf numFmtId="0" fontId="9" fillId="3" borderId="8" xfId="0" applyFont="1" applyFill="1" applyBorder="1" applyAlignment="1" applyProtection="1">
      <alignment horizontal="left" wrapText="1"/>
      <protection locked="0"/>
    </xf>
    <xf numFmtId="164" fontId="0" fillId="0" borderId="0" xfId="0" applyNumberFormat="1" applyAlignment="1">
      <alignment horizontal="center" vertical="center" wrapText="1"/>
    </xf>
    <xf numFmtId="164" fontId="0" fillId="0" borderId="7" xfId="0" applyNumberFormat="1" applyBorder="1" applyAlignment="1">
      <alignment horizontal="center" vertical="center" wrapText="1"/>
    </xf>
    <xf numFmtId="164" fontId="3" fillId="0" borderId="3" xfId="0" applyNumberFormat="1" applyFont="1" applyBorder="1" applyAlignment="1">
      <alignment horizontal="center" wrapText="1"/>
    </xf>
    <xf numFmtId="164" fontId="0" fillId="0" borderId="7" xfId="0" applyNumberFormat="1" applyBorder="1" applyAlignment="1">
      <alignment horizontal="center" wrapText="1"/>
    </xf>
    <xf numFmtId="164" fontId="0" fillId="0" borderId="12" xfId="0" applyNumberFormat="1" applyBorder="1" applyAlignment="1">
      <alignment horizontal="center" vertical="center" wrapText="1"/>
    </xf>
    <xf numFmtId="164" fontId="0" fillId="0" borderId="0" xfId="0" applyNumberFormat="1" applyAlignment="1">
      <alignment horizontal="center" wrapText="1"/>
    </xf>
    <xf numFmtId="0" fontId="4" fillId="2" borderId="0" xfId="4" applyFont="1" applyFill="1" applyAlignment="1" applyProtection="1">
      <alignment vertical="center" wrapText="1"/>
      <protection locked="0"/>
    </xf>
    <xf numFmtId="0" fontId="5" fillId="2" borderId="0" xfId="0" applyFont="1" applyFill="1" applyAlignment="1">
      <alignment wrapText="1"/>
    </xf>
    <xf numFmtId="0" fontId="5" fillId="0" borderId="0" xfId="0" applyFont="1" applyAlignment="1">
      <alignment wrapText="1"/>
    </xf>
    <xf numFmtId="0" fontId="9" fillId="3" borderId="14" xfId="0" applyFont="1" applyFill="1" applyBorder="1" applyAlignment="1">
      <alignment horizontal="left" vertical="center" wrapText="1"/>
    </xf>
    <xf numFmtId="0" fontId="0" fillId="0" borderId="15" xfId="0" applyBorder="1" applyAlignment="1">
      <alignment vertical="center" wrapText="1"/>
    </xf>
    <xf numFmtId="0" fontId="9" fillId="3" borderId="16" xfId="0" applyFont="1" applyFill="1" applyBorder="1" applyAlignment="1" applyProtection="1">
      <alignment horizontal="left" vertical="center" wrapText="1"/>
      <protection locked="0"/>
    </xf>
    <xf numFmtId="0" fontId="10" fillId="3" borderId="17"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9" fillId="3" borderId="20" xfId="0" applyFont="1" applyFill="1" applyBorder="1" applyAlignment="1" applyProtection="1">
      <alignment horizontal="left" wrapText="1"/>
      <protection locked="0"/>
    </xf>
    <xf numFmtId="0" fontId="10" fillId="3" borderId="17" xfId="0" applyFont="1" applyFill="1" applyBorder="1" applyAlignment="1">
      <alignment wrapText="1"/>
    </xf>
    <xf numFmtId="0" fontId="0" fillId="0" borderId="17" xfId="0" applyBorder="1" applyAlignment="1">
      <alignment wrapText="1"/>
    </xf>
    <xf numFmtId="0" fontId="0" fillId="0" borderId="19" xfId="0" applyBorder="1" applyAlignment="1">
      <alignment wrapText="1"/>
    </xf>
    <xf numFmtId="0" fontId="3" fillId="10" borderId="10" xfId="0" applyFont="1" applyFill="1" applyBorder="1" applyAlignment="1">
      <alignment horizontal="center" wrapText="1"/>
    </xf>
    <xf numFmtId="0" fontId="3" fillId="10" borderId="12" xfId="0" applyFont="1" applyFill="1" applyBorder="1" applyAlignment="1">
      <alignment horizontal="center" wrapText="1"/>
    </xf>
    <xf numFmtId="0" fontId="3" fillId="10" borderId="11" xfId="0" applyFont="1" applyFill="1" applyBorder="1" applyAlignment="1">
      <alignment horizontal="center" wrapText="1"/>
    </xf>
    <xf numFmtId="0" fontId="3" fillId="9" borderId="9" xfId="0" applyFont="1" applyFill="1" applyBorder="1" applyAlignment="1">
      <alignment horizontal="center" wrapText="1"/>
    </xf>
    <xf numFmtId="0" fontId="3" fillId="9" borderId="7" xfId="0" applyFont="1" applyFill="1" applyBorder="1" applyAlignment="1">
      <alignment horizontal="center" wrapText="1"/>
    </xf>
    <xf numFmtId="164" fontId="0" fillId="0" borderId="12" xfId="0" applyNumberFormat="1" applyBorder="1" applyAlignment="1">
      <alignment horizontal="center" wrapText="1"/>
    </xf>
    <xf numFmtId="0" fontId="9" fillId="3" borderId="1" xfId="0" applyFont="1" applyFill="1" applyBorder="1" applyAlignment="1" applyProtection="1">
      <alignment horizontal="left" vertical="center" wrapText="1"/>
      <protection locked="0"/>
    </xf>
    <xf numFmtId="0" fontId="0" fillId="0" borderId="1" xfId="0" applyBorder="1" applyAlignment="1">
      <alignment wrapText="1"/>
    </xf>
    <xf numFmtId="0" fontId="9" fillId="15" borderId="9" xfId="0" applyFont="1" applyFill="1" applyBorder="1" applyAlignment="1" applyProtection="1">
      <alignment horizontal="left" wrapText="1"/>
      <protection locked="0"/>
    </xf>
    <xf numFmtId="0" fontId="9" fillId="15" borderId="8" xfId="0" applyFont="1" applyFill="1" applyBorder="1" applyAlignment="1" applyProtection="1">
      <alignment horizontal="left" wrapText="1"/>
      <protection locked="0"/>
    </xf>
    <xf numFmtId="3" fontId="0" fillId="6" borderId="6" xfId="0" applyNumberFormat="1" applyFill="1" applyBorder="1" applyAlignment="1">
      <alignment horizontal="left" vertical="center" wrapText="1"/>
    </xf>
    <xf numFmtId="0" fontId="9" fillId="15" borderId="6" xfId="0" applyFont="1" applyFill="1" applyBorder="1" applyAlignment="1" applyProtection="1">
      <alignment horizontal="left" wrapText="1"/>
      <protection locked="0"/>
    </xf>
    <xf numFmtId="0" fontId="9" fillId="15" borderId="5" xfId="0" applyFont="1" applyFill="1" applyBorder="1" applyAlignment="1" applyProtection="1">
      <alignment horizontal="left" wrapText="1"/>
      <protection locked="0"/>
    </xf>
    <xf numFmtId="164" fontId="3" fillId="11" borderId="0" xfId="0" applyNumberFormat="1" applyFont="1" applyFill="1" applyAlignment="1">
      <alignment horizontal="center" wrapText="1"/>
    </xf>
    <xf numFmtId="0" fontId="9" fillId="3" borderId="17" xfId="0" applyFont="1" applyFill="1" applyBorder="1" applyAlignment="1" applyProtection="1">
      <alignment horizontal="left" vertical="center" wrapText="1"/>
      <protection locked="0"/>
    </xf>
    <xf numFmtId="0" fontId="9" fillId="3" borderId="18" xfId="0" applyFont="1" applyFill="1" applyBorder="1" applyAlignment="1" applyProtection="1">
      <alignment horizontal="left" vertical="center" wrapText="1"/>
      <protection locked="0"/>
    </xf>
    <xf numFmtId="0" fontId="9" fillId="3" borderId="19" xfId="0" applyFont="1" applyFill="1" applyBorder="1" applyAlignment="1" applyProtection="1">
      <alignment horizontal="left" vertical="center" wrapText="1"/>
      <protection locked="0"/>
    </xf>
    <xf numFmtId="3" fontId="0" fillId="6" borderId="0" xfId="0" applyNumberFormat="1" applyFill="1" applyAlignment="1">
      <alignment horizontal="left" vertical="center" wrapText="1"/>
    </xf>
    <xf numFmtId="3" fontId="0" fillId="19" borderId="0" xfId="0" applyNumberFormat="1" applyFill="1" applyAlignment="1">
      <alignment horizontal="left" vertical="center" wrapText="1"/>
    </xf>
    <xf numFmtId="164" fontId="3" fillId="0" borderId="12" xfId="0" applyNumberFormat="1" applyFont="1" applyBorder="1" applyAlignment="1">
      <alignment horizontal="center" wrapText="1"/>
    </xf>
  </cellXfs>
  <cellStyles count="9">
    <cellStyle name="Comma" xfId="1" builtinId="3"/>
    <cellStyle name="Comma 4" xfId="7" xr:uid="{00000000-0005-0000-0000-000001000000}"/>
    <cellStyle name="Currency" xfId="2" builtinId="4"/>
    <cellStyle name="Currency 3" xfId="8" xr:uid="{00000000-0005-0000-0000-000003000000}"/>
    <cellStyle name="Hyperlink" xfId="6" builtinId="8"/>
    <cellStyle name="Normal" xfId="0" builtinId="0"/>
    <cellStyle name="Normal 2" xfId="5" xr:uid="{00000000-0005-0000-0000-000006000000}"/>
    <cellStyle name="Percent" xfId="3" builtinId="5"/>
    <cellStyle name="Title" xfId="4" builtinId="15"/>
  </cellStyles>
  <dxfs count="4">
    <dxf>
      <font>
        <b/>
        <i val="0"/>
        <color rgb="FF00B050"/>
      </font>
    </dxf>
    <dxf>
      <font>
        <b/>
        <i val="0"/>
        <color rgb="FFC00000"/>
      </font>
    </dxf>
    <dxf>
      <font>
        <b/>
        <i val="0"/>
        <color rgb="FF00B05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2019 Subscriber Solar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'2019 Dashboard'!$AB$5</c:f>
              <c:strCache>
                <c:ptCount val="1"/>
                <c:pt idx="0">
                  <c:v>Cumulative Generated</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73A-4F1A-A4EF-7CBB93885071}"/>
                </c:ext>
              </c:extLst>
            </c:dLbl>
            <c:dLbl>
              <c:idx val="1"/>
              <c:delete val="1"/>
              <c:extLst>
                <c:ext xmlns:c15="http://schemas.microsoft.com/office/drawing/2012/chart" uri="{CE6537A1-D6FC-4f65-9D91-7224C49458BB}"/>
                <c:ext xmlns:c16="http://schemas.microsoft.com/office/drawing/2014/chart" uri="{C3380CC4-5D6E-409C-BE32-E72D297353CC}">
                  <c16:uniqueId val="{00000001-573A-4F1A-A4EF-7CBB93885071}"/>
                </c:ext>
              </c:extLst>
            </c:dLbl>
            <c:dLbl>
              <c:idx val="2"/>
              <c:delete val="1"/>
              <c:extLst>
                <c:ext xmlns:c15="http://schemas.microsoft.com/office/drawing/2012/chart" uri="{CE6537A1-D6FC-4f65-9D91-7224C49458BB}"/>
                <c:ext xmlns:c16="http://schemas.microsoft.com/office/drawing/2014/chart" uri="{C3380CC4-5D6E-409C-BE32-E72D297353CC}">
                  <c16:uniqueId val="{00000002-573A-4F1A-A4EF-7CBB93885071}"/>
                </c:ext>
              </c:extLst>
            </c:dLbl>
            <c:dLbl>
              <c:idx val="3"/>
              <c:delete val="1"/>
              <c:extLst>
                <c:ext xmlns:c15="http://schemas.microsoft.com/office/drawing/2012/chart" uri="{CE6537A1-D6FC-4f65-9D91-7224C49458BB}"/>
                <c:ext xmlns:c16="http://schemas.microsoft.com/office/drawing/2014/chart" uri="{C3380CC4-5D6E-409C-BE32-E72D297353CC}">
                  <c16:uniqueId val="{00000003-573A-4F1A-A4EF-7CBB93885071}"/>
                </c:ext>
              </c:extLst>
            </c:dLbl>
            <c:dLbl>
              <c:idx val="4"/>
              <c:delete val="1"/>
              <c:extLst>
                <c:ext xmlns:c15="http://schemas.microsoft.com/office/drawing/2012/chart" uri="{CE6537A1-D6FC-4f65-9D91-7224C49458BB}"/>
                <c:ext xmlns:c16="http://schemas.microsoft.com/office/drawing/2014/chart" uri="{C3380CC4-5D6E-409C-BE32-E72D297353CC}">
                  <c16:uniqueId val="{00000004-573A-4F1A-A4EF-7CBB93885071}"/>
                </c:ext>
              </c:extLst>
            </c:dLbl>
            <c:dLbl>
              <c:idx val="5"/>
              <c:delete val="1"/>
              <c:extLst>
                <c:ext xmlns:c15="http://schemas.microsoft.com/office/drawing/2012/chart" uri="{CE6537A1-D6FC-4f65-9D91-7224C49458BB}"/>
                <c:ext xmlns:c16="http://schemas.microsoft.com/office/drawing/2014/chart" uri="{C3380CC4-5D6E-409C-BE32-E72D297353CC}">
                  <c16:uniqueId val="{00000005-573A-4F1A-A4EF-7CBB93885071}"/>
                </c:ext>
              </c:extLst>
            </c:dLbl>
            <c:dLbl>
              <c:idx val="6"/>
              <c:delete val="1"/>
              <c:extLst>
                <c:ext xmlns:c15="http://schemas.microsoft.com/office/drawing/2012/chart" uri="{CE6537A1-D6FC-4f65-9D91-7224C49458BB}"/>
                <c:ext xmlns:c16="http://schemas.microsoft.com/office/drawing/2014/chart" uri="{C3380CC4-5D6E-409C-BE32-E72D297353CC}">
                  <c16:uniqueId val="{00000006-573A-4F1A-A4EF-7CBB93885071}"/>
                </c:ext>
              </c:extLst>
            </c:dLbl>
            <c:dLbl>
              <c:idx val="7"/>
              <c:delete val="1"/>
              <c:extLst>
                <c:ext xmlns:c15="http://schemas.microsoft.com/office/drawing/2012/chart" uri="{CE6537A1-D6FC-4f65-9D91-7224C49458BB}"/>
                <c:ext xmlns:c16="http://schemas.microsoft.com/office/drawing/2014/chart" uri="{C3380CC4-5D6E-409C-BE32-E72D297353CC}">
                  <c16:uniqueId val="{00000007-573A-4F1A-A4EF-7CBB93885071}"/>
                </c:ext>
              </c:extLst>
            </c:dLbl>
            <c:dLbl>
              <c:idx val="8"/>
              <c:delete val="1"/>
              <c:extLst>
                <c:ext xmlns:c15="http://schemas.microsoft.com/office/drawing/2012/chart" uri="{CE6537A1-D6FC-4f65-9D91-7224C49458BB}"/>
                <c:ext xmlns:c16="http://schemas.microsoft.com/office/drawing/2014/chart" uri="{C3380CC4-5D6E-409C-BE32-E72D297353CC}">
                  <c16:uniqueId val="{00000008-573A-4F1A-A4EF-7CBB93885071}"/>
                </c:ext>
              </c:extLst>
            </c:dLbl>
            <c:dLbl>
              <c:idx val="9"/>
              <c:delete val="1"/>
              <c:extLst>
                <c:ext xmlns:c15="http://schemas.microsoft.com/office/drawing/2012/chart" uri="{CE6537A1-D6FC-4f65-9D91-7224C49458BB}"/>
                <c:ext xmlns:c16="http://schemas.microsoft.com/office/drawing/2014/chart" uri="{C3380CC4-5D6E-409C-BE32-E72D297353CC}">
                  <c16:uniqueId val="{00000009-573A-4F1A-A4EF-7CBB93885071}"/>
                </c:ext>
              </c:extLst>
            </c:dLbl>
            <c:dLbl>
              <c:idx val="10"/>
              <c:delete val="1"/>
              <c:extLst>
                <c:ext xmlns:c15="http://schemas.microsoft.com/office/drawing/2012/chart" uri="{CE6537A1-D6FC-4f65-9D91-7224C49458BB}"/>
                <c:ext xmlns:c16="http://schemas.microsoft.com/office/drawing/2014/chart" uri="{C3380CC4-5D6E-409C-BE32-E72D297353CC}">
                  <c16:uniqueId val="{0000000A-573A-4F1A-A4EF-7CBB93885071}"/>
                </c:ext>
              </c:extLst>
            </c:dLbl>
            <c:dLbl>
              <c:idx val="11"/>
              <c:layout>
                <c:manualLayout>
                  <c:x val="-0.15260271189328953"/>
                  <c:y val="-4.6296296296296294E-2"/>
                </c:manualLayout>
              </c:layout>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3A-4F1A-A4EF-7CBB938850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'2019 Dashboard'!$AB$6:$AB$17</c:f>
              <c:numCache>
                <c:formatCode>#,##0</c:formatCode>
                <c:ptCount val="12"/>
                <c:pt idx="0">
                  <c:v>2220883</c:v>
                </c:pt>
                <c:pt idx="1">
                  <c:v>4918592</c:v>
                </c:pt>
                <c:pt idx="2">
                  <c:v>8457367</c:v>
                </c:pt>
                <c:pt idx="3">
                  <c:v>12654974</c:v>
                </c:pt>
                <c:pt idx="4">
                  <c:v>17541263</c:v>
                </c:pt>
                <c:pt idx="5">
                  <c:v>23211467</c:v>
                </c:pt>
                <c:pt idx="6">
                  <c:v>28838481</c:v>
                </c:pt>
                <c:pt idx="7">
                  <c:v>34753872</c:v>
                </c:pt>
                <c:pt idx="8">
                  <c:v>39649724</c:v>
                </c:pt>
                <c:pt idx="9">
                  <c:v>43991578</c:v>
                </c:pt>
                <c:pt idx="10">
                  <c:v>46547895.177000001</c:v>
                </c:pt>
                <c:pt idx="11">
                  <c:v>48133302.177000001</c:v>
                </c:pt>
              </c:numCache>
            </c:numRef>
          </c:val>
          <c:smooth val="0"/>
          <c:extLst>
            <c:ext xmlns:c16="http://schemas.microsoft.com/office/drawing/2014/chart" uri="{C3380CC4-5D6E-409C-BE32-E72D297353CC}">
              <c16:uniqueId val="{0000000C-573A-4F1A-A4EF-7CBB93885071}"/>
            </c:ext>
          </c:extLst>
        </c:ser>
        <c:dLbls>
          <c:showLegendKey val="0"/>
          <c:showVal val="0"/>
          <c:showCatName val="0"/>
          <c:showSerName val="0"/>
          <c:showPercent val="0"/>
          <c:showBubbleSize val="0"/>
        </c:dLbls>
        <c:marker val="1"/>
        <c:smooth val="0"/>
        <c:axId val="239444568"/>
        <c:axId val="239443000"/>
      </c:lineChart>
      <c:lineChart>
        <c:grouping val="standard"/>
        <c:varyColors val="0"/>
        <c:ser>
          <c:idx val="0"/>
          <c:order val="0"/>
          <c:tx>
            <c:strRef>
              <c:f>'2019 Dashboard'!$AA$5</c:f>
              <c:strCache>
                <c:ptCount val="1"/>
                <c:pt idx="0">
                  <c:v>Cumulative Sold</c:v>
                </c:pt>
              </c:strCache>
            </c:strRef>
          </c:tx>
          <c:spPr>
            <a:ln w="28575" cap="rnd">
              <a:solidFill>
                <a:schemeClr val="accent1"/>
              </a:solidFill>
              <a:round/>
            </a:ln>
            <a:effectLst/>
          </c:spPr>
          <c:marker>
            <c:symbol val="none"/>
          </c:marker>
          <c:dLbls>
            <c:dLbl>
              <c:idx val="11"/>
              <c:layout>
                <c:manualLayout>
                  <c:x val="-6.1117549967283816E-2"/>
                  <c:y val="0.138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3A-4F1A-A4EF-7CBB93885071}"/>
                </c:ext>
              </c:extLst>
            </c:dLbl>
            <c:spPr>
              <a:solidFill>
                <a:schemeClr val="accent1">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'2019 Dashboard'!$AA$6:$AA$17</c:f>
              <c:numCache>
                <c:formatCode>#,##0</c:formatCode>
                <c:ptCount val="12"/>
                <c:pt idx="0">
                  <c:v>4033430.0000000005</c:v>
                </c:pt>
                <c:pt idx="1">
                  <c:v>8004801</c:v>
                </c:pt>
                <c:pt idx="2">
                  <c:v>11960359</c:v>
                </c:pt>
                <c:pt idx="3">
                  <c:v>16245146</c:v>
                </c:pt>
                <c:pt idx="4">
                  <c:v>20202035</c:v>
                </c:pt>
                <c:pt idx="5">
                  <c:v>24225835</c:v>
                </c:pt>
                <c:pt idx="6">
                  <c:v>27922071</c:v>
                </c:pt>
                <c:pt idx="7">
                  <c:v>31947049</c:v>
                </c:pt>
                <c:pt idx="8">
                  <c:v>35770521</c:v>
                </c:pt>
                <c:pt idx="9">
                  <c:v>39861452</c:v>
                </c:pt>
                <c:pt idx="10">
                  <c:v>43771464</c:v>
                </c:pt>
                <c:pt idx="11">
                  <c:v>47749442</c:v>
                </c:pt>
              </c:numCache>
            </c:numRef>
          </c:val>
          <c:smooth val="0"/>
          <c:extLst>
            <c:ext xmlns:c16="http://schemas.microsoft.com/office/drawing/2014/chart" uri="{C3380CC4-5D6E-409C-BE32-E72D297353CC}">
              <c16:uniqueId val="{0000000E-573A-4F1A-A4EF-7CBB93885071}"/>
            </c:ext>
          </c:extLst>
        </c:ser>
        <c:dLbls>
          <c:showLegendKey val="0"/>
          <c:showVal val="0"/>
          <c:showCatName val="0"/>
          <c:showSerName val="0"/>
          <c:showPercent val="0"/>
          <c:showBubbleSize val="0"/>
        </c:dLbls>
        <c:marker val="1"/>
        <c:smooth val="0"/>
        <c:axId val="239443784"/>
        <c:axId val="239443392"/>
      </c:lineChart>
      <c:catAx>
        <c:axId val="239444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443000"/>
        <c:crosses val="autoZero"/>
        <c:auto val="1"/>
        <c:lblAlgn val="ctr"/>
        <c:lblOffset val="100"/>
        <c:noMultiLvlLbl val="0"/>
      </c:catAx>
      <c:valAx>
        <c:axId val="239443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9444568"/>
        <c:crosses val="autoZero"/>
        <c:crossBetween val="between"/>
      </c:valAx>
      <c:valAx>
        <c:axId val="239443392"/>
        <c:scaling>
          <c:orientation val="minMax"/>
        </c:scaling>
        <c:delete val="1"/>
        <c:axPos val="r"/>
        <c:numFmt formatCode="#,##0" sourceLinked="1"/>
        <c:majorTickMark val="out"/>
        <c:minorTickMark val="none"/>
        <c:tickLblPos val="nextTo"/>
        <c:crossAx val="239443784"/>
        <c:crosses val="max"/>
        <c:crossBetween val="between"/>
      </c:valAx>
      <c:catAx>
        <c:axId val="239443784"/>
        <c:scaling>
          <c:orientation val="minMax"/>
        </c:scaling>
        <c:delete val="1"/>
        <c:axPos val="b"/>
        <c:majorTickMark val="out"/>
        <c:minorTickMark val="none"/>
        <c:tickLblPos val="nextTo"/>
        <c:crossAx val="239443392"/>
        <c:crosses val="autoZero"/>
        <c:auto val="1"/>
        <c:lblAlgn val="ctr"/>
        <c:lblOffset val="100"/>
        <c:noMultiLvlLbl val="0"/>
      </c:cat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2020</a:t>
            </a:r>
            <a:r>
              <a:rPr lang="en-US" baseline="0"/>
              <a:t> </a:t>
            </a:r>
            <a:r>
              <a:rPr lang="en-US"/>
              <a:t>Subscriber Solar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'2020 Dashboard'!$AB$5</c:f>
              <c:strCache>
                <c:ptCount val="1"/>
                <c:pt idx="0">
                  <c:v>Cumulative Generated</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2189-4CC3-93A7-6E9C08FEA55E}"/>
                </c:ext>
              </c:extLst>
            </c:dLbl>
            <c:dLbl>
              <c:idx val="1"/>
              <c:delete val="1"/>
              <c:extLst>
                <c:ext xmlns:c15="http://schemas.microsoft.com/office/drawing/2012/chart" uri="{CE6537A1-D6FC-4f65-9D91-7224C49458BB}"/>
                <c:ext xmlns:c16="http://schemas.microsoft.com/office/drawing/2014/chart" uri="{C3380CC4-5D6E-409C-BE32-E72D297353CC}">
                  <c16:uniqueId val="{00000001-2189-4CC3-93A7-6E9C08FEA55E}"/>
                </c:ext>
              </c:extLst>
            </c:dLbl>
            <c:dLbl>
              <c:idx val="2"/>
              <c:delete val="1"/>
              <c:extLst>
                <c:ext xmlns:c15="http://schemas.microsoft.com/office/drawing/2012/chart" uri="{CE6537A1-D6FC-4f65-9D91-7224C49458BB}"/>
                <c:ext xmlns:c16="http://schemas.microsoft.com/office/drawing/2014/chart" uri="{C3380CC4-5D6E-409C-BE32-E72D297353CC}">
                  <c16:uniqueId val="{00000002-2189-4CC3-93A7-6E9C08FEA55E}"/>
                </c:ext>
              </c:extLst>
            </c:dLbl>
            <c:dLbl>
              <c:idx val="3"/>
              <c:delete val="1"/>
              <c:extLst>
                <c:ext xmlns:c15="http://schemas.microsoft.com/office/drawing/2012/chart" uri="{CE6537A1-D6FC-4f65-9D91-7224C49458BB}"/>
                <c:ext xmlns:c16="http://schemas.microsoft.com/office/drawing/2014/chart" uri="{C3380CC4-5D6E-409C-BE32-E72D297353CC}">
                  <c16:uniqueId val="{00000003-2189-4CC3-93A7-6E9C08FEA55E}"/>
                </c:ext>
              </c:extLst>
            </c:dLbl>
            <c:dLbl>
              <c:idx val="4"/>
              <c:delete val="1"/>
              <c:extLst>
                <c:ext xmlns:c15="http://schemas.microsoft.com/office/drawing/2012/chart" uri="{CE6537A1-D6FC-4f65-9D91-7224C49458BB}"/>
                <c:ext xmlns:c16="http://schemas.microsoft.com/office/drawing/2014/chart" uri="{C3380CC4-5D6E-409C-BE32-E72D297353CC}">
                  <c16:uniqueId val="{00000004-2189-4CC3-93A7-6E9C08FEA55E}"/>
                </c:ext>
              </c:extLst>
            </c:dLbl>
            <c:dLbl>
              <c:idx val="5"/>
              <c:delete val="1"/>
              <c:extLst>
                <c:ext xmlns:c15="http://schemas.microsoft.com/office/drawing/2012/chart" uri="{CE6537A1-D6FC-4f65-9D91-7224C49458BB}"/>
                <c:ext xmlns:c16="http://schemas.microsoft.com/office/drawing/2014/chart" uri="{C3380CC4-5D6E-409C-BE32-E72D297353CC}">
                  <c16:uniqueId val="{00000005-2189-4CC3-93A7-6E9C08FEA55E}"/>
                </c:ext>
              </c:extLst>
            </c:dLbl>
            <c:dLbl>
              <c:idx val="6"/>
              <c:delete val="1"/>
              <c:extLst>
                <c:ext xmlns:c15="http://schemas.microsoft.com/office/drawing/2012/chart" uri="{CE6537A1-D6FC-4f65-9D91-7224C49458BB}"/>
                <c:ext xmlns:c16="http://schemas.microsoft.com/office/drawing/2014/chart" uri="{C3380CC4-5D6E-409C-BE32-E72D297353CC}">
                  <c16:uniqueId val="{00000006-2189-4CC3-93A7-6E9C08FEA55E}"/>
                </c:ext>
              </c:extLst>
            </c:dLbl>
            <c:dLbl>
              <c:idx val="7"/>
              <c:delete val="1"/>
              <c:extLst>
                <c:ext xmlns:c15="http://schemas.microsoft.com/office/drawing/2012/chart" uri="{CE6537A1-D6FC-4f65-9D91-7224C49458BB}"/>
                <c:ext xmlns:c16="http://schemas.microsoft.com/office/drawing/2014/chart" uri="{C3380CC4-5D6E-409C-BE32-E72D297353CC}">
                  <c16:uniqueId val="{00000007-2189-4CC3-93A7-6E9C08FEA55E}"/>
                </c:ext>
              </c:extLst>
            </c:dLbl>
            <c:dLbl>
              <c:idx val="8"/>
              <c:delete val="1"/>
              <c:extLst>
                <c:ext xmlns:c15="http://schemas.microsoft.com/office/drawing/2012/chart" uri="{CE6537A1-D6FC-4f65-9D91-7224C49458BB}"/>
                <c:ext xmlns:c16="http://schemas.microsoft.com/office/drawing/2014/chart" uri="{C3380CC4-5D6E-409C-BE32-E72D297353CC}">
                  <c16:uniqueId val="{00000008-2189-4CC3-93A7-6E9C08FEA55E}"/>
                </c:ext>
              </c:extLst>
            </c:dLbl>
            <c:dLbl>
              <c:idx val="9"/>
              <c:delete val="1"/>
              <c:extLst>
                <c:ext xmlns:c15="http://schemas.microsoft.com/office/drawing/2012/chart" uri="{CE6537A1-D6FC-4f65-9D91-7224C49458BB}"/>
                <c:ext xmlns:c16="http://schemas.microsoft.com/office/drawing/2014/chart" uri="{C3380CC4-5D6E-409C-BE32-E72D297353CC}">
                  <c16:uniqueId val="{00000009-2189-4CC3-93A7-6E9C08FEA55E}"/>
                </c:ext>
              </c:extLst>
            </c:dLbl>
            <c:dLbl>
              <c:idx val="10"/>
              <c:delete val="1"/>
              <c:extLst>
                <c:ext xmlns:c15="http://schemas.microsoft.com/office/drawing/2012/chart" uri="{CE6537A1-D6FC-4f65-9D91-7224C49458BB}"/>
                <c:ext xmlns:c16="http://schemas.microsoft.com/office/drawing/2014/chart" uri="{C3380CC4-5D6E-409C-BE32-E72D297353CC}">
                  <c16:uniqueId val="{0000000A-2189-4CC3-93A7-6E9C08FEA55E}"/>
                </c:ext>
              </c:extLst>
            </c:dLbl>
            <c:dLbl>
              <c:idx val="11"/>
              <c:layout>
                <c:manualLayout>
                  <c:x val="-0.15260271189328953"/>
                  <c:y val="-4.6296296296296294E-2"/>
                </c:manualLayout>
              </c:layout>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89-4CC3-93A7-6E9C08FEA5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'2020 Dashboard'!$AB$6:$AB$17</c:f>
              <c:numCache>
                <c:formatCode>#,##0</c:formatCode>
                <c:ptCount val="12"/>
                <c:pt idx="0">
                  <c:v>2231818</c:v>
                </c:pt>
                <c:pt idx="1">
                  <c:v>5545970</c:v>
                </c:pt>
                <c:pt idx="2">
                  <c:v>9538618</c:v>
                </c:pt>
                <c:pt idx="3">
                  <c:v>14540261</c:v>
                </c:pt>
                <c:pt idx="4">
                  <c:v>20168504.293000001</c:v>
                </c:pt>
                <c:pt idx="5">
                  <c:v>25808962.720000003</c:v>
                </c:pt>
                <c:pt idx="6">
                  <c:v>31794332.681000002</c:v>
                </c:pt>
                <c:pt idx="7">
                  <c:v>37588813.607000001</c:v>
                </c:pt>
                <c:pt idx="8">
                  <c:v>42368049.778999999</c:v>
                </c:pt>
                <c:pt idx="9">
                  <c:v>45495264.669</c:v>
                </c:pt>
                <c:pt idx="10">
                  <c:v>48214921.868000001</c:v>
                </c:pt>
                <c:pt idx="11">
                  <c:v>49992944.101999998</c:v>
                </c:pt>
              </c:numCache>
            </c:numRef>
          </c:val>
          <c:smooth val="0"/>
          <c:extLst>
            <c:ext xmlns:c16="http://schemas.microsoft.com/office/drawing/2014/chart" uri="{C3380CC4-5D6E-409C-BE32-E72D297353CC}">
              <c16:uniqueId val="{0000000C-2189-4CC3-93A7-6E9C08FEA55E}"/>
            </c:ext>
          </c:extLst>
        </c:ser>
        <c:dLbls>
          <c:showLegendKey val="0"/>
          <c:showVal val="0"/>
          <c:showCatName val="0"/>
          <c:showSerName val="0"/>
          <c:showPercent val="0"/>
          <c:showBubbleSize val="0"/>
        </c:dLbls>
        <c:marker val="1"/>
        <c:smooth val="0"/>
        <c:axId val="810035000"/>
        <c:axId val="810032256"/>
      </c:lineChart>
      <c:lineChart>
        <c:grouping val="standard"/>
        <c:varyColors val="0"/>
        <c:ser>
          <c:idx val="0"/>
          <c:order val="0"/>
          <c:tx>
            <c:strRef>
              <c:f>'2020 Dashboard'!$AA$5</c:f>
              <c:strCache>
                <c:ptCount val="1"/>
                <c:pt idx="0">
                  <c:v>Cumulative Sold</c:v>
                </c:pt>
              </c:strCache>
            </c:strRef>
          </c:tx>
          <c:spPr>
            <a:ln w="28575" cap="rnd">
              <a:solidFill>
                <a:schemeClr val="accent1"/>
              </a:solidFill>
              <a:round/>
            </a:ln>
            <a:effectLst/>
          </c:spPr>
          <c:marker>
            <c:symbol val="none"/>
          </c:marker>
          <c:dLbls>
            <c:dLbl>
              <c:idx val="11"/>
              <c:layout>
                <c:manualLayout>
                  <c:x val="-6.1117549967283816E-2"/>
                  <c:y val="0.138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89-4CC3-93A7-6E9C08FEA55E}"/>
                </c:ext>
              </c:extLst>
            </c:dLbl>
            <c:spPr>
              <a:solidFill>
                <a:schemeClr val="accent1">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'2020 Dashboard'!$AA$6:$AA$17</c:f>
              <c:numCache>
                <c:formatCode>#,##0</c:formatCode>
                <c:ptCount val="12"/>
                <c:pt idx="0">
                  <c:v>3895919</c:v>
                </c:pt>
                <c:pt idx="1">
                  <c:v>8055479</c:v>
                </c:pt>
                <c:pt idx="2">
                  <c:v>12079359</c:v>
                </c:pt>
                <c:pt idx="3">
                  <c:v>15989959</c:v>
                </c:pt>
                <c:pt idx="4">
                  <c:v>19900959</c:v>
                </c:pt>
                <c:pt idx="5">
                  <c:v>23728422</c:v>
                </c:pt>
                <c:pt idx="6">
                  <c:v>27946342</c:v>
                </c:pt>
                <c:pt idx="7">
                  <c:v>31874925</c:v>
                </c:pt>
                <c:pt idx="8">
                  <c:v>36414416</c:v>
                </c:pt>
                <c:pt idx="9">
                  <c:v>40359807</c:v>
                </c:pt>
                <c:pt idx="10">
                  <c:v>44514799</c:v>
                </c:pt>
                <c:pt idx="11">
                  <c:v>48489550</c:v>
                </c:pt>
              </c:numCache>
            </c:numRef>
          </c:val>
          <c:smooth val="0"/>
          <c:extLst>
            <c:ext xmlns:c16="http://schemas.microsoft.com/office/drawing/2014/chart" uri="{C3380CC4-5D6E-409C-BE32-E72D297353CC}">
              <c16:uniqueId val="{0000000E-2189-4CC3-93A7-6E9C08FEA55E}"/>
            </c:ext>
          </c:extLst>
        </c:ser>
        <c:dLbls>
          <c:showLegendKey val="0"/>
          <c:showVal val="0"/>
          <c:showCatName val="0"/>
          <c:showSerName val="0"/>
          <c:showPercent val="0"/>
          <c:showBubbleSize val="0"/>
        </c:dLbls>
        <c:marker val="1"/>
        <c:smooth val="0"/>
        <c:axId val="810032648"/>
        <c:axId val="810035392"/>
      </c:lineChart>
      <c:catAx>
        <c:axId val="810035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32256"/>
        <c:crosses val="autoZero"/>
        <c:auto val="1"/>
        <c:lblAlgn val="ctr"/>
        <c:lblOffset val="100"/>
        <c:noMultiLvlLbl val="0"/>
      </c:catAx>
      <c:valAx>
        <c:axId val="810032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35000"/>
        <c:crosses val="autoZero"/>
        <c:crossBetween val="between"/>
      </c:valAx>
      <c:valAx>
        <c:axId val="810035392"/>
        <c:scaling>
          <c:orientation val="minMax"/>
        </c:scaling>
        <c:delete val="1"/>
        <c:axPos val="r"/>
        <c:numFmt formatCode="#,##0" sourceLinked="1"/>
        <c:majorTickMark val="out"/>
        <c:minorTickMark val="none"/>
        <c:tickLblPos val="nextTo"/>
        <c:crossAx val="810032648"/>
        <c:crosses val="max"/>
        <c:crossBetween val="between"/>
      </c:valAx>
      <c:catAx>
        <c:axId val="810032648"/>
        <c:scaling>
          <c:orientation val="minMax"/>
        </c:scaling>
        <c:delete val="1"/>
        <c:axPos val="b"/>
        <c:majorTickMark val="out"/>
        <c:minorTickMark val="none"/>
        <c:tickLblPos val="nextTo"/>
        <c:crossAx val="810035392"/>
        <c:crosses val="autoZero"/>
        <c:auto val="1"/>
        <c:lblAlgn val="ctr"/>
        <c:lblOffset val="100"/>
        <c:noMultiLvlLbl val="0"/>
      </c:cat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2021</a:t>
            </a:r>
            <a:r>
              <a:rPr lang="en-US" baseline="0"/>
              <a:t> </a:t>
            </a:r>
            <a:r>
              <a:rPr lang="en-US"/>
              <a:t>Subscriber Solar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'2021 Dashboard'!$AB$5</c:f>
              <c:strCache>
                <c:ptCount val="1"/>
                <c:pt idx="0">
                  <c:v>Cumulative Generated</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D56-4932-86B3-AD55208D9442}"/>
                </c:ext>
              </c:extLst>
            </c:dLbl>
            <c:dLbl>
              <c:idx val="1"/>
              <c:delete val="1"/>
              <c:extLst>
                <c:ext xmlns:c15="http://schemas.microsoft.com/office/drawing/2012/chart" uri="{CE6537A1-D6FC-4f65-9D91-7224C49458BB}"/>
                <c:ext xmlns:c16="http://schemas.microsoft.com/office/drawing/2014/chart" uri="{C3380CC4-5D6E-409C-BE32-E72D297353CC}">
                  <c16:uniqueId val="{00000001-CD56-4932-86B3-AD55208D9442}"/>
                </c:ext>
              </c:extLst>
            </c:dLbl>
            <c:dLbl>
              <c:idx val="2"/>
              <c:delete val="1"/>
              <c:extLst>
                <c:ext xmlns:c15="http://schemas.microsoft.com/office/drawing/2012/chart" uri="{CE6537A1-D6FC-4f65-9D91-7224C49458BB}"/>
                <c:ext xmlns:c16="http://schemas.microsoft.com/office/drawing/2014/chart" uri="{C3380CC4-5D6E-409C-BE32-E72D297353CC}">
                  <c16:uniqueId val="{00000002-CD56-4932-86B3-AD55208D9442}"/>
                </c:ext>
              </c:extLst>
            </c:dLbl>
            <c:dLbl>
              <c:idx val="3"/>
              <c:delete val="1"/>
              <c:extLst>
                <c:ext xmlns:c15="http://schemas.microsoft.com/office/drawing/2012/chart" uri="{CE6537A1-D6FC-4f65-9D91-7224C49458BB}"/>
                <c:ext xmlns:c16="http://schemas.microsoft.com/office/drawing/2014/chart" uri="{C3380CC4-5D6E-409C-BE32-E72D297353CC}">
                  <c16:uniqueId val="{00000003-CD56-4932-86B3-AD55208D9442}"/>
                </c:ext>
              </c:extLst>
            </c:dLbl>
            <c:dLbl>
              <c:idx val="4"/>
              <c:delete val="1"/>
              <c:extLst>
                <c:ext xmlns:c15="http://schemas.microsoft.com/office/drawing/2012/chart" uri="{CE6537A1-D6FC-4f65-9D91-7224C49458BB}"/>
                <c:ext xmlns:c16="http://schemas.microsoft.com/office/drawing/2014/chart" uri="{C3380CC4-5D6E-409C-BE32-E72D297353CC}">
                  <c16:uniqueId val="{00000004-CD56-4932-86B3-AD55208D9442}"/>
                </c:ext>
              </c:extLst>
            </c:dLbl>
            <c:dLbl>
              <c:idx val="5"/>
              <c:delete val="1"/>
              <c:extLst>
                <c:ext xmlns:c15="http://schemas.microsoft.com/office/drawing/2012/chart" uri="{CE6537A1-D6FC-4f65-9D91-7224C49458BB}"/>
                <c:ext xmlns:c16="http://schemas.microsoft.com/office/drawing/2014/chart" uri="{C3380CC4-5D6E-409C-BE32-E72D297353CC}">
                  <c16:uniqueId val="{00000005-CD56-4932-86B3-AD55208D9442}"/>
                </c:ext>
              </c:extLst>
            </c:dLbl>
            <c:dLbl>
              <c:idx val="6"/>
              <c:delete val="1"/>
              <c:extLst>
                <c:ext xmlns:c15="http://schemas.microsoft.com/office/drawing/2012/chart" uri="{CE6537A1-D6FC-4f65-9D91-7224C49458BB}"/>
                <c:ext xmlns:c16="http://schemas.microsoft.com/office/drawing/2014/chart" uri="{C3380CC4-5D6E-409C-BE32-E72D297353CC}">
                  <c16:uniqueId val="{00000006-CD56-4932-86B3-AD55208D9442}"/>
                </c:ext>
              </c:extLst>
            </c:dLbl>
            <c:dLbl>
              <c:idx val="7"/>
              <c:delete val="1"/>
              <c:extLst>
                <c:ext xmlns:c15="http://schemas.microsoft.com/office/drawing/2012/chart" uri="{CE6537A1-D6FC-4f65-9D91-7224C49458BB}"/>
                <c:ext xmlns:c16="http://schemas.microsoft.com/office/drawing/2014/chart" uri="{C3380CC4-5D6E-409C-BE32-E72D297353CC}">
                  <c16:uniqueId val="{00000007-CD56-4932-86B3-AD55208D9442}"/>
                </c:ext>
              </c:extLst>
            </c:dLbl>
            <c:dLbl>
              <c:idx val="8"/>
              <c:delete val="1"/>
              <c:extLst>
                <c:ext xmlns:c15="http://schemas.microsoft.com/office/drawing/2012/chart" uri="{CE6537A1-D6FC-4f65-9D91-7224C49458BB}"/>
                <c:ext xmlns:c16="http://schemas.microsoft.com/office/drawing/2014/chart" uri="{C3380CC4-5D6E-409C-BE32-E72D297353CC}">
                  <c16:uniqueId val="{00000008-CD56-4932-86B3-AD55208D9442}"/>
                </c:ext>
              </c:extLst>
            </c:dLbl>
            <c:dLbl>
              <c:idx val="9"/>
              <c:delete val="1"/>
              <c:extLst>
                <c:ext xmlns:c15="http://schemas.microsoft.com/office/drawing/2012/chart" uri="{CE6537A1-D6FC-4f65-9D91-7224C49458BB}"/>
                <c:ext xmlns:c16="http://schemas.microsoft.com/office/drawing/2014/chart" uri="{C3380CC4-5D6E-409C-BE32-E72D297353CC}">
                  <c16:uniqueId val="{00000009-CD56-4932-86B3-AD55208D9442}"/>
                </c:ext>
              </c:extLst>
            </c:dLbl>
            <c:dLbl>
              <c:idx val="10"/>
              <c:delete val="1"/>
              <c:extLst>
                <c:ext xmlns:c15="http://schemas.microsoft.com/office/drawing/2012/chart" uri="{CE6537A1-D6FC-4f65-9D91-7224C49458BB}"/>
                <c:ext xmlns:c16="http://schemas.microsoft.com/office/drawing/2014/chart" uri="{C3380CC4-5D6E-409C-BE32-E72D297353CC}">
                  <c16:uniqueId val="{0000000A-CD56-4932-86B3-AD55208D9442}"/>
                </c:ext>
              </c:extLst>
            </c:dLbl>
            <c:dLbl>
              <c:idx val="11"/>
              <c:layout>
                <c:manualLayout>
                  <c:x val="-0.15260271189328953"/>
                  <c:y val="-4.6296296296296294E-2"/>
                </c:manualLayout>
              </c:layout>
              <c:spPr>
                <a:solidFill>
                  <a:schemeClr val="accent2">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D56-4932-86B3-AD55208D94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'2021 Dashboard'!$AB$6:$AB$17</c:f>
              <c:numCache>
                <c:formatCode>#,##0</c:formatCode>
                <c:ptCount val="12"/>
                <c:pt idx="0">
                  <c:v>2371344.7630000003</c:v>
                </c:pt>
                <c:pt idx="1">
                  <c:v>4836686.3940000013</c:v>
                </c:pt>
                <c:pt idx="2">
                  <c:v>8298791.4469999988</c:v>
                </c:pt>
                <c:pt idx="3">
                  <c:v>13362257.534000002</c:v>
                </c:pt>
                <c:pt idx="4">
                  <c:v>19263056.339000009</c:v>
                </c:pt>
                <c:pt idx="5">
                  <c:v>25266282.913000014</c:v>
                </c:pt>
                <c:pt idx="6">
                  <c:v>30305873.830000013</c:v>
                </c:pt>
                <c:pt idx="7">
                  <c:v>35466511.069000013</c:v>
                </c:pt>
                <c:pt idx="8">
                  <c:v>40266438.750000015</c:v>
                </c:pt>
                <c:pt idx="9">
                  <c:v>43410691.590000018</c:v>
                </c:pt>
                <c:pt idx="10">
                  <c:v>46274205.529000014</c:v>
                </c:pt>
                <c:pt idx="11">
                  <c:v>48263411.613000013</c:v>
                </c:pt>
              </c:numCache>
            </c:numRef>
          </c:val>
          <c:smooth val="0"/>
          <c:extLst>
            <c:ext xmlns:c16="http://schemas.microsoft.com/office/drawing/2014/chart" uri="{C3380CC4-5D6E-409C-BE32-E72D297353CC}">
              <c16:uniqueId val="{0000000C-CD56-4932-86B3-AD55208D9442}"/>
            </c:ext>
          </c:extLst>
        </c:ser>
        <c:dLbls>
          <c:showLegendKey val="0"/>
          <c:showVal val="0"/>
          <c:showCatName val="0"/>
          <c:showSerName val="0"/>
          <c:showPercent val="0"/>
          <c:showBubbleSize val="0"/>
        </c:dLbls>
        <c:marker val="1"/>
        <c:smooth val="0"/>
        <c:axId val="810035000"/>
        <c:axId val="810032256"/>
      </c:lineChart>
      <c:lineChart>
        <c:grouping val="standard"/>
        <c:varyColors val="0"/>
        <c:ser>
          <c:idx val="0"/>
          <c:order val="0"/>
          <c:tx>
            <c:strRef>
              <c:f>'2021 Dashboard'!$AA$5</c:f>
              <c:strCache>
                <c:ptCount val="1"/>
                <c:pt idx="0">
                  <c:v>Cumulative Sold</c:v>
                </c:pt>
              </c:strCache>
            </c:strRef>
          </c:tx>
          <c:spPr>
            <a:ln w="28575" cap="rnd">
              <a:solidFill>
                <a:schemeClr val="accent1"/>
              </a:solidFill>
              <a:round/>
            </a:ln>
            <a:effectLst/>
          </c:spPr>
          <c:marker>
            <c:symbol val="none"/>
          </c:marker>
          <c:dLbls>
            <c:dLbl>
              <c:idx val="11"/>
              <c:layout>
                <c:manualLayout>
                  <c:x val="-6.1117549967283816E-2"/>
                  <c:y val="0.13888888888888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D56-4932-86B3-AD55208D9442}"/>
                </c:ext>
              </c:extLst>
            </c:dLbl>
            <c:spPr>
              <a:solidFill>
                <a:schemeClr val="accent1">
                  <a:lumMod val="40000"/>
                  <a:lumOff val="6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'2021 Dashboard'!$AA$6:$AA$17</c:f>
              <c:numCache>
                <c:formatCode>#,##0</c:formatCode>
                <c:ptCount val="12"/>
                <c:pt idx="0">
                  <c:v>3924518</c:v>
                </c:pt>
                <c:pt idx="1">
                  <c:v>8520519</c:v>
                </c:pt>
                <c:pt idx="2">
                  <c:v>12619204</c:v>
                </c:pt>
                <c:pt idx="3">
                  <c:v>16051201</c:v>
                </c:pt>
                <c:pt idx="4">
                  <c:v>20388670</c:v>
                </c:pt>
                <c:pt idx="5">
                  <c:v>24493551</c:v>
                </c:pt>
                <c:pt idx="6">
                  <c:v>27977400</c:v>
                </c:pt>
                <c:pt idx="7">
                  <c:v>32442167</c:v>
                </c:pt>
                <c:pt idx="8">
                  <c:v>36075992</c:v>
                </c:pt>
                <c:pt idx="9">
                  <c:v>39782455</c:v>
                </c:pt>
                <c:pt idx="10">
                  <c:v>43542978</c:v>
                </c:pt>
                <c:pt idx="11">
                  <c:v>47361700</c:v>
                </c:pt>
              </c:numCache>
            </c:numRef>
          </c:val>
          <c:smooth val="0"/>
          <c:extLst>
            <c:ext xmlns:c16="http://schemas.microsoft.com/office/drawing/2014/chart" uri="{C3380CC4-5D6E-409C-BE32-E72D297353CC}">
              <c16:uniqueId val="{0000000E-CD56-4932-86B3-AD55208D9442}"/>
            </c:ext>
          </c:extLst>
        </c:ser>
        <c:dLbls>
          <c:showLegendKey val="0"/>
          <c:showVal val="0"/>
          <c:showCatName val="0"/>
          <c:showSerName val="0"/>
          <c:showPercent val="0"/>
          <c:showBubbleSize val="0"/>
        </c:dLbls>
        <c:marker val="1"/>
        <c:smooth val="0"/>
        <c:axId val="810032648"/>
        <c:axId val="810035392"/>
      </c:lineChart>
      <c:catAx>
        <c:axId val="810035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32256"/>
        <c:crosses val="autoZero"/>
        <c:auto val="1"/>
        <c:lblAlgn val="ctr"/>
        <c:lblOffset val="100"/>
        <c:noMultiLvlLbl val="0"/>
      </c:catAx>
      <c:valAx>
        <c:axId val="810032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0035000"/>
        <c:crosses val="autoZero"/>
        <c:crossBetween val="between"/>
      </c:valAx>
      <c:valAx>
        <c:axId val="810035392"/>
        <c:scaling>
          <c:orientation val="minMax"/>
        </c:scaling>
        <c:delete val="1"/>
        <c:axPos val="r"/>
        <c:numFmt formatCode="#,##0" sourceLinked="1"/>
        <c:majorTickMark val="out"/>
        <c:minorTickMark val="none"/>
        <c:tickLblPos val="nextTo"/>
        <c:crossAx val="810032648"/>
        <c:crosses val="max"/>
        <c:crossBetween val="between"/>
      </c:valAx>
      <c:catAx>
        <c:axId val="810032648"/>
        <c:scaling>
          <c:orientation val="minMax"/>
        </c:scaling>
        <c:delete val="1"/>
        <c:axPos val="b"/>
        <c:majorTickMark val="out"/>
        <c:minorTickMark val="none"/>
        <c:tickLblPos val="nextTo"/>
        <c:crossAx val="810035392"/>
        <c:crosses val="autoZero"/>
        <c:auto val="1"/>
        <c:lblAlgn val="ctr"/>
        <c:lblOffset val="100"/>
        <c:noMultiLvlLbl val="0"/>
      </c:catAx>
      <c:spPr>
        <a:noFill/>
        <a:ln>
          <a:solidFill>
            <a:schemeClr val="accent1"/>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14</xdr:col>
      <xdr:colOff>616324</xdr:colOff>
      <xdr:row>22</xdr:row>
      <xdr:rowOff>106455</xdr:rowOff>
    </xdr:from>
    <xdr:to>
      <xdr:col>21</xdr:col>
      <xdr:colOff>278468</xdr:colOff>
      <xdr:row>38</xdr:row>
      <xdr:rowOff>134471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610861</xdr:colOff>
      <xdr:row>42</xdr:row>
      <xdr:rowOff>174155</xdr:rowOff>
    </xdr:from>
    <xdr:to>
      <xdr:col>28</xdr:col>
      <xdr:colOff>107156</xdr:colOff>
      <xdr:row>61</xdr:row>
      <xdr:rowOff>130968</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542825</xdr:colOff>
      <xdr:row>22</xdr:row>
      <xdr:rowOff>13607</xdr:rowOff>
    </xdr:from>
    <xdr:to>
      <xdr:col>29</xdr:col>
      <xdr:colOff>175192</xdr:colOff>
      <xdr:row>68</xdr:row>
      <xdr:rowOff>144575</xdr:rowOff>
    </xdr:to>
    <xdr:graphicFrame macro="">
      <xdr:nvGraphicFramePr>
        <xdr:cNvPr id="2" name="Chart 1">
          <a:extLst>
            <a:ext uri="{FF2B5EF4-FFF2-40B4-BE49-F238E27FC236}">
              <a16:creationId xmlns:a16="http://schemas.microsoft.com/office/drawing/2014/main" id="{E8CBB926-B93D-40CA-B42F-7B8A7D7AE2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8DF2-B791-48AB-9420-7689860A58DC}">
  <sheetPr>
    <pageSetUpPr fitToPage="1"/>
  </sheetPr>
  <dimension ref="A1:X41"/>
  <sheetViews>
    <sheetView showGridLines="0" tabSelected="1" zoomScale="80" zoomScaleNormal="80" workbookViewId="0">
      <selection activeCell="K5" sqref="K5"/>
    </sheetView>
  </sheetViews>
  <sheetFormatPr defaultRowHeight="15"/>
  <cols>
    <col min="1" max="1" width="40.28515625" customWidth="1"/>
    <col min="2" max="2" width="35.5703125" bestFit="1" customWidth="1"/>
    <col min="3" max="3" width="15.7109375" bestFit="1" customWidth="1"/>
    <col min="4" max="4" width="31.28515625" bestFit="1" customWidth="1"/>
    <col min="5" max="5" width="19.140625" customWidth="1"/>
    <col min="6" max="9" width="17.5703125" customWidth="1"/>
    <col min="10" max="10" width="20.28515625" bestFit="1" customWidth="1"/>
    <col min="11" max="11" width="18.7109375" bestFit="1" customWidth="1"/>
    <col min="12" max="12" width="18.7109375" customWidth="1"/>
    <col min="13" max="13" width="3.85546875" customWidth="1"/>
  </cols>
  <sheetData>
    <row r="1" spans="1:24" ht="23.45" customHeight="1">
      <c r="A1" s="242" t="s">
        <v>127</v>
      </c>
      <c r="B1" s="243"/>
      <c r="C1" s="243"/>
      <c r="D1" s="243"/>
      <c r="E1" s="243"/>
      <c r="F1" s="243"/>
      <c r="G1" s="243"/>
      <c r="H1" s="243"/>
      <c r="I1" s="243"/>
      <c r="J1" s="243"/>
      <c r="K1" s="243"/>
      <c r="L1" s="243"/>
      <c r="M1" s="243"/>
      <c r="N1" s="244" t="s">
        <v>128</v>
      </c>
      <c r="O1" s="243"/>
      <c r="P1" s="243"/>
      <c r="Q1" s="243"/>
      <c r="R1" s="243"/>
      <c r="S1" s="243"/>
      <c r="T1" s="243"/>
      <c r="U1" s="243"/>
      <c r="V1" s="243"/>
      <c r="W1" s="243"/>
    </row>
    <row r="2" spans="1:24" ht="18.75" customHeight="1">
      <c r="A2" s="191"/>
      <c r="B2" s="192"/>
      <c r="C2" s="193"/>
      <c r="D2" s="194"/>
      <c r="E2" s="194"/>
      <c r="F2" s="194"/>
      <c r="G2" s="194"/>
      <c r="H2" s="194"/>
      <c r="I2" s="194"/>
      <c r="J2" s="195"/>
      <c r="K2" s="195"/>
      <c r="L2" s="195"/>
      <c r="M2" s="196"/>
      <c r="N2" s="196"/>
      <c r="O2" s="196"/>
      <c r="P2" s="196"/>
      <c r="Q2" s="196"/>
      <c r="R2" s="196"/>
      <c r="S2" s="196"/>
      <c r="T2" s="196"/>
      <c r="U2" s="196"/>
      <c r="V2" s="196"/>
      <c r="W2" s="196"/>
    </row>
    <row r="3" spans="1:24" ht="18.75" customHeight="1">
      <c r="A3" s="197" t="s">
        <v>30</v>
      </c>
      <c r="B3" s="198"/>
      <c r="C3" s="193"/>
      <c r="D3" s="194"/>
      <c r="E3" s="194"/>
      <c r="F3" s="194"/>
      <c r="G3" s="194"/>
      <c r="H3" s="194"/>
      <c r="I3" s="194"/>
      <c r="J3" s="195"/>
      <c r="K3" s="195"/>
      <c r="L3" s="195"/>
      <c r="M3" s="196"/>
      <c r="N3" s="245" t="s">
        <v>129</v>
      </c>
      <c r="O3" s="243"/>
      <c r="P3" s="243"/>
      <c r="Q3" s="243"/>
      <c r="R3" s="243"/>
      <c r="S3" s="243"/>
      <c r="T3" s="243"/>
      <c r="U3" s="243"/>
      <c r="V3" s="243"/>
      <c r="W3" s="243"/>
    </row>
    <row r="4" spans="1:24" ht="18.75" customHeight="1">
      <c r="A4" s="246" t="s">
        <v>145</v>
      </c>
      <c r="B4" s="243"/>
      <c r="C4" s="243"/>
      <c r="D4" s="243"/>
      <c r="E4" s="243"/>
      <c r="F4" s="243"/>
      <c r="G4" s="243"/>
      <c r="H4" s="243"/>
      <c r="I4" s="243"/>
      <c r="J4" s="243"/>
      <c r="K4" s="161"/>
      <c r="L4" s="161"/>
      <c r="M4" s="199"/>
      <c r="N4" s="241" t="s">
        <v>140</v>
      </c>
      <c r="O4" s="241"/>
      <c r="P4" s="241"/>
      <c r="Q4" s="241"/>
      <c r="R4" s="241"/>
      <c r="S4" s="241"/>
      <c r="T4" s="241"/>
      <c r="U4" s="241"/>
      <c r="V4" s="241"/>
      <c r="W4" s="241"/>
    </row>
    <row r="5" spans="1:24" ht="30" customHeight="1">
      <c r="A5" s="243"/>
      <c r="B5" s="243"/>
      <c r="C5" s="243"/>
      <c r="D5" s="243"/>
      <c r="E5" s="243"/>
      <c r="F5" s="243"/>
      <c r="G5" s="243"/>
      <c r="H5" s="243"/>
      <c r="I5" s="243"/>
      <c r="J5" s="243"/>
      <c r="K5" s="161"/>
      <c r="L5" s="161"/>
      <c r="M5" s="199"/>
      <c r="N5" s="241"/>
      <c r="O5" s="241"/>
      <c r="P5" s="241"/>
      <c r="Q5" s="241"/>
      <c r="R5" s="241"/>
      <c r="S5" s="241"/>
      <c r="T5" s="241"/>
      <c r="U5" s="241"/>
      <c r="V5" s="241"/>
      <c r="W5" s="241"/>
    </row>
    <row r="6" spans="1:24" ht="25.5" customHeight="1">
      <c r="A6" s="243"/>
      <c r="B6" s="243"/>
      <c r="C6" s="243"/>
      <c r="D6" s="243"/>
      <c r="E6" s="243"/>
      <c r="F6" s="243"/>
      <c r="G6" s="243"/>
      <c r="H6" s="243"/>
      <c r="I6" s="243"/>
      <c r="J6" s="243"/>
      <c r="K6" s="161"/>
      <c r="L6" s="161"/>
      <c r="M6" s="199"/>
      <c r="N6" s="247"/>
      <c r="O6" s="247"/>
      <c r="P6" s="247"/>
      <c r="Q6" s="247"/>
      <c r="R6" s="247"/>
      <c r="S6" s="161"/>
      <c r="T6" s="161"/>
      <c r="U6" s="161"/>
      <c r="V6" s="161"/>
      <c r="W6" s="161"/>
    </row>
    <row r="7" spans="1:24" ht="18.75" customHeight="1">
      <c r="A7" s="197" t="s">
        <v>31</v>
      </c>
      <c r="B7" s="198"/>
      <c r="C7" s="200"/>
      <c r="D7" s="201"/>
      <c r="E7" s="201"/>
      <c r="F7" s="201"/>
      <c r="G7" s="201"/>
      <c r="H7" s="201"/>
      <c r="I7" s="201"/>
      <c r="J7" s="201"/>
      <c r="K7" s="202"/>
      <c r="L7" s="202"/>
      <c r="M7" s="202"/>
      <c r="N7" s="196"/>
      <c r="O7" s="161"/>
      <c r="P7" s="161"/>
      <c r="Q7" s="161"/>
      <c r="R7" s="161"/>
      <c r="S7" s="161"/>
      <c r="T7" s="161"/>
      <c r="U7" s="161"/>
      <c r="V7" s="161"/>
      <c r="W7" s="161"/>
      <c r="X7" s="161"/>
    </row>
    <row r="8" spans="1:24" ht="18.75" customHeight="1">
      <c r="A8" s="203"/>
      <c r="B8" s="204">
        <v>2017</v>
      </c>
      <c r="C8" s="204">
        <v>2018</v>
      </c>
      <c r="D8" s="204">
        <v>2019</v>
      </c>
      <c r="E8" s="204">
        <v>2020</v>
      </c>
      <c r="F8" s="204">
        <v>2021</v>
      </c>
      <c r="G8" s="204">
        <v>2022</v>
      </c>
      <c r="H8" s="204">
        <v>2023</v>
      </c>
      <c r="I8" s="204">
        <v>2024</v>
      </c>
      <c r="J8" s="11" t="s">
        <v>131</v>
      </c>
      <c r="K8" s="205" t="s">
        <v>132</v>
      </c>
      <c r="L8" s="206"/>
      <c r="M8" s="206"/>
      <c r="N8" s="245" t="s">
        <v>130</v>
      </c>
      <c r="O8" s="245"/>
      <c r="P8" s="245"/>
      <c r="Q8" s="245"/>
      <c r="R8" s="245"/>
      <c r="S8" s="245"/>
      <c r="T8" s="245"/>
      <c r="U8" s="245"/>
      <c r="V8" s="245"/>
      <c r="W8" s="245"/>
    </row>
    <row r="9" spans="1:24" ht="18.75" customHeight="1">
      <c r="A9" s="207" t="s">
        <v>37</v>
      </c>
      <c r="B9" s="102">
        <v>978013.84950000001</v>
      </c>
      <c r="C9" s="102">
        <v>1079465.8544999999</v>
      </c>
      <c r="D9" s="62">
        <v>1069937.2012499999</v>
      </c>
      <c r="E9" s="62">
        <v>1090922.6452500001</v>
      </c>
      <c r="F9" s="62">
        <v>1154473.2742499998</v>
      </c>
      <c r="G9" s="62">
        <v>1140394.1512500001</v>
      </c>
      <c r="H9" s="62">
        <v>1086844.65075</v>
      </c>
      <c r="I9" s="62">
        <v>1043683.7985</v>
      </c>
      <c r="J9" s="104">
        <v>15995154</v>
      </c>
      <c r="K9" s="98">
        <f>SUM('2024 Dashboard'!G19/'2024 Dashboard'!P19)</f>
        <v>0.36660352073842234</v>
      </c>
      <c r="L9" s="99"/>
      <c r="M9" s="99"/>
      <c r="N9" s="241" t="s">
        <v>141</v>
      </c>
      <c r="O9" s="241"/>
      <c r="P9" s="241"/>
      <c r="Q9" s="241"/>
      <c r="R9" s="241"/>
      <c r="S9" s="241"/>
      <c r="T9" s="241"/>
      <c r="U9" s="241"/>
      <c r="V9" s="241"/>
      <c r="W9" s="241"/>
    </row>
    <row r="10" spans="1:24" ht="18.75" customHeight="1">
      <c r="A10" s="207" t="s">
        <v>49</v>
      </c>
      <c r="B10" s="103">
        <v>1769700.1455000003</v>
      </c>
      <c r="C10" s="103">
        <v>1939784.202</v>
      </c>
      <c r="D10" s="208">
        <v>1951658.0782499998</v>
      </c>
      <c r="E10" s="208">
        <v>1972588.3335000002</v>
      </c>
      <c r="F10" s="208">
        <v>1846871.7817499998</v>
      </c>
      <c r="G10" s="208">
        <v>1963308.3525000003</v>
      </c>
      <c r="H10" s="208">
        <v>1902839.4495000001</v>
      </c>
      <c r="I10" s="208">
        <v>1647298.4685</v>
      </c>
      <c r="J10" s="105">
        <v>26462626</v>
      </c>
      <c r="K10" s="112">
        <f>SUM('2024 Dashboard'!H19/'2024 Dashboard'!P19)</f>
        <v>0.60651443928480553</v>
      </c>
      <c r="L10" s="99"/>
      <c r="M10" s="99"/>
      <c r="N10" s="241"/>
      <c r="O10" s="241"/>
      <c r="P10" s="241"/>
      <c r="Q10" s="241"/>
      <c r="R10" s="241"/>
      <c r="S10" s="241"/>
      <c r="T10" s="241"/>
      <c r="U10" s="241"/>
      <c r="V10" s="241"/>
      <c r="W10" s="241"/>
    </row>
    <row r="11" spans="1:24" ht="18.75" customHeight="1">
      <c r="A11" s="207" t="s">
        <v>38</v>
      </c>
      <c r="B11" s="100">
        <v>2747713.9950000001</v>
      </c>
      <c r="C11" s="100">
        <v>3019250.0564999999</v>
      </c>
      <c r="D11" s="176">
        <f>SUM(D9:D10)</f>
        <v>3021595.2794999997</v>
      </c>
      <c r="E11" s="176">
        <f>SUM(E9:E10)</f>
        <v>3063510.9787500002</v>
      </c>
      <c r="F11" s="176">
        <f>SUM(F9:F10)</f>
        <v>3001345.0559999999</v>
      </c>
      <c r="G11" s="176">
        <f t="shared" ref="G11:I11" si="0">SUM(G9:G10)</f>
        <v>3103702.5037500001</v>
      </c>
      <c r="H11" s="176">
        <f t="shared" si="0"/>
        <v>2989684.1002500001</v>
      </c>
      <c r="I11" s="176">
        <f t="shared" si="0"/>
        <v>2690982.267</v>
      </c>
      <c r="J11" s="104">
        <f>SUM(J9:J10)</f>
        <v>42457780</v>
      </c>
      <c r="K11" s="113">
        <f>K10+K9</f>
        <v>0.97311796002322781</v>
      </c>
      <c r="L11" s="99"/>
      <c r="M11" s="99"/>
      <c r="N11" s="241"/>
      <c r="O11" s="241"/>
      <c r="P11" s="241"/>
      <c r="Q11" s="241"/>
      <c r="R11" s="241"/>
      <c r="S11" s="241"/>
      <c r="T11" s="241"/>
      <c r="U11" s="241"/>
      <c r="V11" s="241"/>
      <c r="W11" s="241"/>
      <c r="X11" s="209"/>
    </row>
    <row r="12" spans="1:24" ht="18" customHeight="1">
      <c r="A12" s="196"/>
      <c r="B12" s="192"/>
      <c r="C12" s="210"/>
      <c r="D12" s="211"/>
      <c r="E12" s="211"/>
      <c r="F12" s="211"/>
      <c r="G12" s="211"/>
      <c r="H12" s="211"/>
      <c r="I12" s="211"/>
      <c r="J12" s="195"/>
      <c r="K12" s="195"/>
      <c r="L12" s="195"/>
      <c r="M12" s="196"/>
      <c r="N12" s="241"/>
      <c r="O12" s="241"/>
      <c r="P12" s="241"/>
      <c r="Q12" s="241"/>
      <c r="R12" s="241"/>
      <c r="S12" s="241"/>
      <c r="T12" s="241"/>
      <c r="U12" s="241"/>
      <c r="V12" s="241"/>
      <c r="W12" s="241"/>
    </row>
    <row r="13" spans="1:24" ht="18.75" customHeight="1">
      <c r="A13" s="197" t="s">
        <v>32</v>
      </c>
      <c r="B13" s="198"/>
      <c r="C13" s="200"/>
      <c r="D13" s="201"/>
      <c r="E13" s="201"/>
      <c r="F13" s="201"/>
      <c r="G13" s="201"/>
      <c r="H13" s="201"/>
      <c r="I13" s="201"/>
      <c r="J13" s="202"/>
      <c r="K13" s="202"/>
      <c r="L13" s="202"/>
      <c r="M13" s="196"/>
      <c r="N13" s="241"/>
      <c r="O13" s="241"/>
      <c r="P13" s="209"/>
      <c r="Q13" s="209"/>
      <c r="R13" s="209"/>
      <c r="S13" s="209"/>
      <c r="T13" s="209"/>
      <c r="U13" s="209"/>
      <c r="V13" s="209"/>
      <c r="W13" s="209"/>
    </row>
    <row r="14" spans="1:24" ht="18.75" customHeight="1">
      <c r="A14" s="203"/>
      <c r="B14" s="204">
        <v>2015</v>
      </c>
      <c r="C14" s="204">
        <v>2016</v>
      </c>
      <c r="D14" s="204">
        <v>2017</v>
      </c>
      <c r="E14" s="204">
        <v>2018</v>
      </c>
      <c r="F14" s="204">
        <v>2019</v>
      </c>
      <c r="G14" s="204">
        <v>2020</v>
      </c>
      <c r="H14" s="204">
        <v>2021</v>
      </c>
      <c r="I14" s="204">
        <v>2022</v>
      </c>
      <c r="J14" s="204">
        <v>2023</v>
      </c>
      <c r="K14" s="204">
        <v>2024</v>
      </c>
      <c r="L14" s="205" t="s">
        <v>36</v>
      </c>
      <c r="M14" s="206"/>
      <c r="N14" s="248" t="s">
        <v>133</v>
      </c>
      <c r="O14" s="248"/>
      <c r="P14" s="248"/>
      <c r="Q14" s="248"/>
      <c r="R14" s="248"/>
      <c r="S14" s="248"/>
      <c r="T14" s="248"/>
      <c r="U14" s="248"/>
      <c r="V14" s="248"/>
      <c r="W14" s="248"/>
    </row>
    <row r="15" spans="1:24" ht="18.75" customHeight="1">
      <c r="A15" s="207" t="s">
        <v>34</v>
      </c>
      <c r="B15" s="102">
        <v>14403.35</v>
      </c>
      <c r="C15" s="102">
        <v>1015874.86</v>
      </c>
      <c r="D15" s="102">
        <v>88844.280000000013</v>
      </c>
      <c r="E15" s="102">
        <v>63660.649999999994</v>
      </c>
      <c r="F15" s="177">
        <v>65656.25</v>
      </c>
      <c r="G15" s="177">
        <f>'2024 Dashboard'!G53</f>
        <v>260683.53</v>
      </c>
      <c r="H15" s="177">
        <f>'2024 Dashboard'!G66</f>
        <v>62363.91</v>
      </c>
      <c r="I15" s="177">
        <f>'2024 Dashboard'!G79</f>
        <v>38982.42</v>
      </c>
      <c r="J15" s="177">
        <f>'2024 Dashboard'!G92</f>
        <v>50739.06</v>
      </c>
      <c r="K15" s="177">
        <f>'2024 Dashboard'!G105</f>
        <v>32124</v>
      </c>
      <c r="L15" s="178">
        <f>SUM(B15:K15)</f>
        <v>1693332.3099999998</v>
      </c>
      <c r="M15" s="212"/>
      <c r="N15" s="241" t="s">
        <v>118</v>
      </c>
      <c r="O15" s="241"/>
      <c r="P15" s="209">
        <v>1955</v>
      </c>
      <c r="Q15" s="209"/>
      <c r="R15" s="209"/>
      <c r="S15" s="209"/>
      <c r="T15" s="209"/>
      <c r="U15" s="209"/>
      <c r="V15" s="209"/>
      <c r="W15" s="209"/>
    </row>
    <row r="16" spans="1:24" ht="18.75" customHeight="1">
      <c r="A16" s="207" t="s">
        <v>35</v>
      </c>
      <c r="B16" s="102">
        <v>7279.47</v>
      </c>
      <c r="C16" s="102">
        <v>241552.42</v>
      </c>
      <c r="D16" s="102">
        <v>201979.63999999996</v>
      </c>
      <c r="E16" s="102">
        <v>107325.82999999999</v>
      </c>
      <c r="F16" s="177">
        <v>60979.72</v>
      </c>
      <c r="G16" s="177">
        <f>'2024 Dashboard'!K53</f>
        <v>36770.75</v>
      </c>
      <c r="H16" s="177">
        <f>'2024 Dashboard'!K66</f>
        <v>14531.33</v>
      </c>
      <c r="I16" s="177">
        <f>'2024 Dashboard'!K79</f>
        <v>10664</v>
      </c>
      <c r="J16" s="177">
        <f>'2024 Dashboard'!K92</f>
        <v>31101.399999999994</v>
      </c>
      <c r="K16" s="177">
        <f>'2024 Dashboard'!K105</f>
        <v>4147.13</v>
      </c>
      <c r="L16" s="178">
        <f>SUM(B16:K16)</f>
        <v>716331.69</v>
      </c>
      <c r="M16" s="212"/>
      <c r="N16" s="241" t="s">
        <v>119</v>
      </c>
      <c r="O16" s="241"/>
      <c r="P16" s="209">
        <v>773</v>
      </c>
      <c r="Q16" s="209"/>
      <c r="R16" s="209"/>
      <c r="S16" s="209"/>
      <c r="T16" s="209"/>
      <c r="U16" s="209"/>
      <c r="V16" s="209"/>
      <c r="W16" s="209"/>
    </row>
    <row r="17" spans="1:24" ht="18.75" customHeight="1">
      <c r="A17" s="207" t="s">
        <v>46</v>
      </c>
      <c r="B17" s="103">
        <v>40.200000000000003</v>
      </c>
      <c r="C17" s="103">
        <v>32832.730000000003</v>
      </c>
      <c r="D17" s="103">
        <v>58533.86</v>
      </c>
      <c r="E17" s="103">
        <v>66021.39</v>
      </c>
      <c r="F17" s="179">
        <v>72631.259999999995</v>
      </c>
      <c r="G17" s="179">
        <f>'2024 Dashboard'!B116</f>
        <v>75195.7</v>
      </c>
      <c r="H17" s="179">
        <f>'2024 Dashboard'!B117</f>
        <v>62802.69</v>
      </c>
      <c r="I17" s="179">
        <f>'2024 Dashboard'!B118</f>
        <v>57756.150000000009</v>
      </c>
      <c r="J17" s="179">
        <f>'2024 Dashboard'!B119</f>
        <v>77595.94</v>
      </c>
      <c r="K17" s="179">
        <f>'2024 Dashboard'!B120</f>
        <v>92911.9</v>
      </c>
      <c r="L17" s="178">
        <f>SUM(B17:K17)</f>
        <v>596321.82000000007</v>
      </c>
      <c r="M17" s="212"/>
      <c r="N17" s="248"/>
      <c r="O17" s="248"/>
      <c r="P17" s="248"/>
      <c r="Q17" s="248"/>
      <c r="R17" s="248"/>
      <c r="S17" s="248"/>
      <c r="T17" s="248"/>
      <c r="U17" s="248"/>
      <c r="V17" s="248"/>
      <c r="W17" s="248"/>
    </row>
    <row r="18" spans="1:24" ht="18.75" customHeight="1">
      <c r="A18" s="207" t="s">
        <v>36</v>
      </c>
      <c r="B18" s="180">
        <f>SUM(B15:B17)</f>
        <v>21723.02</v>
      </c>
      <c r="C18" s="180">
        <f t="shared" ref="C18:F18" si="1">SUM(C15:C17)</f>
        <v>1290260.01</v>
      </c>
      <c r="D18" s="180">
        <f t="shared" si="1"/>
        <v>349357.77999999997</v>
      </c>
      <c r="E18" s="180">
        <f t="shared" si="1"/>
        <v>237007.87</v>
      </c>
      <c r="F18" s="180">
        <f t="shared" si="1"/>
        <v>199267.22999999998</v>
      </c>
      <c r="G18" s="180">
        <f t="shared" ref="G18:K18" si="2">SUM(G15:G17)</f>
        <v>372649.98000000004</v>
      </c>
      <c r="H18" s="133">
        <f t="shared" si="2"/>
        <v>139697.93</v>
      </c>
      <c r="I18" s="133">
        <f t="shared" si="2"/>
        <v>107402.57</v>
      </c>
      <c r="J18" s="133">
        <f t="shared" si="2"/>
        <v>159436.4</v>
      </c>
      <c r="K18" s="133">
        <f t="shared" si="2"/>
        <v>129183.03</v>
      </c>
      <c r="L18" s="178">
        <f>SUM(B18:K18)</f>
        <v>3005985.82</v>
      </c>
      <c r="M18" s="212"/>
      <c r="N18" s="241"/>
      <c r="O18" s="241"/>
      <c r="P18" s="209"/>
      <c r="Q18" s="209"/>
      <c r="R18" s="209"/>
      <c r="S18" s="209"/>
      <c r="T18" s="209"/>
      <c r="U18" s="209"/>
      <c r="V18" s="209"/>
      <c r="W18" s="209"/>
    </row>
    <row r="19" spans="1:24" ht="18.75" customHeight="1">
      <c r="A19" s="207" t="s">
        <v>26</v>
      </c>
      <c r="B19" s="102">
        <v>48000</v>
      </c>
      <c r="C19" s="102">
        <v>1531000</v>
      </c>
      <c r="D19" s="102">
        <v>601000</v>
      </c>
      <c r="E19" s="102">
        <v>612000</v>
      </c>
      <c r="F19" s="177">
        <v>198960</v>
      </c>
      <c r="G19" s="177">
        <v>795000</v>
      </c>
      <c r="H19" s="177">
        <f>'2024 Dashboard'!M66</f>
        <v>559992</v>
      </c>
      <c r="I19" s="177">
        <f>'2024 Dashboard'!M79</f>
        <v>480000</v>
      </c>
      <c r="J19" s="177">
        <f>'2024 Dashboard'!M92</f>
        <v>640000</v>
      </c>
      <c r="K19" s="177">
        <f>'2024 Dashboard'!M105</f>
        <v>600000</v>
      </c>
      <c r="L19" s="62">
        <f>SUM(B19:K19)</f>
        <v>6065952</v>
      </c>
      <c r="M19" s="62"/>
      <c r="N19" s="241"/>
      <c r="O19" s="241"/>
      <c r="P19" s="209"/>
      <c r="Q19" s="209"/>
      <c r="R19" s="209"/>
      <c r="S19" s="209"/>
      <c r="T19" s="209"/>
      <c r="U19" s="209"/>
      <c r="V19" s="209"/>
      <c r="W19" s="209"/>
    </row>
    <row r="20" spans="1:24" ht="18.75" customHeight="1">
      <c r="A20" s="207" t="s">
        <v>39</v>
      </c>
      <c r="B20" s="213">
        <f t="shared" ref="B20:L20" si="3">(B18/B19)-1</f>
        <v>-0.5474370833333333</v>
      </c>
      <c r="C20" s="213">
        <f t="shared" si="3"/>
        <v>-0.15724362508164602</v>
      </c>
      <c r="D20" s="213">
        <f t="shared" si="3"/>
        <v>-0.41870585690515816</v>
      </c>
      <c r="E20" s="213">
        <f t="shared" si="3"/>
        <v>-0.61273223856209147</v>
      </c>
      <c r="F20" s="213">
        <f t="shared" si="3"/>
        <v>1.5441797346198438E-3</v>
      </c>
      <c r="G20" s="213">
        <f t="shared" ref="G20:K20" si="4">(G18/G19)-1</f>
        <v>-0.53125788679245278</v>
      </c>
      <c r="H20" s="213">
        <f t="shared" si="4"/>
        <v>-0.75053584694067066</v>
      </c>
      <c r="I20" s="213">
        <f t="shared" si="4"/>
        <v>-0.7762446458333333</v>
      </c>
      <c r="J20" s="213">
        <f t="shared" si="4"/>
        <v>-0.75088062499999997</v>
      </c>
      <c r="K20" s="213">
        <f t="shared" si="4"/>
        <v>-0.78469495</v>
      </c>
      <c r="L20" s="213">
        <f t="shared" si="3"/>
        <v>-0.50444945492479998</v>
      </c>
      <c r="M20" s="213"/>
      <c r="N20" s="196"/>
      <c r="O20" s="245"/>
      <c r="P20" s="245"/>
      <c r="Q20" s="245"/>
      <c r="R20" s="245"/>
      <c r="S20" s="245"/>
      <c r="T20" s="245"/>
      <c r="U20" s="245"/>
      <c r="V20" s="245"/>
      <c r="W20" s="245"/>
      <c r="X20" s="245"/>
    </row>
    <row r="21" spans="1:24" ht="18.75" customHeight="1">
      <c r="A21" s="207"/>
      <c r="B21" s="213"/>
      <c r="C21" s="213"/>
      <c r="D21" s="213"/>
      <c r="E21" s="213"/>
      <c r="F21" s="213"/>
      <c r="G21" s="213"/>
      <c r="H21" s="213"/>
      <c r="I21" s="213"/>
      <c r="J21" s="213"/>
      <c r="K21" s="213"/>
      <c r="L21" s="213"/>
      <c r="M21" s="196"/>
      <c r="N21" s="251"/>
      <c r="O21" s="251"/>
      <c r="P21" s="251"/>
      <c r="Q21" s="251"/>
      <c r="R21" s="251"/>
      <c r="S21" s="251"/>
      <c r="T21" s="251"/>
      <c r="U21" s="251"/>
      <c r="V21" s="251"/>
      <c r="W21" s="251"/>
    </row>
    <row r="22" spans="1:24" ht="18.75" customHeight="1">
      <c r="A22" s="197" t="s">
        <v>33</v>
      </c>
      <c r="B22" s="198"/>
      <c r="C22" s="200"/>
      <c r="D22" s="252"/>
      <c r="E22" s="252"/>
      <c r="F22" s="252"/>
      <c r="G22" s="252"/>
      <c r="H22" s="252"/>
      <c r="I22" s="252"/>
      <c r="J22" s="253"/>
      <c r="K22" s="188"/>
      <c r="L22" s="188"/>
      <c r="M22" s="196"/>
      <c r="N22" s="254"/>
      <c r="O22" s="243"/>
      <c r="P22" s="243"/>
      <c r="Q22" s="243"/>
      <c r="R22" s="243"/>
      <c r="S22" s="243"/>
      <c r="T22" s="243"/>
      <c r="U22" s="243"/>
      <c r="V22" s="243"/>
      <c r="W22" s="243"/>
    </row>
    <row r="23" spans="1:24" ht="18.75" customHeight="1">
      <c r="A23" s="196"/>
      <c r="B23" s="204" t="s">
        <v>134</v>
      </c>
      <c r="C23" s="204" t="s">
        <v>42</v>
      </c>
      <c r="D23" s="204" t="s">
        <v>135</v>
      </c>
      <c r="E23" s="214" t="s">
        <v>120</v>
      </c>
      <c r="F23" s="204"/>
      <c r="G23" s="232"/>
      <c r="H23" s="232"/>
      <c r="I23" s="232"/>
      <c r="J23" s="215"/>
      <c r="K23" s="215"/>
      <c r="L23" s="215"/>
      <c r="M23" s="216"/>
      <c r="N23" s="243"/>
      <c r="O23" s="243"/>
      <c r="P23" s="243"/>
      <c r="Q23" s="243"/>
      <c r="R23" s="243"/>
      <c r="S23" s="243"/>
      <c r="T23" s="243"/>
      <c r="U23" s="243"/>
      <c r="V23" s="243"/>
      <c r="W23" s="243"/>
    </row>
    <row r="24" spans="1:24" ht="18.75" customHeight="1">
      <c r="A24" s="207" t="s">
        <v>43</v>
      </c>
      <c r="B24" s="217">
        <v>375478226</v>
      </c>
      <c r="C24" s="218">
        <f>'2024 Dashboard'!M126</f>
        <v>19824979.836945597</v>
      </c>
      <c r="D24" s="219">
        <f>'2024 Dashboard'!P19</f>
        <v>43630661.177999996</v>
      </c>
      <c r="E24" s="219">
        <f>D24-D25</f>
        <v>1172881.1779999956</v>
      </c>
      <c r="F24" s="207" t="s">
        <v>41</v>
      </c>
      <c r="G24" s="207"/>
      <c r="H24" s="207"/>
      <c r="I24" s="207"/>
      <c r="J24" s="216"/>
      <c r="K24" s="216"/>
      <c r="L24" s="216"/>
      <c r="M24" s="216"/>
      <c r="N24" s="243"/>
      <c r="O24" s="243"/>
      <c r="P24" s="243"/>
      <c r="Q24" s="243"/>
      <c r="R24" s="243"/>
      <c r="S24" s="243"/>
      <c r="T24" s="243"/>
      <c r="U24" s="243"/>
      <c r="V24" s="243"/>
      <c r="W24" s="243"/>
    </row>
    <row r="25" spans="1:24" ht="18.75" customHeight="1">
      <c r="A25" s="207" t="s">
        <v>44</v>
      </c>
      <c r="B25" s="217">
        <v>373660358</v>
      </c>
      <c r="C25" s="218">
        <f>B25*(C24/B24)</f>
        <v>19728997.716144193</v>
      </c>
      <c r="D25" s="219">
        <f>'2024 Dashboard'!H20</f>
        <v>42457780</v>
      </c>
      <c r="E25" s="218">
        <f>E24*0.0528</f>
        <v>61928.126198399768</v>
      </c>
      <c r="F25" s="207" t="s">
        <v>121</v>
      </c>
      <c r="G25" s="207"/>
      <c r="H25" s="207"/>
      <c r="I25" s="207"/>
      <c r="J25" s="216"/>
      <c r="K25" s="216"/>
      <c r="L25" s="216"/>
      <c r="M25" s="216"/>
      <c r="N25" s="243"/>
      <c r="O25" s="243"/>
      <c r="P25" s="243"/>
      <c r="Q25" s="243"/>
      <c r="R25" s="243"/>
      <c r="S25" s="243"/>
      <c r="T25" s="243"/>
      <c r="U25" s="243"/>
      <c r="V25" s="243"/>
      <c r="W25" s="243"/>
    </row>
    <row r="26" spans="1:24" ht="18.75" customHeight="1">
      <c r="A26" s="207" t="s">
        <v>41</v>
      </c>
      <c r="B26" s="220">
        <f>B24-B25</f>
        <v>1817868</v>
      </c>
      <c r="C26" s="221">
        <f>C24-C25</f>
        <v>95982.120801404119</v>
      </c>
      <c r="D26" s="222">
        <f>D24-D25</f>
        <v>1172881.1779999956</v>
      </c>
      <c r="E26" s="223"/>
      <c r="F26" s="223"/>
      <c r="G26" s="223"/>
      <c r="H26" s="223"/>
      <c r="I26" s="223"/>
      <c r="J26" s="196"/>
      <c r="K26" s="196"/>
      <c r="L26" s="196"/>
      <c r="N26" s="224"/>
      <c r="O26" s="196"/>
      <c r="P26" s="196"/>
      <c r="Q26" s="196"/>
      <c r="R26" s="196"/>
      <c r="S26" s="196"/>
      <c r="T26" s="196"/>
      <c r="U26" s="196"/>
      <c r="V26" s="196"/>
      <c r="W26" s="196"/>
    </row>
    <row r="27" spans="1:24" ht="18.75" customHeight="1">
      <c r="A27" s="207"/>
      <c r="B27" s="207"/>
      <c r="C27" s="207"/>
      <c r="D27" s="194"/>
      <c r="E27" s="194"/>
      <c r="F27" s="194"/>
      <c r="G27" s="194"/>
      <c r="H27" s="194"/>
      <c r="I27" s="194"/>
      <c r="N27" s="245"/>
      <c r="O27" s="243"/>
      <c r="P27" s="243"/>
      <c r="Q27" s="243"/>
      <c r="R27" s="243"/>
      <c r="S27" s="243"/>
      <c r="T27" s="243"/>
      <c r="U27" s="243"/>
      <c r="V27" s="243"/>
      <c r="W27" s="243"/>
    </row>
    <row r="28" spans="1:24" ht="18.75" customHeight="1">
      <c r="A28" s="197" t="s">
        <v>112</v>
      </c>
      <c r="B28" s="198"/>
      <c r="C28" s="200"/>
      <c r="D28" s="249" t="s">
        <v>74</v>
      </c>
      <c r="E28" s="249"/>
      <c r="F28" s="249"/>
      <c r="G28" s="249"/>
      <c r="H28" s="249"/>
      <c r="I28" s="249"/>
      <c r="J28" s="250"/>
      <c r="K28" s="187"/>
      <c r="L28" s="187"/>
      <c r="N28" s="216"/>
      <c r="O28" s="216"/>
      <c r="P28" s="216"/>
      <c r="Q28" s="216"/>
      <c r="R28" s="216"/>
      <c r="S28" s="161"/>
      <c r="T28" s="161"/>
      <c r="U28" s="161"/>
    </row>
    <row r="29" spans="1:24" ht="18.75" customHeight="1">
      <c r="A29" s="196"/>
      <c r="B29" s="204" t="s">
        <v>136</v>
      </c>
      <c r="C29" s="204" t="s">
        <v>51</v>
      </c>
      <c r="D29" s="194"/>
      <c r="E29" s="225"/>
      <c r="F29" s="225"/>
      <c r="G29" s="225"/>
      <c r="H29" s="225"/>
      <c r="I29" s="225"/>
      <c r="J29" s="195"/>
      <c r="K29" s="195"/>
      <c r="L29" s="195"/>
      <c r="N29" s="216"/>
      <c r="O29" s="216"/>
      <c r="P29" s="216"/>
      <c r="Q29" s="216"/>
      <c r="R29" s="216"/>
      <c r="S29" s="161"/>
      <c r="T29" s="161"/>
      <c r="U29" s="161"/>
    </row>
    <row r="30" spans="1:24" ht="18.75" customHeight="1">
      <c r="A30" s="207" t="s">
        <v>52</v>
      </c>
      <c r="B30" s="104">
        <v>3091334</v>
      </c>
      <c r="C30" s="233">
        <v>50147.44</v>
      </c>
      <c r="D30" s="196"/>
      <c r="E30" s="223"/>
      <c r="F30" s="223"/>
      <c r="G30" s="223"/>
      <c r="H30" s="223"/>
      <c r="I30" s="223"/>
      <c r="J30" s="196"/>
      <c r="K30" s="196"/>
      <c r="L30" s="196"/>
      <c r="N30" s="216"/>
      <c r="O30" s="216"/>
      <c r="P30" s="216"/>
      <c r="Q30" s="216"/>
      <c r="R30" s="216"/>
      <c r="S30" s="161"/>
      <c r="T30" s="161"/>
      <c r="U30" s="161"/>
    </row>
    <row r="31" spans="1:24" ht="18.75" customHeight="1">
      <c r="A31" s="207"/>
      <c r="B31" s="207"/>
      <c r="C31" s="207"/>
      <c r="D31" s="194"/>
      <c r="E31" s="194"/>
      <c r="F31" s="194"/>
      <c r="G31" s="194"/>
      <c r="H31" s="194"/>
      <c r="I31" s="194"/>
      <c r="O31" s="196"/>
      <c r="P31" s="101"/>
      <c r="Q31" s="196"/>
      <c r="R31" s="196"/>
      <c r="S31" s="196"/>
      <c r="T31" s="196"/>
      <c r="U31" s="196"/>
      <c r="V31" s="196"/>
      <c r="W31" s="196"/>
    </row>
    <row r="32" spans="1:24" ht="18.75" customHeight="1">
      <c r="A32" s="197" t="s">
        <v>113</v>
      </c>
      <c r="B32" s="198"/>
      <c r="C32" s="200"/>
      <c r="D32" s="181"/>
      <c r="E32" s="182"/>
      <c r="F32" s="182"/>
      <c r="G32" s="182"/>
      <c r="H32" s="182"/>
      <c r="I32" s="182"/>
      <c r="J32" s="200"/>
      <c r="K32" s="200"/>
      <c r="L32" s="200"/>
      <c r="N32" s="224"/>
      <c r="O32" s="196"/>
      <c r="P32" s="196"/>
      <c r="Q32" s="196"/>
      <c r="R32" s="196"/>
      <c r="S32" s="196"/>
      <c r="T32" s="196"/>
      <c r="U32" s="196"/>
      <c r="V32" s="196"/>
      <c r="W32" s="196"/>
    </row>
    <row r="33" spans="1:23" ht="18.75" customHeight="1">
      <c r="A33" s="196"/>
      <c r="B33" s="192"/>
      <c r="C33" s="193"/>
      <c r="D33" s="194"/>
      <c r="E33" s="195"/>
      <c r="F33" s="195"/>
      <c r="G33" s="195"/>
      <c r="H33" s="195"/>
      <c r="I33" s="195"/>
      <c r="N33" s="224"/>
      <c r="O33" s="196"/>
      <c r="P33" s="196"/>
      <c r="Q33" s="196"/>
      <c r="R33" s="196"/>
      <c r="S33" s="196"/>
      <c r="T33" s="196"/>
      <c r="U33" s="196"/>
      <c r="V33" s="196"/>
      <c r="W33" s="196"/>
    </row>
    <row r="34" spans="1:23" ht="18.75" customHeight="1">
      <c r="A34" s="226" t="s">
        <v>137</v>
      </c>
      <c r="B34" s="227">
        <v>1844223.78</v>
      </c>
      <c r="C34" s="228"/>
      <c r="D34" s="194"/>
      <c r="E34" s="195"/>
      <c r="F34" s="195"/>
      <c r="G34" s="195"/>
      <c r="H34" s="195"/>
      <c r="I34" s="195"/>
      <c r="N34" s="224"/>
      <c r="O34" s="196"/>
      <c r="P34" s="196"/>
      <c r="Q34" s="196"/>
      <c r="R34" s="196"/>
      <c r="S34" s="196"/>
      <c r="T34" s="196"/>
      <c r="U34" s="196"/>
      <c r="V34" s="196"/>
      <c r="W34" s="196"/>
    </row>
    <row r="35" spans="1:23" ht="18.75" customHeight="1">
      <c r="A35" s="226" t="s">
        <v>138</v>
      </c>
      <c r="B35" s="227">
        <v>36271.129999999997</v>
      </c>
      <c r="C35" s="227"/>
      <c r="D35" s="194"/>
      <c r="E35" s="195"/>
      <c r="F35" s="195"/>
      <c r="G35" s="195"/>
      <c r="H35" s="195"/>
      <c r="I35" s="195"/>
      <c r="N35" s="224"/>
      <c r="O35" s="196"/>
      <c r="P35" s="196"/>
      <c r="Q35" s="196"/>
      <c r="R35" s="196"/>
      <c r="S35" s="196"/>
      <c r="T35" s="196"/>
      <c r="U35" s="196"/>
      <c r="V35" s="196"/>
      <c r="W35" s="196"/>
    </row>
    <row r="36" spans="1:23" ht="18.75" customHeight="1">
      <c r="A36" s="226" t="s">
        <v>122</v>
      </c>
      <c r="B36" s="227">
        <v>92881.22</v>
      </c>
      <c r="C36" s="227"/>
      <c r="D36" s="194"/>
      <c r="E36" s="195"/>
      <c r="F36" s="195"/>
      <c r="G36" s="195"/>
      <c r="H36" s="195"/>
      <c r="I36" s="195"/>
      <c r="N36" s="224"/>
      <c r="O36" s="196"/>
      <c r="P36" s="196"/>
      <c r="Q36" s="196"/>
      <c r="R36" s="196"/>
      <c r="S36" s="196"/>
      <c r="T36" s="196"/>
      <c r="U36" s="196"/>
      <c r="V36" s="196"/>
      <c r="W36" s="196"/>
    </row>
    <row r="37" spans="1:23" ht="18.75" customHeight="1">
      <c r="A37" s="226" t="s">
        <v>123</v>
      </c>
      <c r="B37" s="227">
        <v>-196337.25</v>
      </c>
      <c r="C37" s="227"/>
      <c r="D37" s="194"/>
      <c r="E37" s="195"/>
      <c r="F37" s="195"/>
      <c r="G37" s="195"/>
      <c r="H37" s="195"/>
      <c r="I37" s="195"/>
    </row>
    <row r="38" spans="1:23" ht="18.75" customHeight="1">
      <c r="A38" s="226" t="s">
        <v>139</v>
      </c>
      <c r="B38" s="227">
        <f>SUM(B34:B37)</f>
        <v>1777038.88</v>
      </c>
      <c r="C38" s="227"/>
      <c r="D38" s="194"/>
      <c r="E38" s="195"/>
      <c r="F38" s="195"/>
      <c r="G38" s="195"/>
      <c r="H38" s="195"/>
      <c r="I38" s="195"/>
    </row>
    <row r="39" spans="1:23" ht="18.75" customHeight="1"/>
    <row r="40" spans="1:23" ht="18.75" customHeight="1"/>
    <row r="41" spans="1:23" ht="18.75" customHeight="1"/>
  </sheetData>
  <mergeCells count="21">
    <mergeCell ref="N27:W27"/>
    <mergeCell ref="D28:J28"/>
    <mergeCell ref="N17:W17"/>
    <mergeCell ref="N18:O18"/>
    <mergeCell ref="N19:O19"/>
    <mergeCell ref="O20:X20"/>
    <mergeCell ref="N21:W21"/>
    <mergeCell ref="D22:J22"/>
    <mergeCell ref="N22:W25"/>
    <mergeCell ref="N16:O16"/>
    <mergeCell ref="A1:M1"/>
    <mergeCell ref="N1:W1"/>
    <mergeCell ref="N3:W3"/>
    <mergeCell ref="A4:J6"/>
    <mergeCell ref="N4:W5"/>
    <mergeCell ref="N6:R6"/>
    <mergeCell ref="N8:W8"/>
    <mergeCell ref="N9:W12"/>
    <mergeCell ref="N13:O13"/>
    <mergeCell ref="N14:W14"/>
    <mergeCell ref="N15:O15"/>
  </mergeCells>
  <conditionalFormatting sqref="B21:L21">
    <cfRule type="cellIs" dxfId="3" priority="9" operator="lessThan">
      <formula>0</formula>
    </cfRule>
  </conditionalFormatting>
  <conditionalFormatting sqref="B20:M20">
    <cfRule type="cellIs" dxfId="2" priority="2" operator="lessThan">
      <formula>0</formula>
    </cfRule>
  </conditionalFormatting>
  <conditionalFormatting sqref="J9:M11">
    <cfRule type="cellIs" dxfId="1" priority="4" operator="lessThan">
      <formula>0</formula>
    </cfRule>
    <cfRule type="cellIs" dxfId="0" priority="5" operator="greaterThan">
      <formula>0</formula>
    </cfRule>
  </conditionalFormatting>
  <hyperlinks>
    <hyperlink ref="D28:J28" location="'Solar Credits Donated'!A1" display="Click to see Solar Credits Donated Worksheet" xr:uid="{131D7EA5-5FDD-4450-B748-FDEEB91A209D}"/>
  </hyperlinks>
  <pageMargins left="0.7" right="0.7" top="0.75" bottom="0.75" header="0.3" footer="0.3"/>
  <pageSetup scale="3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7"/>
  <sheetViews>
    <sheetView workbookViewId="0">
      <selection activeCell="E12" sqref="E12"/>
    </sheetView>
  </sheetViews>
  <sheetFormatPr defaultRowHeight="15"/>
  <cols>
    <col min="1" max="1" width="102.28515625" bestFit="1" customWidth="1"/>
    <col min="2" max="2" width="7.28515625" bestFit="1" customWidth="1"/>
    <col min="3" max="3" width="6.7109375" bestFit="1" customWidth="1"/>
    <col min="5" max="5" width="31.28515625" bestFit="1" customWidth="1"/>
    <col min="6" max="6" width="12.5703125" bestFit="1" customWidth="1"/>
    <col min="7" max="7" width="16.7109375" bestFit="1" customWidth="1"/>
  </cols>
  <sheetData>
    <row r="1" spans="1:7" ht="32.25">
      <c r="A1" s="269" t="s">
        <v>53</v>
      </c>
      <c r="B1" s="270"/>
      <c r="C1" s="270"/>
      <c r="D1" s="270"/>
      <c r="E1" s="270"/>
      <c r="F1" s="270"/>
      <c r="G1" s="146"/>
    </row>
    <row r="3" spans="1:7">
      <c r="A3" s="134" t="s">
        <v>54</v>
      </c>
      <c r="B3" s="134" t="s">
        <v>55</v>
      </c>
    </row>
    <row r="4" spans="1:7">
      <c r="A4" t="s">
        <v>56</v>
      </c>
      <c r="B4" s="54">
        <v>16</v>
      </c>
    </row>
    <row r="5" spans="1:7">
      <c r="A5" s="135" t="s">
        <v>57</v>
      </c>
      <c r="B5" s="136">
        <v>6</v>
      </c>
    </row>
    <row r="6" spans="1:7">
      <c r="A6" t="s">
        <v>58</v>
      </c>
      <c r="B6" s="54">
        <f>B4*B5</f>
        <v>96</v>
      </c>
    </row>
    <row r="8" spans="1:7">
      <c r="A8" t="s">
        <v>59</v>
      </c>
      <c r="B8" s="54">
        <v>8</v>
      </c>
    </row>
    <row r="9" spans="1:7">
      <c r="A9" s="135" t="s">
        <v>60</v>
      </c>
      <c r="B9" s="136">
        <v>6</v>
      </c>
    </row>
    <row r="10" spans="1:7">
      <c r="A10" t="s">
        <v>58</v>
      </c>
      <c r="B10" s="54">
        <f>B8*B9</f>
        <v>48</v>
      </c>
    </row>
    <row r="11" spans="1:7">
      <c r="A11" s="135" t="s">
        <v>61</v>
      </c>
      <c r="B11" s="136">
        <v>24</v>
      </c>
    </row>
    <row r="12" spans="1:7">
      <c r="A12" t="s">
        <v>58</v>
      </c>
      <c r="B12" s="54">
        <f>B10+B11</f>
        <v>72</v>
      </c>
    </row>
    <row r="13" spans="1:7">
      <c r="B13" s="54"/>
    </row>
    <row r="14" spans="1:7">
      <c r="A14" t="s">
        <v>62</v>
      </c>
      <c r="B14" s="54">
        <f>B6+B12</f>
        <v>168</v>
      </c>
    </row>
    <row r="15" spans="1:7">
      <c r="A15" t="s">
        <v>63</v>
      </c>
      <c r="B15" s="54">
        <v>168</v>
      </c>
    </row>
    <row r="16" spans="1:7">
      <c r="B16" s="54"/>
    </row>
    <row r="17" spans="1:6">
      <c r="A17" s="236" t="s">
        <v>95</v>
      </c>
      <c r="B17" s="54"/>
    </row>
    <row r="19" spans="1:6">
      <c r="B19" s="137"/>
      <c r="C19" s="138"/>
      <c r="D19" s="137"/>
      <c r="E19" s="54"/>
      <c r="F19" s="137"/>
    </row>
    <row r="20" spans="1:6">
      <c r="A20" s="240" t="s">
        <v>142</v>
      </c>
      <c r="B20" s="136" t="s">
        <v>64</v>
      </c>
      <c r="C20" s="139" t="s">
        <v>65</v>
      </c>
      <c r="D20" s="136" t="s">
        <v>66</v>
      </c>
      <c r="E20" s="136" t="s">
        <v>67</v>
      </c>
      <c r="F20" s="136" t="s">
        <v>68</v>
      </c>
    </row>
    <row r="21" spans="1:6">
      <c r="A21" t="s">
        <v>69</v>
      </c>
      <c r="B21" s="137">
        <v>0.56999999999999995</v>
      </c>
      <c r="C21" s="140">
        <v>2.774</v>
      </c>
      <c r="D21" s="137">
        <f>B21*C21</f>
        <v>1.5811799999999998</v>
      </c>
      <c r="E21" s="54">
        <f>8/12</f>
        <v>0.66666666666666663</v>
      </c>
      <c r="F21" s="137">
        <f>D21*E21</f>
        <v>1.0541199999999997</v>
      </c>
    </row>
    <row r="22" spans="1:6">
      <c r="A22" t="s">
        <v>70</v>
      </c>
      <c r="B22" s="137">
        <v>0.43</v>
      </c>
      <c r="C22" s="140">
        <v>2.843</v>
      </c>
      <c r="D22" s="137">
        <f t="shared" ref="D22" si="0">B22*C22</f>
        <v>1.2224900000000001</v>
      </c>
      <c r="E22" s="54">
        <f>8/12</f>
        <v>0.66666666666666663</v>
      </c>
      <c r="F22" s="137">
        <f>D22*E22</f>
        <v>0.81499333333333335</v>
      </c>
    </row>
    <row r="23" spans="1:6">
      <c r="B23" s="137"/>
      <c r="C23" s="138"/>
      <c r="D23" s="137"/>
      <c r="E23" s="54"/>
      <c r="F23" s="137"/>
    </row>
    <row r="24" spans="1:6">
      <c r="A24" s="240" t="s">
        <v>143</v>
      </c>
      <c r="B24" s="136" t="s">
        <v>64</v>
      </c>
      <c r="C24" s="139" t="s">
        <v>65</v>
      </c>
      <c r="D24" s="136" t="s">
        <v>66</v>
      </c>
      <c r="E24" s="136" t="s">
        <v>71</v>
      </c>
      <c r="F24" s="136" t="s">
        <v>68</v>
      </c>
    </row>
    <row r="25" spans="1:6">
      <c r="A25" t="s">
        <v>69</v>
      </c>
      <c r="B25" s="137">
        <f>B6/B14</f>
        <v>0.5714285714285714</v>
      </c>
      <c r="C25" s="140">
        <v>6.2729999999999997</v>
      </c>
      <c r="D25" s="137">
        <f>B25*C25</f>
        <v>3.5845714285714281</v>
      </c>
      <c r="E25" s="54">
        <f>4/12</f>
        <v>0.33333333333333331</v>
      </c>
      <c r="F25" s="137">
        <f>D25*E25</f>
        <v>1.1948571428571426</v>
      </c>
    </row>
    <row r="26" spans="1:6">
      <c r="A26" t="s">
        <v>70</v>
      </c>
      <c r="B26" s="137">
        <f>B12/B14</f>
        <v>0.42857142857142855</v>
      </c>
      <c r="C26" s="140">
        <v>3.6019999999999999</v>
      </c>
      <c r="D26" s="137">
        <f t="shared" ref="D26" si="1">B26*C26</f>
        <v>1.5437142857142856</v>
      </c>
      <c r="E26" s="54">
        <f>4/12</f>
        <v>0.33333333333333331</v>
      </c>
      <c r="F26" s="137">
        <f>D26*E26</f>
        <v>0.51457142857142846</v>
      </c>
    </row>
    <row r="27" spans="1:6" ht="15.75" thickBot="1">
      <c r="C27" s="141"/>
      <c r="D27" s="142"/>
      <c r="E27" s="147" t="s">
        <v>144</v>
      </c>
      <c r="F27" s="104">
        <v>3091334</v>
      </c>
    </row>
    <row r="28" spans="1:6" ht="15.75" thickTop="1"/>
    <row r="29" spans="1:6" ht="15.75" thickBot="1">
      <c r="D29" s="142"/>
      <c r="E29" s="143" t="s">
        <v>72</v>
      </c>
      <c r="F29" s="144">
        <f>(F25+F26+F21+F22)*0.01</f>
        <v>3.578541904761904E-2</v>
      </c>
    </row>
    <row r="30" spans="1:6" ht="15.75" thickTop="1"/>
    <row r="31" spans="1:6" ht="15.75" thickBot="1">
      <c r="D31" s="142"/>
      <c r="E31" s="143" t="s">
        <v>73</v>
      </c>
      <c r="F31" s="145">
        <f>F29*F27</f>
        <v>110624.68260615236</v>
      </c>
    </row>
    <row r="32" spans="1:6" ht="15.75" thickTop="1"/>
    <row r="33" spans="5:6" ht="15.75" thickBot="1">
      <c r="E33" s="148" t="s">
        <v>78</v>
      </c>
      <c r="F33" s="148" t="s">
        <v>79</v>
      </c>
    </row>
    <row r="34" spans="5:6" ht="15.75" thickTop="1">
      <c r="E34" t="s">
        <v>80</v>
      </c>
      <c r="F34" s="104">
        <v>2887748</v>
      </c>
    </row>
    <row r="35" spans="5:6">
      <c r="E35" t="s">
        <v>81</v>
      </c>
      <c r="F35" s="104">
        <v>2600</v>
      </c>
    </row>
    <row r="36" spans="5:6">
      <c r="E36" t="s">
        <v>82</v>
      </c>
      <c r="F36" s="104">
        <v>200986</v>
      </c>
    </row>
    <row r="37" spans="5:6">
      <c r="E37" s="66" t="s">
        <v>77</v>
      </c>
      <c r="F37" s="35">
        <f>SUM(F34:F36)</f>
        <v>3091334</v>
      </c>
    </row>
  </sheetData>
  <mergeCells count="1">
    <mergeCell ref="A1:F1"/>
  </mergeCells>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1"/>
  <sheetViews>
    <sheetView showGridLines="0" zoomScale="70" zoomScaleNormal="70" workbookViewId="0">
      <selection activeCell="A12" sqref="A12:XFD12"/>
    </sheetView>
  </sheetViews>
  <sheetFormatPr defaultRowHeight="15"/>
  <cols>
    <col min="1" max="1" width="14.85546875" bestFit="1" customWidth="1"/>
    <col min="2" max="2" width="11" bestFit="1" customWidth="1"/>
    <col min="3" max="3" width="7.5703125" bestFit="1" customWidth="1"/>
    <col min="4" max="4" width="12.28515625" bestFit="1" customWidth="1"/>
    <col min="5" max="5" width="15.7109375" customWidth="1"/>
    <col min="6" max="6" width="12.85546875" bestFit="1" customWidth="1"/>
    <col min="7" max="7" width="17.7109375" bestFit="1" customWidth="1"/>
    <col min="8" max="8" width="17.5703125" customWidth="1"/>
    <col min="9" max="9" width="13.85546875" bestFit="1" customWidth="1"/>
    <col min="10" max="10" width="11.85546875" bestFit="1" customWidth="1"/>
    <col min="11" max="11" width="12.85546875" bestFit="1" customWidth="1"/>
    <col min="12" max="12" width="12.7109375" bestFit="1" customWidth="1"/>
    <col min="13" max="13" width="14" bestFit="1" customWidth="1"/>
    <col min="14" max="14" width="13.42578125" bestFit="1" customWidth="1"/>
    <col min="15" max="15" width="9.140625" bestFit="1" customWidth="1"/>
    <col min="16" max="16" width="20.85546875" customWidth="1"/>
  </cols>
  <sheetData>
    <row r="1" spans="1:16" ht="32.25">
      <c r="A1" s="269" t="s">
        <v>0</v>
      </c>
      <c r="B1" s="270"/>
      <c r="C1" s="270"/>
      <c r="D1" s="270"/>
      <c r="E1" s="270"/>
      <c r="F1" s="270"/>
      <c r="G1" s="270"/>
      <c r="H1" s="270"/>
      <c r="I1" s="270"/>
      <c r="J1" s="270"/>
      <c r="K1" s="270"/>
      <c r="L1" s="270"/>
      <c r="M1" s="270"/>
      <c r="N1" s="270"/>
      <c r="O1" s="270"/>
      <c r="P1" s="271"/>
    </row>
    <row r="2" spans="1:16" ht="24.75" thickBot="1">
      <c r="A2" s="1"/>
      <c r="B2" s="2"/>
      <c r="C2" s="2"/>
      <c r="D2" s="2"/>
      <c r="E2" s="2"/>
      <c r="F2" s="3"/>
      <c r="G2" s="3"/>
      <c r="H2" s="3"/>
      <c r="I2" s="3"/>
      <c r="J2" s="3"/>
      <c r="K2" s="4"/>
      <c r="L2" s="4"/>
    </row>
    <row r="3" spans="1:16" ht="20.25" thickBot="1">
      <c r="A3" s="272" t="s">
        <v>1</v>
      </c>
      <c r="B3" s="273"/>
      <c r="C3" s="273"/>
      <c r="D3" s="273"/>
      <c r="E3" s="273"/>
      <c r="F3" s="273"/>
      <c r="G3" s="273"/>
      <c r="H3" s="273"/>
      <c r="I3" s="274" t="s">
        <v>2</v>
      </c>
      <c r="J3" s="275"/>
      <c r="K3" s="275"/>
      <c r="L3" s="276"/>
      <c r="M3" s="274" t="s">
        <v>3</v>
      </c>
      <c r="N3" s="275"/>
      <c r="O3" s="275"/>
      <c r="P3" s="277"/>
    </row>
    <row r="4" spans="1:16">
      <c r="A4" s="51"/>
      <c r="B4" s="278" t="s">
        <v>4</v>
      </c>
      <c r="C4" s="279"/>
      <c r="D4" s="278" t="s">
        <v>5</v>
      </c>
      <c r="E4" s="280"/>
      <c r="F4" s="279"/>
      <c r="G4" s="280" t="s">
        <v>6</v>
      </c>
      <c r="H4" s="279"/>
      <c r="I4" s="6"/>
      <c r="J4" s="52"/>
      <c r="K4" s="52"/>
      <c r="L4" s="53"/>
      <c r="M4" s="6"/>
      <c r="N4" s="52"/>
      <c r="O4" s="52"/>
      <c r="P4" s="53"/>
    </row>
    <row r="5" spans="1:16">
      <c r="A5" s="8"/>
      <c r="B5" s="9">
        <v>1</v>
      </c>
      <c r="C5" s="10">
        <v>3</v>
      </c>
      <c r="D5" s="9">
        <v>23</v>
      </c>
      <c r="E5" s="11">
        <v>6</v>
      </c>
      <c r="F5" s="10" t="s">
        <v>7</v>
      </c>
      <c r="G5" s="12" t="s">
        <v>4</v>
      </c>
      <c r="H5" s="13" t="s">
        <v>5</v>
      </c>
      <c r="I5" s="8"/>
      <c r="J5" s="12" t="s">
        <v>4</v>
      </c>
      <c r="K5" s="12" t="s">
        <v>5</v>
      </c>
      <c r="L5" s="14" t="s">
        <v>8</v>
      </c>
      <c r="M5" s="8"/>
      <c r="N5" s="12" t="s">
        <v>9</v>
      </c>
      <c r="O5" s="12" t="s">
        <v>10</v>
      </c>
      <c r="P5" s="14" t="s">
        <v>11</v>
      </c>
    </row>
    <row r="6" spans="1:16">
      <c r="A6" s="15">
        <v>42736</v>
      </c>
      <c r="B6" s="16">
        <v>0</v>
      </c>
      <c r="C6" s="16">
        <v>0</v>
      </c>
      <c r="D6" s="17">
        <v>0</v>
      </c>
      <c r="E6" s="17">
        <v>0</v>
      </c>
      <c r="F6" s="17">
        <v>6</v>
      </c>
      <c r="G6" s="18">
        <f>B6+C6</f>
        <v>0</v>
      </c>
      <c r="H6" s="19">
        <f>D6+E6+F6</f>
        <v>6</v>
      </c>
      <c r="I6" s="15">
        <v>42736</v>
      </c>
      <c r="J6" s="20"/>
      <c r="K6" s="21">
        <f>H6*0.06225*200</f>
        <v>74.7</v>
      </c>
      <c r="L6" s="22">
        <f>SUM(J6:K6)</f>
        <v>74.7</v>
      </c>
      <c r="M6" s="15">
        <v>42736</v>
      </c>
      <c r="N6" s="23">
        <v>1111337</v>
      </c>
      <c r="O6" s="23">
        <v>249210</v>
      </c>
      <c r="P6" s="24">
        <v>1360547</v>
      </c>
    </row>
    <row r="7" spans="1:16">
      <c r="A7" s="15">
        <v>42767</v>
      </c>
      <c r="B7" s="16">
        <v>6368</v>
      </c>
      <c r="C7" s="16">
        <v>70</v>
      </c>
      <c r="D7" s="17">
        <v>647</v>
      </c>
      <c r="E7" s="17">
        <v>661</v>
      </c>
      <c r="F7" s="17">
        <v>9354</v>
      </c>
      <c r="G7" s="18">
        <v>6438</v>
      </c>
      <c r="H7" s="25">
        <v>10662</v>
      </c>
      <c r="I7" s="15">
        <v>42767</v>
      </c>
      <c r="J7" s="20">
        <f>G7*200*0.06525</f>
        <v>84015.900000000009</v>
      </c>
      <c r="K7" s="21">
        <f t="shared" ref="K7:K17" si="0">H7*0.06225*200</f>
        <v>132741.90000000002</v>
      </c>
      <c r="L7" s="22">
        <f t="shared" ref="L7:L17" si="1">SUM(J7:K7)</f>
        <v>216757.80000000005</v>
      </c>
      <c r="M7" s="15">
        <v>42767</v>
      </c>
      <c r="N7" s="23">
        <v>1594272</v>
      </c>
      <c r="O7" s="23">
        <v>364293</v>
      </c>
      <c r="P7" s="24">
        <v>1958565</v>
      </c>
    </row>
    <row r="8" spans="1:16">
      <c r="A8" s="15">
        <v>42795</v>
      </c>
      <c r="B8" s="16">
        <v>6663</v>
      </c>
      <c r="C8" s="16">
        <v>82</v>
      </c>
      <c r="D8" s="17">
        <v>829</v>
      </c>
      <c r="E8" s="17">
        <v>987</v>
      </c>
      <c r="F8" s="17">
        <v>10889</v>
      </c>
      <c r="G8" s="18">
        <v>6745</v>
      </c>
      <c r="H8" s="25">
        <v>12705</v>
      </c>
      <c r="I8" s="15">
        <v>42795</v>
      </c>
      <c r="J8" s="20">
        <f t="shared" ref="J8:J17" si="2">G8*200*0.06525</f>
        <v>88022.25</v>
      </c>
      <c r="K8" s="21">
        <f t="shared" si="0"/>
        <v>158177.25</v>
      </c>
      <c r="L8" s="22">
        <f t="shared" si="1"/>
        <v>246199.5</v>
      </c>
      <c r="M8" s="15">
        <v>42795</v>
      </c>
      <c r="N8" s="23">
        <v>3033670</v>
      </c>
      <c r="O8" s="23">
        <v>462882</v>
      </c>
      <c r="P8" s="24">
        <v>3496552</v>
      </c>
    </row>
    <row r="9" spans="1:16">
      <c r="A9" s="15">
        <v>42826</v>
      </c>
      <c r="B9" s="16">
        <v>6739</v>
      </c>
      <c r="C9" s="16">
        <v>77</v>
      </c>
      <c r="D9" s="17">
        <v>857</v>
      </c>
      <c r="E9" s="17">
        <v>987</v>
      </c>
      <c r="F9" s="17">
        <v>11424</v>
      </c>
      <c r="G9" s="18">
        <v>6816</v>
      </c>
      <c r="H9" s="25">
        <v>13268</v>
      </c>
      <c r="I9" s="15">
        <v>42826</v>
      </c>
      <c r="J9" s="20">
        <f t="shared" si="2"/>
        <v>88948.800000000003</v>
      </c>
      <c r="K9" s="21">
        <f t="shared" si="0"/>
        <v>165186.6</v>
      </c>
      <c r="L9" s="22">
        <f t="shared" si="1"/>
        <v>254135.40000000002</v>
      </c>
      <c r="M9" s="15">
        <v>42826</v>
      </c>
      <c r="N9" s="23">
        <v>3749570</v>
      </c>
      <c r="O9" s="23">
        <v>801746</v>
      </c>
      <c r="P9" s="24">
        <v>4551316</v>
      </c>
    </row>
    <row r="10" spans="1:16">
      <c r="A10" s="15">
        <v>42856</v>
      </c>
      <c r="B10" s="16">
        <v>6755.9</v>
      </c>
      <c r="C10" s="16">
        <v>84</v>
      </c>
      <c r="D10" s="17">
        <v>947.9</v>
      </c>
      <c r="E10" s="17">
        <v>989</v>
      </c>
      <c r="F10" s="17">
        <v>9870</v>
      </c>
      <c r="G10" s="18">
        <v>6839.9</v>
      </c>
      <c r="H10" s="25">
        <v>11806.9</v>
      </c>
      <c r="I10" s="15">
        <v>42856</v>
      </c>
      <c r="J10" s="20">
        <f t="shared" si="2"/>
        <v>89260.695000000007</v>
      </c>
      <c r="K10" s="21">
        <f t="shared" si="0"/>
        <v>146995.905</v>
      </c>
      <c r="L10" s="22">
        <f t="shared" si="1"/>
        <v>236256.6</v>
      </c>
      <c r="M10" s="15">
        <v>42856</v>
      </c>
      <c r="N10" s="23">
        <v>4796903</v>
      </c>
      <c r="O10" s="23">
        <v>1032450</v>
      </c>
      <c r="P10" s="24">
        <v>5829353</v>
      </c>
    </row>
    <row r="11" spans="1:16">
      <c r="A11" s="15">
        <v>42887</v>
      </c>
      <c r="B11" s="16">
        <v>6778.93</v>
      </c>
      <c r="C11" s="16">
        <v>76.53</v>
      </c>
      <c r="D11" s="17">
        <v>1000.93</v>
      </c>
      <c r="E11" s="17">
        <v>989</v>
      </c>
      <c r="F11" s="17">
        <v>11734</v>
      </c>
      <c r="G11" s="18">
        <v>6855.46</v>
      </c>
      <c r="H11" s="25">
        <v>13723.93</v>
      </c>
      <c r="I11" s="15">
        <v>42887</v>
      </c>
      <c r="J11" s="20">
        <f t="shared" si="2"/>
        <v>89463.752999999997</v>
      </c>
      <c r="K11" s="21">
        <f t="shared" si="0"/>
        <v>170862.92850000001</v>
      </c>
      <c r="L11" s="22">
        <f t="shared" si="1"/>
        <v>260326.68150000001</v>
      </c>
      <c r="M11" s="15">
        <v>42887</v>
      </c>
      <c r="N11" s="23">
        <v>5595631</v>
      </c>
      <c r="O11" s="23">
        <v>911279</v>
      </c>
      <c r="P11" s="24">
        <v>6506910</v>
      </c>
    </row>
    <row r="12" spans="1:16">
      <c r="A12" s="15">
        <v>42917</v>
      </c>
      <c r="B12" s="16">
        <v>6787.0150000000003</v>
      </c>
      <c r="C12" s="16">
        <v>77</v>
      </c>
      <c r="D12" s="17">
        <v>793.06500000000005</v>
      </c>
      <c r="E12" s="17">
        <v>989</v>
      </c>
      <c r="F12" s="17">
        <v>12073</v>
      </c>
      <c r="G12" s="18">
        <v>6864.0150000000003</v>
      </c>
      <c r="H12" s="25">
        <v>13855.065000000001</v>
      </c>
      <c r="I12" s="15">
        <v>42917</v>
      </c>
      <c r="J12" s="20">
        <f t="shared" si="2"/>
        <v>89575.395750000011</v>
      </c>
      <c r="K12" s="21">
        <f t="shared" si="0"/>
        <v>172495.55924999999</v>
      </c>
      <c r="L12" s="22">
        <f t="shared" si="1"/>
        <v>262070.95500000002</v>
      </c>
      <c r="M12" s="15">
        <v>42917</v>
      </c>
      <c r="N12" s="23">
        <v>4405509</v>
      </c>
      <c r="O12" s="23">
        <v>1181571</v>
      </c>
      <c r="P12" s="24">
        <v>5587080</v>
      </c>
    </row>
    <row r="13" spans="1:16">
      <c r="A13" s="15">
        <v>42948</v>
      </c>
      <c r="B13" s="16">
        <v>6795.3649999999998</v>
      </c>
      <c r="C13" s="16">
        <v>71</v>
      </c>
      <c r="D13" s="17">
        <v>977</v>
      </c>
      <c r="E13" s="17">
        <v>989</v>
      </c>
      <c r="F13" s="17">
        <v>11134</v>
      </c>
      <c r="G13" s="18">
        <v>6866.3649999999998</v>
      </c>
      <c r="H13" s="25">
        <v>13100</v>
      </c>
      <c r="I13" s="15">
        <v>42948</v>
      </c>
      <c r="J13" s="20">
        <f t="shared" si="2"/>
        <v>89606.063250000007</v>
      </c>
      <c r="K13" s="21">
        <f t="shared" si="0"/>
        <v>163095</v>
      </c>
      <c r="L13" s="22">
        <f t="shared" si="1"/>
        <v>252701.06325000001</v>
      </c>
      <c r="M13" s="15">
        <v>42948</v>
      </c>
      <c r="N13" s="23">
        <v>4586316</v>
      </c>
      <c r="O13" s="23">
        <v>656321</v>
      </c>
      <c r="P13" s="24">
        <v>5242637</v>
      </c>
    </row>
    <row r="14" spans="1:16">
      <c r="A14" s="15">
        <v>42979</v>
      </c>
      <c r="B14" s="16">
        <v>6848.8950000000004</v>
      </c>
      <c r="C14" s="16">
        <v>68.13</v>
      </c>
      <c r="D14" s="17">
        <v>770.63</v>
      </c>
      <c r="E14" s="17">
        <v>989</v>
      </c>
      <c r="F14" s="17">
        <v>10638</v>
      </c>
      <c r="G14" s="18">
        <v>6917.0250000000005</v>
      </c>
      <c r="H14" s="25">
        <v>12397.630000000001</v>
      </c>
      <c r="I14" s="15">
        <v>42979</v>
      </c>
      <c r="J14" s="20">
        <f t="shared" si="2"/>
        <v>90267.176250000004</v>
      </c>
      <c r="K14" s="21">
        <f t="shared" si="0"/>
        <v>154350.49350000001</v>
      </c>
      <c r="L14" s="22">
        <f t="shared" si="1"/>
        <v>244617.66975</v>
      </c>
      <c r="M14" s="15">
        <v>42979</v>
      </c>
      <c r="N14" s="23">
        <v>3495525</v>
      </c>
      <c r="O14" s="23">
        <v>768801</v>
      </c>
      <c r="P14" s="24">
        <v>4264326</v>
      </c>
    </row>
    <row r="15" spans="1:16">
      <c r="A15" s="15">
        <v>43009</v>
      </c>
      <c r="B15" s="16">
        <v>6821.91</v>
      </c>
      <c r="C15" s="16">
        <v>61</v>
      </c>
      <c r="D15" s="17">
        <v>966.06500000000005</v>
      </c>
      <c r="E15" s="17">
        <v>989</v>
      </c>
      <c r="F15" s="17">
        <v>11797</v>
      </c>
      <c r="G15" s="18">
        <v>6882.91</v>
      </c>
      <c r="H15" s="25">
        <v>13752.065000000001</v>
      </c>
      <c r="I15" s="15">
        <v>43009</v>
      </c>
      <c r="J15" s="20">
        <f t="shared" si="2"/>
        <v>89821.9755</v>
      </c>
      <c r="K15" s="21">
        <f t="shared" si="0"/>
        <v>171213.20925000001</v>
      </c>
      <c r="L15" s="22">
        <f t="shared" si="1"/>
        <v>261035.18475000001</v>
      </c>
      <c r="M15" s="15">
        <v>43009</v>
      </c>
      <c r="N15" s="23">
        <v>3671224</v>
      </c>
      <c r="O15" s="23">
        <v>647574</v>
      </c>
      <c r="P15" s="24">
        <v>4318798</v>
      </c>
    </row>
    <row r="16" spans="1:16">
      <c r="A16" s="15">
        <v>43040</v>
      </c>
      <c r="B16" s="16">
        <v>6827.2</v>
      </c>
      <c r="C16" s="16">
        <v>61</v>
      </c>
      <c r="D16" s="17">
        <v>742</v>
      </c>
      <c r="E16" s="17">
        <v>995</v>
      </c>
      <c r="F16" s="17">
        <v>11372</v>
      </c>
      <c r="G16" s="18">
        <v>6888.2</v>
      </c>
      <c r="H16" s="25">
        <v>13109</v>
      </c>
      <c r="I16" s="15">
        <v>43040</v>
      </c>
      <c r="J16" s="20">
        <f t="shared" si="2"/>
        <v>89891.010000000009</v>
      </c>
      <c r="K16" s="21">
        <f t="shared" si="0"/>
        <v>163207.05000000002</v>
      </c>
      <c r="L16" s="22">
        <f t="shared" si="1"/>
        <v>253098.06000000003</v>
      </c>
      <c r="M16" s="15">
        <v>43040</v>
      </c>
      <c r="N16" s="23">
        <v>2161378</v>
      </c>
      <c r="O16" s="23">
        <v>420725</v>
      </c>
      <c r="P16" s="24">
        <v>2582103</v>
      </c>
    </row>
    <row r="17" spans="1:16">
      <c r="A17" s="15">
        <v>43070</v>
      </c>
      <c r="B17" s="16">
        <v>6768.7150000000001</v>
      </c>
      <c r="C17" s="16">
        <v>62</v>
      </c>
      <c r="D17" s="17">
        <v>878</v>
      </c>
      <c r="E17" s="17">
        <v>989</v>
      </c>
      <c r="F17" s="17">
        <v>11892</v>
      </c>
      <c r="G17" s="18">
        <v>6830.7150000000001</v>
      </c>
      <c r="H17" s="25">
        <v>13759</v>
      </c>
      <c r="I17" s="15">
        <v>43070</v>
      </c>
      <c r="J17" s="20">
        <f t="shared" si="2"/>
        <v>89140.830750000008</v>
      </c>
      <c r="K17" s="21">
        <f t="shared" si="0"/>
        <v>171299.55</v>
      </c>
      <c r="L17" s="22">
        <f t="shared" si="1"/>
        <v>260440.38075000001</v>
      </c>
      <c r="M17" s="15">
        <v>43070</v>
      </c>
      <c r="N17" s="23">
        <v>2091143</v>
      </c>
      <c r="O17" s="23">
        <v>357667</v>
      </c>
      <c r="P17" s="24">
        <v>2448810</v>
      </c>
    </row>
    <row r="18" spans="1:16">
      <c r="A18" s="26" t="s">
        <v>12</v>
      </c>
      <c r="B18" s="27">
        <f>SUM(B6:B17)</f>
        <v>74153.929999999993</v>
      </c>
      <c r="C18" s="27">
        <f t="shared" ref="C18:H18" si="3">SUM(C6:C17)</f>
        <v>789.66</v>
      </c>
      <c r="D18" s="27">
        <f t="shared" si="3"/>
        <v>9408.59</v>
      </c>
      <c r="E18" s="27">
        <f t="shared" si="3"/>
        <v>10553</v>
      </c>
      <c r="F18" s="27">
        <f t="shared" si="3"/>
        <v>122183</v>
      </c>
      <c r="G18" s="27">
        <f t="shared" si="3"/>
        <v>74943.59</v>
      </c>
      <c r="H18" s="27">
        <f t="shared" si="3"/>
        <v>142144.59000000003</v>
      </c>
      <c r="I18" s="28"/>
      <c r="J18" s="29"/>
      <c r="K18" s="29"/>
      <c r="L18" s="30"/>
      <c r="M18" s="31"/>
      <c r="N18" s="32"/>
      <c r="O18" s="33"/>
      <c r="P18" s="7"/>
    </row>
    <row r="19" spans="1:16">
      <c r="A19" s="34" t="s">
        <v>11</v>
      </c>
      <c r="B19" s="35">
        <f>B18*200</f>
        <v>14830785.999999998</v>
      </c>
      <c r="C19" s="35">
        <f t="shared" ref="C19:H19" si="4">C18*200</f>
        <v>157932</v>
      </c>
      <c r="D19" s="35">
        <f t="shared" si="4"/>
        <v>1881718</v>
      </c>
      <c r="E19" s="35">
        <f t="shared" si="4"/>
        <v>2110600</v>
      </c>
      <c r="F19" s="35">
        <f t="shared" si="4"/>
        <v>24436600</v>
      </c>
      <c r="G19" s="35">
        <f t="shared" si="4"/>
        <v>14988718</v>
      </c>
      <c r="H19" s="36">
        <f t="shared" si="4"/>
        <v>28428918.000000004</v>
      </c>
      <c r="I19" s="37" t="s">
        <v>8</v>
      </c>
      <c r="J19" s="38">
        <f>SUM(J7:J17)</f>
        <v>978013.84950000001</v>
      </c>
      <c r="K19" s="38">
        <f>SUM(K6:K17)</f>
        <v>1769700.1455000003</v>
      </c>
      <c r="L19" s="39">
        <f>SUM(L6:L17)</f>
        <v>2747713.9950000001</v>
      </c>
      <c r="M19" s="12" t="s">
        <v>11</v>
      </c>
      <c r="N19" s="40">
        <f>SUM(N6:N18)</f>
        <v>40292478</v>
      </c>
      <c r="O19" s="40">
        <f>SUM(O6:O18)</f>
        <v>7854519</v>
      </c>
      <c r="P19" s="41">
        <f>SUM(P6:P17)</f>
        <v>48146997</v>
      </c>
    </row>
    <row r="20" spans="1:16" ht="15.75" thickBot="1">
      <c r="A20" s="42"/>
      <c r="C20" s="43"/>
      <c r="D20" s="44"/>
      <c r="E20" s="29"/>
      <c r="F20" s="45"/>
      <c r="G20" s="46" t="s">
        <v>13</v>
      </c>
      <c r="H20" s="47">
        <f>G19+H19</f>
        <v>43417636</v>
      </c>
      <c r="I20" s="48"/>
      <c r="J20" s="49"/>
      <c r="K20" s="33"/>
      <c r="L20" s="33"/>
      <c r="M20" s="31"/>
      <c r="N20" s="32"/>
      <c r="O20" s="33"/>
      <c r="P20" s="50"/>
    </row>
    <row r="21" spans="1:16" ht="20.25" thickBot="1">
      <c r="A21" s="281" t="s">
        <v>76</v>
      </c>
      <c r="B21" s="282"/>
      <c r="C21" s="283"/>
      <c r="D21" s="283"/>
      <c r="E21" s="283"/>
      <c r="F21" s="283"/>
      <c r="G21" s="283"/>
      <c r="H21" s="283"/>
      <c r="I21" s="283"/>
      <c r="J21" s="283"/>
      <c r="K21" s="283"/>
      <c r="L21" s="283"/>
      <c r="M21" s="283"/>
      <c r="N21" s="283"/>
      <c r="O21" s="283"/>
      <c r="P21" s="284"/>
    </row>
    <row r="23" spans="1:16">
      <c r="B23" s="256" t="s">
        <v>14</v>
      </c>
      <c r="C23" s="257"/>
      <c r="D23" s="257"/>
      <c r="E23" s="257"/>
      <c r="F23" s="257"/>
      <c r="G23" s="258"/>
      <c r="H23" s="285" t="s">
        <v>15</v>
      </c>
      <c r="I23" s="286"/>
      <c r="J23" s="286"/>
      <c r="K23" s="287"/>
    </row>
    <row r="24" spans="1:16">
      <c r="B24" s="288" t="s">
        <v>16</v>
      </c>
      <c r="C24" s="289"/>
      <c r="D24" s="289" t="s">
        <v>17</v>
      </c>
      <c r="E24" s="289"/>
      <c r="F24" s="68" t="s">
        <v>18</v>
      </c>
      <c r="G24" s="55" t="s">
        <v>19</v>
      </c>
      <c r="H24" s="56" t="s">
        <v>20</v>
      </c>
      <c r="I24" s="56" t="s">
        <v>21</v>
      </c>
      <c r="J24" s="56" t="s">
        <v>22</v>
      </c>
      <c r="K24" s="57" t="s">
        <v>23</v>
      </c>
      <c r="L24" s="93" t="s">
        <v>24</v>
      </c>
      <c r="M24" s="95" t="s">
        <v>26</v>
      </c>
      <c r="N24" s="96" t="s">
        <v>27</v>
      </c>
    </row>
    <row r="25" spans="1:16">
      <c r="A25" s="58">
        <v>2015</v>
      </c>
      <c r="B25" s="265">
        <v>14403.35</v>
      </c>
      <c r="C25" s="265"/>
      <c r="D25" s="265"/>
      <c r="E25" s="265"/>
      <c r="F25" s="59"/>
      <c r="G25" s="69">
        <f>B25+E25+F25</f>
        <v>14403.35</v>
      </c>
      <c r="H25" s="60"/>
      <c r="I25" s="60">
        <v>7279.47</v>
      </c>
      <c r="J25" s="60"/>
      <c r="K25" s="77">
        <f t="shared" ref="K25:K37" si="5">H25+I25+J25</f>
        <v>7279.47</v>
      </c>
      <c r="L25" s="92">
        <f t="shared" ref="L25:L37" si="6">K25+G25</f>
        <v>21682.82</v>
      </c>
      <c r="M25" s="94">
        <v>48000</v>
      </c>
      <c r="N25" s="75">
        <f>M25-L25</f>
        <v>26317.18</v>
      </c>
    </row>
    <row r="26" spans="1:16">
      <c r="A26" s="15">
        <v>42370</v>
      </c>
      <c r="B26" s="290">
        <v>17946.3</v>
      </c>
      <c r="C26" s="290"/>
      <c r="D26" s="290">
        <v>321.48</v>
      </c>
      <c r="E26" s="290"/>
      <c r="F26" s="61">
        <v>2885.52</v>
      </c>
      <c r="G26" s="70">
        <f t="shared" ref="G26:G37" si="7">B26+D26+F26</f>
        <v>21153.3</v>
      </c>
      <c r="H26" s="62"/>
      <c r="I26" s="62"/>
      <c r="J26" s="62"/>
      <c r="K26" s="78">
        <f t="shared" si="5"/>
        <v>0</v>
      </c>
      <c r="L26" s="81">
        <f t="shared" si="6"/>
        <v>21153.3</v>
      </c>
      <c r="M26" s="89">
        <v>127500</v>
      </c>
      <c r="N26" s="89">
        <f t="shared" ref="N26:N51" si="8">M26-L26</f>
        <v>106346.7</v>
      </c>
    </row>
    <row r="27" spans="1:16">
      <c r="A27" s="15">
        <v>42401</v>
      </c>
      <c r="B27" s="268">
        <v>16669.25</v>
      </c>
      <c r="C27" s="268"/>
      <c r="D27" s="268">
        <v>1038.32</v>
      </c>
      <c r="E27" s="268"/>
      <c r="F27" s="61">
        <v>148869.57999999999</v>
      </c>
      <c r="G27" s="70">
        <f t="shared" si="7"/>
        <v>166577.15</v>
      </c>
      <c r="H27" s="62"/>
      <c r="I27" s="62"/>
      <c r="J27" s="62"/>
      <c r="K27" s="78">
        <f t="shared" si="5"/>
        <v>0</v>
      </c>
      <c r="L27" s="81">
        <f t="shared" si="6"/>
        <v>166577.15</v>
      </c>
      <c r="M27" s="89">
        <v>127500</v>
      </c>
      <c r="N27" s="89">
        <f t="shared" si="8"/>
        <v>-39077.149999999994</v>
      </c>
    </row>
    <row r="28" spans="1:16">
      <c r="A28" s="15">
        <v>42430</v>
      </c>
      <c r="B28" s="268">
        <v>13554.93</v>
      </c>
      <c r="C28" s="268"/>
      <c r="D28" s="268">
        <v>2072.52</v>
      </c>
      <c r="E28" s="268"/>
      <c r="F28" s="61">
        <v>122968.33</v>
      </c>
      <c r="G28" s="70">
        <f t="shared" si="7"/>
        <v>138595.78</v>
      </c>
      <c r="H28" s="62">
        <v>4047.84</v>
      </c>
      <c r="I28" s="62"/>
      <c r="J28" s="62"/>
      <c r="K28" s="78">
        <f t="shared" si="5"/>
        <v>4047.84</v>
      </c>
      <c r="L28" s="81">
        <f t="shared" si="6"/>
        <v>142643.62</v>
      </c>
      <c r="M28" s="89">
        <v>127500</v>
      </c>
      <c r="N28" s="89">
        <f t="shared" si="8"/>
        <v>-15143.619999999995</v>
      </c>
    </row>
    <row r="29" spans="1:16">
      <c r="A29" s="15">
        <v>42461</v>
      </c>
      <c r="B29" s="268">
        <v>19674.099999999999</v>
      </c>
      <c r="C29" s="268"/>
      <c r="D29" s="268">
        <v>4755.18</v>
      </c>
      <c r="E29" s="268"/>
      <c r="F29" s="61">
        <v>96301.89</v>
      </c>
      <c r="G29" s="70">
        <f t="shared" si="7"/>
        <v>120731.17</v>
      </c>
      <c r="H29" s="62">
        <v>395.66</v>
      </c>
      <c r="I29" s="62"/>
      <c r="J29" s="62"/>
      <c r="K29" s="78">
        <f t="shared" si="5"/>
        <v>395.66</v>
      </c>
      <c r="L29" s="81">
        <f t="shared" si="6"/>
        <v>121126.83</v>
      </c>
      <c r="M29" s="89">
        <v>127500</v>
      </c>
      <c r="N29" s="89">
        <f t="shared" si="8"/>
        <v>6373.1699999999983</v>
      </c>
    </row>
    <row r="30" spans="1:16">
      <c r="A30" s="15">
        <v>42491</v>
      </c>
      <c r="B30" s="268">
        <v>19685.47</v>
      </c>
      <c r="C30" s="268"/>
      <c r="D30" s="268">
        <v>13915.59</v>
      </c>
      <c r="E30" s="268"/>
      <c r="F30" s="61">
        <v>119732.24</v>
      </c>
      <c r="G30" s="70">
        <f t="shared" si="7"/>
        <v>153333.29999999999</v>
      </c>
      <c r="H30" s="62">
        <v>9918.44</v>
      </c>
      <c r="I30" s="62"/>
      <c r="J30" s="62"/>
      <c r="K30" s="78">
        <f t="shared" si="5"/>
        <v>9918.44</v>
      </c>
      <c r="L30" s="81">
        <f t="shared" si="6"/>
        <v>163251.74</v>
      </c>
      <c r="M30" s="89">
        <v>127500</v>
      </c>
      <c r="N30" s="89">
        <f t="shared" si="8"/>
        <v>-35751.739999999991</v>
      </c>
    </row>
    <row r="31" spans="1:16">
      <c r="A31" s="15">
        <v>42522</v>
      </c>
      <c r="B31" s="268">
        <v>18128</v>
      </c>
      <c r="C31" s="268"/>
      <c r="D31" s="268">
        <v>3715.21</v>
      </c>
      <c r="E31" s="268"/>
      <c r="F31" s="61">
        <v>81912.570000000007</v>
      </c>
      <c r="G31" s="70">
        <f t="shared" si="7"/>
        <v>103755.78</v>
      </c>
      <c r="H31" s="62">
        <v>9194.2099999999991</v>
      </c>
      <c r="I31" s="62"/>
      <c r="J31" s="62">
        <v>19319.75</v>
      </c>
      <c r="K31" s="78">
        <f t="shared" si="5"/>
        <v>28513.96</v>
      </c>
      <c r="L31" s="81">
        <f t="shared" si="6"/>
        <v>132269.74</v>
      </c>
      <c r="M31" s="89">
        <v>127500</v>
      </c>
      <c r="N31" s="89">
        <f t="shared" si="8"/>
        <v>-4769.7399999999907</v>
      </c>
    </row>
    <row r="32" spans="1:16">
      <c r="A32" s="15">
        <v>42552</v>
      </c>
      <c r="B32" s="268">
        <v>12724.71</v>
      </c>
      <c r="C32" s="268"/>
      <c r="D32" s="268"/>
      <c r="E32" s="268"/>
      <c r="F32" s="61">
        <v>86072.75</v>
      </c>
      <c r="G32" s="70">
        <f t="shared" si="7"/>
        <v>98797.459999999992</v>
      </c>
      <c r="H32" s="62">
        <v>25454.799999999999</v>
      </c>
      <c r="I32" s="62"/>
      <c r="J32" s="62"/>
      <c r="K32" s="78">
        <f t="shared" si="5"/>
        <v>25454.799999999999</v>
      </c>
      <c r="L32" s="81">
        <f t="shared" si="6"/>
        <v>124252.26</v>
      </c>
      <c r="M32" s="89">
        <v>127500</v>
      </c>
      <c r="N32" s="89">
        <f t="shared" si="8"/>
        <v>3247.7400000000052</v>
      </c>
    </row>
    <row r="33" spans="1:14">
      <c r="A33" s="15">
        <v>42583</v>
      </c>
      <c r="B33" s="268">
        <v>2060</v>
      </c>
      <c r="C33" s="268"/>
      <c r="D33" s="268"/>
      <c r="E33" s="268"/>
      <c r="F33" s="61">
        <v>75972.639999999999</v>
      </c>
      <c r="G33" s="70">
        <f t="shared" si="7"/>
        <v>78032.639999999999</v>
      </c>
      <c r="H33" s="62">
        <v>9416.86</v>
      </c>
      <c r="I33" s="62"/>
      <c r="J33" s="62">
        <v>119079.75</v>
      </c>
      <c r="K33" s="78">
        <f t="shared" si="5"/>
        <v>128496.61</v>
      </c>
      <c r="L33" s="81">
        <f t="shared" si="6"/>
        <v>206529.25</v>
      </c>
      <c r="M33" s="89">
        <v>127500</v>
      </c>
      <c r="N33" s="89">
        <f t="shared" si="8"/>
        <v>-79029.25</v>
      </c>
    </row>
    <row r="34" spans="1:14">
      <c r="A34" s="15">
        <v>42614</v>
      </c>
      <c r="B34" s="268">
        <v>4120</v>
      </c>
      <c r="C34" s="268"/>
      <c r="D34" s="268"/>
      <c r="E34" s="268"/>
      <c r="F34" s="61">
        <v>44287.64</v>
      </c>
      <c r="G34" s="70">
        <f t="shared" si="7"/>
        <v>48407.64</v>
      </c>
      <c r="H34" s="62">
        <v>3066.95</v>
      </c>
      <c r="I34" s="62"/>
      <c r="J34" s="62"/>
      <c r="K34" s="78">
        <f t="shared" si="5"/>
        <v>3066.95</v>
      </c>
      <c r="L34" s="81">
        <f t="shared" si="6"/>
        <v>51474.59</v>
      </c>
      <c r="M34" s="89">
        <v>127500</v>
      </c>
      <c r="N34" s="89">
        <f t="shared" si="8"/>
        <v>76025.41</v>
      </c>
    </row>
    <row r="35" spans="1:14">
      <c r="A35" s="15">
        <v>42644</v>
      </c>
      <c r="B35" s="268">
        <v>5541.39</v>
      </c>
      <c r="C35" s="268"/>
      <c r="D35" s="268"/>
      <c r="E35" s="268"/>
      <c r="F35" s="61">
        <v>42445.24</v>
      </c>
      <c r="G35" s="70">
        <f t="shared" si="7"/>
        <v>47986.63</v>
      </c>
      <c r="H35" s="62">
        <v>6044.81</v>
      </c>
      <c r="I35" s="62"/>
      <c r="J35" s="62"/>
      <c r="K35" s="78">
        <f t="shared" si="5"/>
        <v>6044.81</v>
      </c>
      <c r="L35" s="81">
        <f t="shared" si="6"/>
        <v>54031.439999999995</v>
      </c>
      <c r="M35" s="89">
        <v>127500</v>
      </c>
      <c r="N35" s="89">
        <f t="shared" si="8"/>
        <v>73468.56</v>
      </c>
    </row>
    <row r="36" spans="1:14">
      <c r="A36" s="15">
        <v>42675</v>
      </c>
      <c r="B36" s="268">
        <v>6222.93</v>
      </c>
      <c r="C36" s="268"/>
      <c r="D36" s="268"/>
      <c r="E36" s="268"/>
      <c r="F36" s="61">
        <v>21774.97</v>
      </c>
      <c r="G36" s="70">
        <f t="shared" si="7"/>
        <v>27997.9</v>
      </c>
      <c r="H36" s="62">
        <v>24250.15</v>
      </c>
      <c r="I36" s="62"/>
      <c r="J36" s="62"/>
      <c r="K36" s="78">
        <f t="shared" si="5"/>
        <v>24250.15</v>
      </c>
      <c r="L36" s="81">
        <f t="shared" si="6"/>
        <v>52248.05</v>
      </c>
      <c r="M36" s="89">
        <v>127500</v>
      </c>
      <c r="N36" s="89">
        <f t="shared" si="8"/>
        <v>75251.95</v>
      </c>
    </row>
    <row r="37" spans="1:14">
      <c r="A37" s="15">
        <v>42705</v>
      </c>
      <c r="B37" s="266">
        <v>4532</v>
      </c>
      <c r="C37" s="266"/>
      <c r="D37" s="266">
        <v>225.32</v>
      </c>
      <c r="E37" s="266"/>
      <c r="F37" s="61">
        <v>5748.79</v>
      </c>
      <c r="G37" s="70">
        <f t="shared" si="7"/>
        <v>10506.11</v>
      </c>
      <c r="H37" s="62">
        <v>11363.2</v>
      </c>
      <c r="I37" s="54"/>
      <c r="J37" s="54"/>
      <c r="K37" s="78">
        <f t="shared" si="5"/>
        <v>11363.2</v>
      </c>
      <c r="L37" s="73">
        <f t="shared" si="6"/>
        <v>21869.31</v>
      </c>
      <c r="M37" s="89">
        <v>128500</v>
      </c>
      <c r="N37" s="89">
        <f t="shared" si="8"/>
        <v>106630.69</v>
      </c>
    </row>
    <row r="38" spans="1:14">
      <c r="A38" s="58">
        <v>2016</v>
      </c>
      <c r="B38" s="265">
        <f>SUM(B26:B37)</f>
        <v>140859.08000000002</v>
      </c>
      <c r="C38" s="265"/>
      <c r="D38" s="265">
        <f>SUM(D26:D37)</f>
        <v>26043.62</v>
      </c>
      <c r="E38" s="265"/>
      <c r="F38" s="59">
        <f t="shared" ref="F38:L38" si="9">SUM(F26:F37)</f>
        <v>848972.16</v>
      </c>
      <c r="G38" s="71">
        <f t="shared" si="9"/>
        <v>1015874.86</v>
      </c>
      <c r="H38" s="64">
        <f t="shared" si="9"/>
        <v>103152.92</v>
      </c>
      <c r="I38" s="63">
        <f t="shared" si="9"/>
        <v>0</v>
      </c>
      <c r="J38" s="63">
        <f t="shared" si="9"/>
        <v>138399.5</v>
      </c>
      <c r="K38" s="79">
        <f t="shared" si="9"/>
        <v>241552.42</v>
      </c>
      <c r="L38" s="90">
        <f t="shared" si="9"/>
        <v>1257427.28</v>
      </c>
      <c r="M38" s="91">
        <f>SUM(M26:M37)</f>
        <v>1531000</v>
      </c>
      <c r="N38" s="76">
        <f>M38-L38</f>
        <v>273572.71999999997</v>
      </c>
    </row>
    <row r="39" spans="1:14">
      <c r="A39" s="15">
        <v>42736</v>
      </c>
      <c r="B39" s="267">
        <v>4784</v>
      </c>
      <c r="C39" s="267"/>
      <c r="D39" s="267">
        <v>5809.16</v>
      </c>
      <c r="E39" s="267"/>
      <c r="F39" s="65">
        <v>1998.01</v>
      </c>
      <c r="G39" s="72">
        <f t="shared" ref="G39:G50" si="10">B39+D39+F39</f>
        <v>12591.17</v>
      </c>
      <c r="H39" s="29">
        <v>2186.5300000000002</v>
      </c>
      <c r="I39" s="43"/>
      <c r="J39" s="62"/>
      <c r="K39" s="80">
        <f>H39+I39+J39</f>
        <v>2186.5300000000002</v>
      </c>
      <c r="L39" s="74">
        <f>K39+G39</f>
        <v>14777.7</v>
      </c>
      <c r="M39" s="89">
        <v>50000</v>
      </c>
      <c r="N39" s="89">
        <f t="shared" ref="N39:N50" si="11">M40-L39</f>
        <v>35222.300000000003</v>
      </c>
    </row>
    <row r="40" spans="1:14">
      <c r="A40" s="15">
        <v>42767</v>
      </c>
      <c r="B40" s="263">
        <v>5200</v>
      </c>
      <c r="C40" s="263"/>
      <c r="D40" s="263">
        <v>1511.1</v>
      </c>
      <c r="E40" s="263"/>
      <c r="F40" s="65">
        <v>521.39</v>
      </c>
      <c r="G40" s="72">
        <f t="shared" si="10"/>
        <v>7232.4900000000007</v>
      </c>
      <c r="H40" s="29">
        <v>1451</v>
      </c>
      <c r="I40" s="43"/>
      <c r="J40" s="62"/>
      <c r="K40" s="80">
        <f>H40+I40+J40</f>
        <v>1451</v>
      </c>
      <c r="L40" s="74">
        <f>K40+G40</f>
        <v>8683.4900000000016</v>
      </c>
      <c r="M40" s="89">
        <v>50000</v>
      </c>
      <c r="N40" s="89">
        <f t="shared" si="11"/>
        <v>41316.509999999995</v>
      </c>
    </row>
    <row r="41" spans="1:14">
      <c r="A41" s="15">
        <v>42795</v>
      </c>
      <c r="B41" s="263">
        <v>6757.01</v>
      </c>
      <c r="C41" s="263"/>
      <c r="D41" s="263">
        <v>481.32</v>
      </c>
      <c r="E41" s="263"/>
      <c r="F41" s="65">
        <v>1519.05</v>
      </c>
      <c r="G41" s="72">
        <f t="shared" si="10"/>
        <v>8757.3799999999992</v>
      </c>
      <c r="H41" s="29">
        <v>8024.69</v>
      </c>
      <c r="I41" s="43"/>
      <c r="J41" s="62"/>
      <c r="K41" s="80">
        <f>H41+I41+J41</f>
        <v>8024.69</v>
      </c>
      <c r="L41" s="74">
        <f>K41+G41</f>
        <v>16782.07</v>
      </c>
      <c r="M41" s="89">
        <v>50000</v>
      </c>
      <c r="N41" s="89">
        <f t="shared" si="11"/>
        <v>33217.93</v>
      </c>
    </row>
    <row r="42" spans="1:14">
      <c r="A42" s="15">
        <v>42826</v>
      </c>
      <c r="B42" s="263">
        <v>3386</v>
      </c>
      <c r="C42" s="263"/>
      <c r="D42" s="263"/>
      <c r="E42" s="263"/>
      <c r="F42" s="65">
        <v>444.6</v>
      </c>
      <c r="G42" s="72">
        <f t="shared" si="10"/>
        <v>3830.6</v>
      </c>
      <c r="H42" s="29">
        <v>1888.93</v>
      </c>
      <c r="I42" s="43"/>
      <c r="J42" s="62"/>
      <c r="K42" s="80">
        <f>H42+I42+J42</f>
        <v>1888.93</v>
      </c>
      <c r="L42" s="74">
        <f>K42+G42</f>
        <v>5719.53</v>
      </c>
      <c r="M42" s="89">
        <v>50000</v>
      </c>
      <c r="N42" s="89">
        <f t="shared" si="11"/>
        <v>44280.47</v>
      </c>
    </row>
    <row r="43" spans="1:14">
      <c r="A43" s="15">
        <v>42856</v>
      </c>
      <c r="B43" s="263">
        <v>3731</v>
      </c>
      <c r="C43" s="263"/>
      <c r="D43" s="263"/>
      <c r="E43" s="263"/>
      <c r="F43" s="65">
        <v>37.049999999999997</v>
      </c>
      <c r="G43" s="72">
        <f t="shared" si="10"/>
        <v>3768.05</v>
      </c>
      <c r="H43" s="29">
        <v>833.33</v>
      </c>
      <c r="I43" s="62">
        <v>16.510000000000002</v>
      </c>
      <c r="J43" s="62">
        <v>20200</v>
      </c>
      <c r="K43" s="80">
        <f>H43+I43+J43</f>
        <v>21049.84</v>
      </c>
      <c r="L43" s="74">
        <f t="shared" ref="L43:L50" si="12">K43+G43</f>
        <v>24817.89</v>
      </c>
      <c r="M43" s="89">
        <v>50000</v>
      </c>
      <c r="N43" s="89">
        <f t="shared" si="11"/>
        <v>25182.11</v>
      </c>
    </row>
    <row r="44" spans="1:14">
      <c r="A44" s="15">
        <v>42887</v>
      </c>
      <c r="B44" s="263">
        <v>6216.56</v>
      </c>
      <c r="C44" s="263"/>
      <c r="D44" s="263">
        <v>6777.99</v>
      </c>
      <c r="E44" s="263"/>
      <c r="F44" s="65"/>
      <c r="G44" s="72">
        <f t="shared" si="10"/>
        <v>12994.55</v>
      </c>
      <c r="H44" s="29"/>
      <c r="I44" s="62"/>
      <c r="J44" s="62"/>
      <c r="K44" s="80">
        <f t="shared" ref="K44:K50" si="13">H44+I44+J44</f>
        <v>0</v>
      </c>
      <c r="L44" s="74">
        <f t="shared" si="12"/>
        <v>12994.55</v>
      </c>
      <c r="M44" s="89">
        <v>50000</v>
      </c>
      <c r="N44" s="89">
        <f t="shared" si="11"/>
        <v>37005.449999999997</v>
      </c>
    </row>
    <row r="45" spans="1:14">
      <c r="A45" s="15">
        <v>42917</v>
      </c>
      <c r="B45" s="263">
        <v>6788</v>
      </c>
      <c r="C45" s="263"/>
      <c r="D45" s="263">
        <v>-1072.0999999999999</v>
      </c>
      <c r="E45" s="263"/>
      <c r="F45" s="65"/>
      <c r="G45" s="72">
        <f t="shared" si="10"/>
        <v>5715.9</v>
      </c>
      <c r="H45" s="29"/>
      <c r="I45" s="62"/>
      <c r="J45" s="62">
        <v>50383</v>
      </c>
      <c r="K45" s="80">
        <f t="shared" si="13"/>
        <v>50383</v>
      </c>
      <c r="L45" s="74">
        <f t="shared" si="12"/>
        <v>56098.9</v>
      </c>
      <c r="M45" s="89">
        <v>50000</v>
      </c>
      <c r="N45" s="89">
        <f t="shared" si="11"/>
        <v>-6098.9000000000015</v>
      </c>
    </row>
    <row r="46" spans="1:14">
      <c r="A46" s="15">
        <v>42948</v>
      </c>
      <c r="B46" s="263">
        <v>5819.5</v>
      </c>
      <c r="C46" s="263"/>
      <c r="D46" s="263"/>
      <c r="E46" s="263"/>
      <c r="F46" s="65"/>
      <c r="G46" s="72">
        <f t="shared" si="10"/>
        <v>5819.5</v>
      </c>
      <c r="H46" s="29">
        <v>1051.73</v>
      </c>
      <c r="I46" s="62"/>
      <c r="J46" s="62">
        <v>12952</v>
      </c>
      <c r="K46" s="80">
        <f t="shared" si="13"/>
        <v>14003.73</v>
      </c>
      <c r="L46" s="74">
        <f t="shared" si="12"/>
        <v>19823.23</v>
      </c>
      <c r="M46" s="89">
        <v>50000</v>
      </c>
      <c r="N46" s="89">
        <f t="shared" si="11"/>
        <v>30176.77</v>
      </c>
    </row>
    <row r="47" spans="1:14">
      <c r="A47" s="15">
        <v>42979</v>
      </c>
      <c r="B47" s="263">
        <v>5946.56</v>
      </c>
      <c r="C47" s="263"/>
      <c r="D47" s="263"/>
      <c r="E47" s="263"/>
      <c r="F47" s="65"/>
      <c r="G47" s="72">
        <f t="shared" si="10"/>
        <v>5946.56</v>
      </c>
      <c r="H47" s="29">
        <v>5862.8</v>
      </c>
      <c r="I47" s="62">
        <v>1115.23</v>
      </c>
      <c r="J47" s="62">
        <v>12989</v>
      </c>
      <c r="K47" s="80">
        <f t="shared" si="13"/>
        <v>19967.03</v>
      </c>
      <c r="L47" s="74">
        <f t="shared" si="12"/>
        <v>25913.59</v>
      </c>
      <c r="M47" s="89">
        <v>50000</v>
      </c>
      <c r="N47" s="89">
        <f t="shared" si="11"/>
        <v>24086.41</v>
      </c>
    </row>
    <row r="48" spans="1:14">
      <c r="A48" s="15">
        <v>43009</v>
      </c>
      <c r="B48" s="263">
        <v>9051.77</v>
      </c>
      <c r="C48" s="263"/>
      <c r="D48" s="263"/>
      <c r="E48" s="263"/>
      <c r="F48" s="65"/>
      <c r="G48" s="72">
        <f t="shared" si="10"/>
        <v>9051.77</v>
      </c>
      <c r="H48" s="29"/>
      <c r="I48" s="62"/>
      <c r="J48" s="62">
        <v>10040</v>
      </c>
      <c r="K48" s="80">
        <f t="shared" si="13"/>
        <v>10040</v>
      </c>
      <c r="L48" s="74">
        <f t="shared" si="12"/>
        <v>19091.77</v>
      </c>
      <c r="M48" s="89">
        <v>50000</v>
      </c>
      <c r="N48" s="89">
        <f t="shared" si="11"/>
        <v>30908.23</v>
      </c>
    </row>
    <row r="49" spans="1:14">
      <c r="A49" s="15">
        <v>43040</v>
      </c>
      <c r="B49" s="263">
        <v>8882.7000000000007</v>
      </c>
      <c r="C49" s="263"/>
      <c r="D49" s="263"/>
      <c r="E49" s="263"/>
      <c r="F49" s="65"/>
      <c r="G49" s="72">
        <f t="shared" si="10"/>
        <v>8882.7000000000007</v>
      </c>
      <c r="H49" s="29">
        <v>464.19</v>
      </c>
      <c r="I49" s="62"/>
      <c r="J49" s="62">
        <v>12140.25</v>
      </c>
      <c r="K49" s="80">
        <f t="shared" si="13"/>
        <v>12604.44</v>
      </c>
      <c r="L49" s="74">
        <f t="shared" si="12"/>
        <v>21487.14</v>
      </c>
      <c r="M49" s="89">
        <v>50000</v>
      </c>
      <c r="N49" s="89">
        <f t="shared" si="11"/>
        <v>29512.86</v>
      </c>
    </row>
    <row r="50" spans="1:14">
      <c r="A50" s="15">
        <v>43070</v>
      </c>
      <c r="B50" s="264">
        <v>4180</v>
      </c>
      <c r="C50" s="264"/>
      <c r="D50" s="263">
        <v>73.61</v>
      </c>
      <c r="E50" s="263"/>
      <c r="F50" s="65"/>
      <c r="G50" s="72">
        <f t="shared" si="10"/>
        <v>4253.6099999999997</v>
      </c>
      <c r="H50" s="29">
        <v>26060.06</v>
      </c>
      <c r="I50" s="62">
        <v>26520.39</v>
      </c>
      <c r="J50" s="62">
        <v>7800</v>
      </c>
      <c r="K50" s="80">
        <f t="shared" si="13"/>
        <v>60380.45</v>
      </c>
      <c r="L50" s="74">
        <f t="shared" si="12"/>
        <v>64634.06</v>
      </c>
      <c r="M50" s="89">
        <v>51000</v>
      </c>
      <c r="N50" s="89">
        <f t="shared" si="11"/>
        <v>536365.93999999994</v>
      </c>
    </row>
    <row r="51" spans="1:14">
      <c r="A51" s="58">
        <v>2017</v>
      </c>
      <c r="B51" s="265">
        <f>SUM(B39:B50)</f>
        <v>70743.100000000006</v>
      </c>
      <c r="C51" s="265"/>
      <c r="D51" s="265">
        <f>SUM(D39:D50)</f>
        <v>13581.08</v>
      </c>
      <c r="E51" s="265"/>
      <c r="F51" s="59">
        <f t="shared" ref="F51:L51" si="14">SUM(F39:F50)</f>
        <v>4520.1000000000004</v>
      </c>
      <c r="G51" s="71">
        <f t="shared" si="14"/>
        <v>88844.280000000013</v>
      </c>
      <c r="H51" s="64">
        <f t="shared" si="14"/>
        <v>47823.259999999995</v>
      </c>
      <c r="I51" s="63">
        <f t="shared" si="14"/>
        <v>27652.13</v>
      </c>
      <c r="J51" s="63">
        <f t="shared" si="14"/>
        <v>126504.25</v>
      </c>
      <c r="K51" s="79">
        <f t="shared" si="14"/>
        <v>201979.63999999996</v>
      </c>
      <c r="L51" s="90">
        <f t="shared" si="14"/>
        <v>290823.92</v>
      </c>
      <c r="M51" s="91">
        <f>SUM(M39:M50)</f>
        <v>601000</v>
      </c>
      <c r="N51" s="76">
        <f t="shared" si="8"/>
        <v>310176.08</v>
      </c>
    </row>
    <row r="52" spans="1:14">
      <c r="B52" s="54"/>
      <c r="F52" s="54"/>
      <c r="G52" s="84"/>
      <c r="H52" s="54"/>
      <c r="I52" s="54"/>
      <c r="J52" s="54"/>
      <c r="K52" s="86"/>
      <c r="L52" s="82"/>
      <c r="M52" s="88"/>
      <c r="N52" s="88"/>
    </row>
    <row r="53" spans="1:14">
      <c r="A53" s="66" t="s">
        <v>25</v>
      </c>
      <c r="B53" s="255">
        <f>B25+B38+B51</f>
        <v>226005.53000000003</v>
      </c>
      <c r="C53" s="255"/>
      <c r="D53" s="255">
        <f>D25+D38+D51</f>
        <v>39624.699999999997</v>
      </c>
      <c r="E53" s="255"/>
      <c r="F53" s="67">
        <f t="shared" ref="F53:L53" si="15">F25+F38+F51</f>
        <v>853492.26</v>
      </c>
      <c r="G53" s="85">
        <f t="shared" si="15"/>
        <v>1119122.49</v>
      </c>
      <c r="H53" s="67">
        <f t="shared" si="15"/>
        <v>150976.18</v>
      </c>
      <c r="I53" s="67">
        <f t="shared" si="15"/>
        <v>34931.599999999999</v>
      </c>
      <c r="J53" s="67">
        <f t="shared" si="15"/>
        <v>264903.75</v>
      </c>
      <c r="K53" s="87">
        <f t="shared" si="15"/>
        <v>450811.52999999997</v>
      </c>
      <c r="L53" s="83">
        <f t="shared" si="15"/>
        <v>1569934.02</v>
      </c>
      <c r="M53" s="89">
        <f>M51+M38+M25</f>
        <v>2180000</v>
      </c>
      <c r="N53" s="89">
        <f>N51+N38+N25</f>
        <v>610065.9800000001</v>
      </c>
    </row>
    <row r="55" spans="1:14" ht="19.5">
      <c r="A55" s="259" t="s">
        <v>28</v>
      </c>
      <c r="B55" s="260"/>
      <c r="D55" s="127" t="s">
        <v>40</v>
      </c>
      <c r="E55" s="128"/>
      <c r="F55" s="5"/>
    </row>
    <row r="56" spans="1:14" ht="15.6" customHeight="1">
      <c r="A56" s="97">
        <v>2015</v>
      </c>
      <c r="B56" s="65">
        <v>40.200000000000003</v>
      </c>
      <c r="D56" s="118"/>
      <c r="E56" s="123"/>
    </row>
    <row r="57" spans="1:14">
      <c r="A57" s="109">
        <v>2016</v>
      </c>
      <c r="B57" s="61">
        <v>32832.730000000003</v>
      </c>
      <c r="D57" s="42"/>
      <c r="E57" s="124">
        <v>2017</v>
      </c>
    </row>
    <row r="58" spans="1:14">
      <c r="A58" s="109">
        <v>2017</v>
      </c>
      <c r="B58" s="61">
        <v>58533.86</v>
      </c>
      <c r="D58" s="15">
        <v>42736</v>
      </c>
      <c r="E58" s="125">
        <v>71641.881599999993</v>
      </c>
    </row>
    <row r="59" spans="1:14">
      <c r="A59" s="109"/>
      <c r="B59" s="61"/>
      <c r="D59" s="15">
        <v>42767</v>
      </c>
      <c r="E59" s="125">
        <v>103217.232</v>
      </c>
    </row>
    <row r="60" spans="1:14" ht="19.5">
      <c r="A60" s="261" t="s">
        <v>29</v>
      </c>
      <c r="B60" s="262"/>
      <c r="D60" s="15">
        <v>42795</v>
      </c>
      <c r="E60" s="125">
        <v>184422.94560000001</v>
      </c>
    </row>
    <row r="61" spans="1:14">
      <c r="A61" s="110">
        <v>2017</v>
      </c>
      <c r="B61" s="111">
        <v>16050</v>
      </c>
      <c r="D61" s="15">
        <v>42826</v>
      </c>
      <c r="E61" s="125">
        <v>240114.48480000001</v>
      </c>
    </row>
    <row r="62" spans="1:14">
      <c r="D62" s="15">
        <v>42856</v>
      </c>
      <c r="E62" s="125">
        <v>307594.83840000001</v>
      </c>
    </row>
    <row r="63" spans="1:14">
      <c r="D63" s="15">
        <v>42887</v>
      </c>
      <c r="E63" s="125">
        <v>343369.848</v>
      </c>
    </row>
    <row r="64" spans="1:14">
      <c r="D64" s="15">
        <v>42917</v>
      </c>
      <c r="E64" s="125">
        <v>294802.82400000002</v>
      </c>
    </row>
    <row r="65" spans="4:5">
      <c r="D65" s="15">
        <v>42948</v>
      </c>
      <c r="E65" s="125">
        <v>276616.23360000004</v>
      </c>
    </row>
    <row r="66" spans="4:5">
      <c r="D66" s="15">
        <v>42979</v>
      </c>
      <c r="E66" s="125">
        <v>224961.41279999999</v>
      </c>
    </row>
    <row r="67" spans="4:5">
      <c r="D67" s="15">
        <v>43009</v>
      </c>
      <c r="E67" s="125">
        <v>227837.5344</v>
      </c>
    </row>
    <row r="68" spans="4:5">
      <c r="D68" s="15">
        <v>43040</v>
      </c>
      <c r="E68" s="125">
        <v>136140.03840000002</v>
      </c>
    </row>
    <row r="69" spans="4:5">
      <c r="D69" s="15">
        <v>43070</v>
      </c>
      <c r="E69" s="125">
        <v>129102.16799999999</v>
      </c>
    </row>
    <row r="70" spans="4:5">
      <c r="D70" s="42"/>
      <c r="E70" s="50"/>
    </row>
    <row r="71" spans="4:5">
      <c r="D71" s="107" t="s">
        <v>45</v>
      </c>
      <c r="E71" s="126">
        <f>SUM(E58:E70)</f>
        <v>2539821.4416</v>
      </c>
    </row>
  </sheetData>
  <mergeCells count="70">
    <mergeCell ref="B29:C29"/>
    <mergeCell ref="D29:E29"/>
    <mergeCell ref="B30:C30"/>
    <mergeCell ref="B26:C26"/>
    <mergeCell ref="D26:E26"/>
    <mergeCell ref="B27:C27"/>
    <mergeCell ref="D27:E27"/>
    <mergeCell ref="B28:C28"/>
    <mergeCell ref="D28:E28"/>
    <mergeCell ref="D30:E30"/>
    <mergeCell ref="A21:P21"/>
    <mergeCell ref="H23:K23"/>
    <mergeCell ref="B24:C24"/>
    <mergeCell ref="D24:E24"/>
    <mergeCell ref="B25:C25"/>
    <mergeCell ref="D25:E25"/>
    <mergeCell ref="A1:P1"/>
    <mergeCell ref="A3:H3"/>
    <mergeCell ref="I3:L3"/>
    <mergeCell ref="M3:P3"/>
    <mergeCell ref="B4:C4"/>
    <mergeCell ref="D4:F4"/>
    <mergeCell ref="G4:H4"/>
    <mergeCell ref="B31:C31"/>
    <mergeCell ref="D31:E31"/>
    <mergeCell ref="B32:C32"/>
    <mergeCell ref="D32:E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D48:E48"/>
    <mergeCell ref="B43:C43"/>
    <mergeCell ref="D43:E43"/>
    <mergeCell ref="B44:C44"/>
    <mergeCell ref="D44:E44"/>
    <mergeCell ref="B45:C45"/>
    <mergeCell ref="D45:E45"/>
    <mergeCell ref="B53:C53"/>
    <mergeCell ref="D53:E53"/>
    <mergeCell ref="B23:G23"/>
    <mergeCell ref="A55:B55"/>
    <mergeCell ref="A60:B60"/>
    <mergeCell ref="B49:C49"/>
    <mergeCell ref="D49:E49"/>
    <mergeCell ref="B50:C50"/>
    <mergeCell ref="D50:E50"/>
    <mergeCell ref="B51:C51"/>
    <mergeCell ref="D51:E51"/>
    <mergeCell ref="B46:C46"/>
    <mergeCell ref="D46:E46"/>
    <mergeCell ref="B47:C47"/>
    <mergeCell ref="D47:E47"/>
    <mergeCell ref="B48:C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0"/>
  <sheetViews>
    <sheetView showGridLines="0" zoomScale="70" zoomScaleNormal="70" workbookViewId="0">
      <selection activeCell="S20" sqref="S20"/>
    </sheetView>
  </sheetViews>
  <sheetFormatPr defaultRowHeight="15"/>
  <cols>
    <col min="1" max="1" width="14.85546875" bestFit="1" customWidth="1"/>
    <col min="2" max="2" width="11" bestFit="1" customWidth="1"/>
    <col min="3" max="3" width="7.5703125" bestFit="1" customWidth="1"/>
    <col min="4" max="4" width="12.28515625" bestFit="1" customWidth="1"/>
    <col min="5" max="6" width="12.85546875" bestFit="1" customWidth="1"/>
    <col min="7" max="7" width="18.5703125" bestFit="1" customWidth="1"/>
    <col min="8" max="8" width="18.28515625" bestFit="1" customWidth="1"/>
    <col min="9" max="9" width="13.85546875" bestFit="1" customWidth="1"/>
    <col min="10" max="11" width="18.28515625" bestFit="1" customWidth="1"/>
    <col min="12" max="12" width="12.7109375" bestFit="1" customWidth="1"/>
    <col min="13" max="13" width="14" bestFit="1" customWidth="1"/>
    <col min="14" max="14" width="13.42578125" bestFit="1" customWidth="1"/>
    <col min="15" max="15" width="11.28515625" customWidth="1"/>
    <col min="16" max="16" width="15.42578125" bestFit="1" customWidth="1"/>
    <col min="19" max="19" width="10.140625" bestFit="1" customWidth="1"/>
  </cols>
  <sheetData>
    <row r="1" spans="1:16" ht="32.25">
      <c r="A1" s="269" t="s">
        <v>47</v>
      </c>
      <c r="B1" s="270"/>
      <c r="C1" s="270"/>
      <c r="D1" s="270"/>
      <c r="E1" s="270"/>
      <c r="F1" s="270"/>
      <c r="G1" s="270"/>
      <c r="H1" s="270"/>
      <c r="I1" s="270"/>
      <c r="J1" s="270"/>
      <c r="K1" s="270"/>
      <c r="L1" s="270"/>
      <c r="M1" s="270"/>
      <c r="N1" s="270"/>
      <c r="O1" s="270"/>
      <c r="P1" s="271"/>
    </row>
    <row r="2" spans="1:16" ht="24.75" thickBot="1">
      <c r="A2" s="1"/>
      <c r="B2" s="2"/>
      <c r="C2" s="2"/>
      <c r="D2" s="2"/>
      <c r="E2" s="2"/>
      <c r="F2" s="3"/>
      <c r="G2" s="3"/>
      <c r="H2" s="3"/>
      <c r="I2" s="3"/>
      <c r="J2" s="3"/>
      <c r="K2" s="4"/>
      <c r="L2" s="4"/>
    </row>
    <row r="3" spans="1:16" ht="20.25" thickBot="1">
      <c r="A3" s="272" t="s">
        <v>1</v>
      </c>
      <c r="B3" s="273"/>
      <c r="C3" s="273"/>
      <c r="D3" s="273"/>
      <c r="E3" s="273"/>
      <c r="F3" s="273"/>
      <c r="G3" s="273"/>
      <c r="H3" s="273"/>
      <c r="I3" s="274" t="s">
        <v>2</v>
      </c>
      <c r="J3" s="275"/>
      <c r="K3" s="275"/>
      <c r="L3" s="276"/>
      <c r="M3" s="274" t="s">
        <v>3</v>
      </c>
      <c r="N3" s="275"/>
      <c r="O3" s="275"/>
      <c r="P3" s="277"/>
    </row>
    <row r="4" spans="1:16">
      <c r="A4" s="51"/>
      <c r="B4" s="278" t="s">
        <v>4</v>
      </c>
      <c r="C4" s="279"/>
      <c r="D4" s="278" t="s">
        <v>5</v>
      </c>
      <c r="E4" s="280"/>
      <c r="F4" s="279"/>
      <c r="G4" s="280" t="s">
        <v>6</v>
      </c>
      <c r="H4" s="279"/>
      <c r="I4" s="6"/>
      <c r="J4" s="52"/>
      <c r="K4" s="52"/>
      <c r="L4" s="53"/>
      <c r="M4" s="6"/>
      <c r="N4" s="52"/>
      <c r="O4" s="52"/>
      <c r="P4" s="53"/>
    </row>
    <row r="5" spans="1:16">
      <c r="A5" s="8"/>
      <c r="B5" s="9">
        <v>1</v>
      </c>
      <c r="C5" s="10">
        <v>3</v>
      </c>
      <c r="D5" s="9">
        <v>23</v>
      </c>
      <c r="E5" s="11">
        <v>6</v>
      </c>
      <c r="F5" s="10" t="s">
        <v>7</v>
      </c>
      <c r="G5" s="12" t="s">
        <v>4</v>
      </c>
      <c r="H5" s="13" t="s">
        <v>5</v>
      </c>
      <c r="I5" s="8"/>
      <c r="J5" s="12" t="s">
        <v>4</v>
      </c>
      <c r="K5" s="12" t="s">
        <v>5</v>
      </c>
      <c r="L5" s="14" t="s">
        <v>8</v>
      </c>
      <c r="M5" s="8"/>
      <c r="N5" s="12" t="s">
        <v>9</v>
      </c>
      <c r="O5" s="12" t="s">
        <v>10</v>
      </c>
      <c r="P5" s="14" t="s">
        <v>11</v>
      </c>
    </row>
    <row r="6" spans="1:16">
      <c r="A6" s="15">
        <v>43101</v>
      </c>
      <c r="B6" s="16">
        <v>6771.125</v>
      </c>
      <c r="C6" s="16">
        <v>69</v>
      </c>
      <c r="D6" s="17">
        <v>852</v>
      </c>
      <c r="E6" s="17">
        <v>982</v>
      </c>
      <c r="F6" s="17">
        <v>10009</v>
      </c>
      <c r="G6" s="18">
        <f>B6+C6</f>
        <v>6840.125</v>
      </c>
      <c r="H6" s="129">
        <f>D6+E6+F6</f>
        <v>11843</v>
      </c>
      <c r="I6" s="15">
        <v>43101</v>
      </c>
      <c r="J6" s="20">
        <f>G6*200*0.06525</f>
        <v>89263.631250000006</v>
      </c>
      <c r="K6" s="21">
        <f>H6*0.06225*200</f>
        <v>147445.35</v>
      </c>
      <c r="L6" s="22">
        <f>SUM(J6:K6)</f>
        <v>236708.98125000001</v>
      </c>
      <c r="M6" s="15">
        <v>43101</v>
      </c>
      <c r="N6" s="23">
        <v>2099062</v>
      </c>
      <c r="O6" s="23">
        <v>435843</v>
      </c>
      <c r="P6" s="24">
        <f>SUM(N6:O6)</f>
        <v>2534905</v>
      </c>
    </row>
    <row r="7" spans="1:16">
      <c r="A7" s="15">
        <v>43132</v>
      </c>
      <c r="B7" s="16">
        <v>6761.1149999999998</v>
      </c>
      <c r="C7" s="16">
        <v>70</v>
      </c>
      <c r="D7" s="17">
        <v>722.26499999999999</v>
      </c>
      <c r="E7" s="17">
        <v>968</v>
      </c>
      <c r="F7" s="17">
        <v>11180.665000000001</v>
      </c>
      <c r="G7" s="18">
        <f t="shared" ref="G7:G17" si="0">B7+C7</f>
        <v>6831.1149999999998</v>
      </c>
      <c r="H7" s="129">
        <f t="shared" ref="H7:H17" si="1">D7+E7+F7</f>
        <v>12870.93</v>
      </c>
      <c r="I7" s="15">
        <v>43132</v>
      </c>
      <c r="J7" s="20">
        <f t="shared" ref="J7:J17" si="2">G7*200*0.06525</f>
        <v>89146.050750000009</v>
      </c>
      <c r="K7" s="21">
        <f t="shared" ref="K7:K17" si="3">H7*0.06225*200</f>
        <v>160243.0785</v>
      </c>
      <c r="L7" s="22">
        <f t="shared" ref="L7:L17" si="4">SUM(J7:K7)</f>
        <v>249389.12925</v>
      </c>
      <c r="M7" s="15">
        <v>43132</v>
      </c>
      <c r="N7" s="23">
        <v>2583035</v>
      </c>
      <c r="O7" s="23">
        <v>457613</v>
      </c>
      <c r="P7" s="24">
        <f t="shared" ref="P7:P17" si="5">SUM(N7:O7)</f>
        <v>3040648</v>
      </c>
    </row>
    <row r="8" spans="1:16">
      <c r="A8" s="15">
        <v>43160</v>
      </c>
      <c r="B8" s="16">
        <v>7005.4750000000004</v>
      </c>
      <c r="C8" s="16">
        <v>70</v>
      </c>
      <c r="D8" s="17">
        <v>708</v>
      </c>
      <c r="E8" s="17">
        <v>249</v>
      </c>
      <c r="F8" s="17">
        <v>10853</v>
      </c>
      <c r="G8" s="18">
        <f t="shared" si="0"/>
        <v>7075.4750000000004</v>
      </c>
      <c r="H8" s="129">
        <f t="shared" si="1"/>
        <v>11810</v>
      </c>
      <c r="I8" s="15">
        <v>43160</v>
      </c>
      <c r="J8" s="20">
        <f t="shared" si="2"/>
        <v>92334.94875000001</v>
      </c>
      <c r="K8" s="21">
        <f t="shared" si="3"/>
        <v>147034.5</v>
      </c>
      <c r="L8" s="22">
        <f t="shared" si="4"/>
        <v>239369.44875000001</v>
      </c>
      <c r="M8" s="15">
        <v>43160</v>
      </c>
      <c r="N8" s="23">
        <v>3751634</v>
      </c>
      <c r="O8" s="23">
        <v>394482</v>
      </c>
      <c r="P8" s="24">
        <f t="shared" si="5"/>
        <v>4146116</v>
      </c>
    </row>
    <row r="9" spans="1:16">
      <c r="A9" s="15">
        <v>43191</v>
      </c>
      <c r="B9" s="16">
        <v>6810.0950000000003</v>
      </c>
      <c r="C9" s="16">
        <v>70</v>
      </c>
      <c r="D9" s="17">
        <v>1099.4000000000001</v>
      </c>
      <c r="E9" s="17">
        <v>1806</v>
      </c>
      <c r="F9" s="17">
        <v>12043</v>
      </c>
      <c r="G9" s="18">
        <f t="shared" si="0"/>
        <v>6880.0950000000003</v>
      </c>
      <c r="H9" s="129">
        <f t="shared" si="1"/>
        <v>14948.4</v>
      </c>
      <c r="I9" s="15">
        <v>43191</v>
      </c>
      <c r="J9" s="20">
        <f t="shared" si="2"/>
        <v>89785.239750000008</v>
      </c>
      <c r="K9" s="21">
        <f t="shared" si="3"/>
        <v>186107.58</v>
      </c>
      <c r="L9" s="22">
        <f t="shared" si="4"/>
        <v>275892.81975000002</v>
      </c>
      <c r="M9" s="15">
        <v>43191</v>
      </c>
      <c r="N9" s="23">
        <v>3790460</v>
      </c>
      <c r="O9" s="23">
        <v>854798</v>
      </c>
      <c r="P9" s="24">
        <f t="shared" si="5"/>
        <v>4645258</v>
      </c>
    </row>
    <row r="10" spans="1:16">
      <c r="A10" s="15">
        <v>43221</v>
      </c>
      <c r="B10" s="16">
        <v>6616.63</v>
      </c>
      <c r="C10" s="16">
        <v>70</v>
      </c>
      <c r="D10" s="17">
        <v>676.46500000000003</v>
      </c>
      <c r="E10" s="17">
        <v>981</v>
      </c>
      <c r="F10" s="17">
        <v>10619</v>
      </c>
      <c r="G10" s="18">
        <f t="shared" si="0"/>
        <v>6686.63</v>
      </c>
      <c r="H10" s="129">
        <f t="shared" si="1"/>
        <v>12276.465</v>
      </c>
      <c r="I10" s="15">
        <v>43221</v>
      </c>
      <c r="J10" s="20">
        <f t="shared" si="2"/>
        <v>87260.521500000003</v>
      </c>
      <c r="K10" s="21">
        <f t="shared" si="3"/>
        <v>152841.98925000001</v>
      </c>
      <c r="L10" s="22">
        <f t="shared" si="4"/>
        <v>240102.51075000002</v>
      </c>
      <c r="M10" s="15">
        <v>43221</v>
      </c>
      <c r="N10" s="23">
        <v>4664218</v>
      </c>
      <c r="O10" s="23">
        <v>815070</v>
      </c>
      <c r="P10" s="24">
        <f t="shared" si="5"/>
        <v>5479288</v>
      </c>
    </row>
    <row r="11" spans="1:16">
      <c r="A11" s="15">
        <v>43252</v>
      </c>
      <c r="B11" s="16">
        <v>6851.32</v>
      </c>
      <c r="C11" s="16">
        <v>66.265000000000001</v>
      </c>
      <c r="D11" s="17">
        <v>932.16</v>
      </c>
      <c r="E11" s="17">
        <v>1151</v>
      </c>
      <c r="F11" s="17">
        <v>10999</v>
      </c>
      <c r="G11" s="18">
        <f t="shared" si="0"/>
        <v>6917.585</v>
      </c>
      <c r="H11" s="129">
        <f t="shared" si="1"/>
        <v>13082.16</v>
      </c>
      <c r="I11" s="15">
        <v>43252</v>
      </c>
      <c r="J11" s="20">
        <f t="shared" si="2"/>
        <v>90274.484250000009</v>
      </c>
      <c r="K11" s="21">
        <f t="shared" si="3"/>
        <v>162872.89199999999</v>
      </c>
      <c r="L11" s="22">
        <f t="shared" si="4"/>
        <v>253147.37625</v>
      </c>
      <c r="M11" s="15">
        <v>43252</v>
      </c>
      <c r="N11" s="23">
        <v>5853106</v>
      </c>
      <c r="O11" s="23">
        <v>926663</v>
      </c>
      <c r="P11" s="24">
        <f t="shared" si="5"/>
        <v>6779769</v>
      </c>
    </row>
    <row r="12" spans="1:16">
      <c r="A12" s="15">
        <v>43282</v>
      </c>
      <c r="B12" s="16">
        <v>6835.1949999999997</v>
      </c>
      <c r="C12" s="16">
        <v>64</v>
      </c>
      <c r="D12" s="17">
        <v>838.65499999999997</v>
      </c>
      <c r="E12" s="17">
        <v>1151</v>
      </c>
      <c r="F12" s="17">
        <v>12245.2</v>
      </c>
      <c r="G12" s="18">
        <f t="shared" si="0"/>
        <v>6899.1949999999997</v>
      </c>
      <c r="H12" s="129">
        <f t="shared" si="1"/>
        <v>14234.855000000001</v>
      </c>
      <c r="I12" s="15">
        <v>43282</v>
      </c>
      <c r="J12" s="20">
        <f t="shared" si="2"/>
        <v>90034.494749999998</v>
      </c>
      <c r="K12" s="21">
        <f t="shared" si="3"/>
        <v>177223.94475000002</v>
      </c>
      <c r="L12" s="22">
        <f t="shared" si="4"/>
        <v>267258.43950000004</v>
      </c>
      <c r="M12" s="15">
        <v>43282</v>
      </c>
      <c r="N12" s="23">
        <v>4379884</v>
      </c>
      <c r="O12" s="23">
        <v>1235167</v>
      </c>
      <c r="P12" s="24">
        <f t="shared" si="5"/>
        <v>5615051</v>
      </c>
    </row>
    <row r="13" spans="1:16">
      <c r="A13" s="15">
        <v>43313</v>
      </c>
      <c r="B13" s="16">
        <v>6800.48</v>
      </c>
      <c r="C13" s="16">
        <v>62.93</v>
      </c>
      <c r="D13" s="17">
        <v>898</v>
      </c>
      <c r="E13" s="17">
        <v>1151</v>
      </c>
      <c r="F13" s="17">
        <v>10100</v>
      </c>
      <c r="G13" s="18">
        <f t="shared" si="0"/>
        <v>6863.41</v>
      </c>
      <c r="H13" s="129">
        <f t="shared" si="1"/>
        <v>12149</v>
      </c>
      <c r="I13" s="15">
        <v>43313</v>
      </c>
      <c r="J13" s="20">
        <f t="shared" si="2"/>
        <v>89567.500500000009</v>
      </c>
      <c r="K13" s="21">
        <f t="shared" si="3"/>
        <v>151255.05000000002</v>
      </c>
      <c r="L13" s="22">
        <f t="shared" si="4"/>
        <v>240822.55050000001</v>
      </c>
      <c r="M13" s="15">
        <v>43313</v>
      </c>
      <c r="N13" s="23">
        <v>4470187</v>
      </c>
      <c r="O13" s="23">
        <v>735177</v>
      </c>
      <c r="P13" s="24">
        <f t="shared" si="5"/>
        <v>5205364</v>
      </c>
    </row>
    <row r="14" spans="1:16">
      <c r="A14" s="15">
        <v>43344</v>
      </c>
      <c r="B14" s="16">
        <v>6997.335</v>
      </c>
      <c r="C14" s="16">
        <v>65.599999999999994</v>
      </c>
      <c r="D14" s="17">
        <v>916</v>
      </c>
      <c r="E14" s="17">
        <v>1233.2</v>
      </c>
      <c r="F14" s="17">
        <v>10496.33</v>
      </c>
      <c r="G14" s="18">
        <f t="shared" si="0"/>
        <v>7062.9350000000004</v>
      </c>
      <c r="H14" s="129">
        <f t="shared" si="1"/>
        <v>12645.529999999999</v>
      </c>
      <c r="I14" s="15">
        <v>43344</v>
      </c>
      <c r="J14" s="20">
        <f t="shared" si="2"/>
        <v>92171.301749999999</v>
      </c>
      <c r="K14" s="21">
        <f t="shared" si="3"/>
        <v>157436.84849999996</v>
      </c>
      <c r="L14" s="22">
        <f t="shared" si="4"/>
        <v>249608.15024999995</v>
      </c>
      <c r="M14" s="15">
        <v>43344</v>
      </c>
      <c r="N14" s="23">
        <v>4243722</v>
      </c>
      <c r="O14" s="23">
        <v>1026513</v>
      </c>
      <c r="P14" s="24">
        <f t="shared" si="5"/>
        <v>5270235</v>
      </c>
    </row>
    <row r="15" spans="1:16">
      <c r="A15" s="15">
        <v>43374</v>
      </c>
      <c r="B15" s="16">
        <v>6820.6549999999997</v>
      </c>
      <c r="C15" s="16">
        <v>68</v>
      </c>
      <c r="D15" s="17">
        <v>893</v>
      </c>
      <c r="E15" s="17">
        <v>981</v>
      </c>
      <c r="F15" s="17">
        <v>11591</v>
      </c>
      <c r="G15" s="18">
        <f t="shared" si="0"/>
        <v>6888.6549999999997</v>
      </c>
      <c r="H15" s="129">
        <f t="shared" si="1"/>
        <v>13465</v>
      </c>
      <c r="I15" s="15">
        <v>43374</v>
      </c>
      <c r="J15" s="20">
        <f t="shared" si="2"/>
        <v>89896.947750000007</v>
      </c>
      <c r="K15" s="21">
        <f t="shared" si="3"/>
        <v>167639.25</v>
      </c>
      <c r="L15" s="22">
        <f t="shared" si="4"/>
        <v>257536.19774999999</v>
      </c>
      <c r="M15" s="15">
        <v>43374</v>
      </c>
      <c r="N15" s="23">
        <v>3035636</v>
      </c>
      <c r="O15" s="23">
        <v>369026</v>
      </c>
      <c r="P15" s="24">
        <f t="shared" si="5"/>
        <v>3404662</v>
      </c>
    </row>
    <row r="16" spans="1:16">
      <c r="A16" s="15">
        <v>43405</v>
      </c>
      <c r="B16" s="16">
        <v>6855.7449999999999</v>
      </c>
      <c r="C16" s="16">
        <v>56</v>
      </c>
      <c r="D16" s="17">
        <v>829.49</v>
      </c>
      <c r="E16" s="17">
        <v>981</v>
      </c>
      <c r="F16" s="17">
        <v>11412</v>
      </c>
      <c r="G16" s="18">
        <f t="shared" si="0"/>
        <v>6911.7449999999999</v>
      </c>
      <c r="H16" s="129">
        <f t="shared" si="1"/>
        <v>13222.49</v>
      </c>
      <c r="I16" s="15">
        <v>43405</v>
      </c>
      <c r="J16" s="20">
        <f t="shared" si="2"/>
        <v>90198.272250000009</v>
      </c>
      <c r="K16" s="21">
        <f t="shared" si="3"/>
        <v>164620.00049999999</v>
      </c>
      <c r="L16" s="22">
        <f t="shared" si="4"/>
        <v>254818.27275</v>
      </c>
      <c r="M16" s="15">
        <v>43405</v>
      </c>
      <c r="N16" s="23">
        <v>2405862</v>
      </c>
      <c r="O16" s="23">
        <v>365483</v>
      </c>
      <c r="P16" s="24">
        <f t="shared" si="5"/>
        <v>2771345</v>
      </c>
    </row>
    <row r="17" spans="1:19">
      <c r="A17" s="15">
        <v>43435</v>
      </c>
      <c r="B17" s="16">
        <v>6811.7250000000004</v>
      </c>
      <c r="C17" s="16">
        <v>49</v>
      </c>
      <c r="D17" s="17">
        <v>841.13</v>
      </c>
      <c r="E17" s="17">
        <v>1097</v>
      </c>
      <c r="F17" s="17">
        <v>11320</v>
      </c>
      <c r="G17" s="18">
        <f t="shared" si="0"/>
        <v>6860.7250000000004</v>
      </c>
      <c r="H17" s="129">
        <f t="shared" si="1"/>
        <v>13258.130000000001</v>
      </c>
      <c r="I17" s="15">
        <v>43435</v>
      </c>
      <c r="J17" s="20">
        <f t="shared" si="2"/>
        <v>89532.461250000008</v>
      </c>
      <c r="K17" s="21">
        <f t="shared" si="3"/>
        <v>165063.71850000002</v>
      </c>
      <c r="L17" s="22">
        <f t="shared" si="4"/>
        <v>254596.17975000001</v>
      </c>
      <c r="M17" s="15">
        <v>43435</v>
      </c>
      <c r="N17" s="23">
        <v>1347405</v>
      </c>
      <c r="O17" s="23">
        <v>271813</v>
      </c>
      <c r="P17" s="24">
        <f t="shared" si="5"/>
        <v>1619218</v>
      </c>
    </row>
    <row r="18" spans="1:19">
      <c r="A18" s="26" t="s">
        <v>12</v>
      </c>
      <c r="B18" s="27">
        <f>SUM(B6:B17)</f>
        <v>81936.895000000004</v>
      </c>
      <c r="C18" s="27">
        <f t="shared" ref="C18:H18" si="6">SUM(C6:C17)</f>
        <v>780.79499999999996</v>
      </c>
      <c r="D18" s="27">
        <f t="shared" si="6"/>
        <v>10206.564999999999</v>
      </c>
      <c r="E18" s="27">
        <f t="shared" si="6"/>
        <v>12731.2</v>
      </c>
      <c r="F18" s="27">
        <f t="shared" si="6"/>
        <v>132868.19500000001</v>
      </c>
      <c r="G18" s="27">
        <f t="shared" si="6"/>
        <v>82717.69</v>
      </c>
      <c r="H18" s="130">
        <f t="shared" si="6"/>
        <v>155805.96</v>
      </c>
      <c r="I18" s="28"/>
      <c r="J18" s="29"/>
      <c r="K18" s="29"/>
      <c r="L18" s="30"/>
      <c r="M18" s="31"/>
      <c r="N18" s="32"/>
      <c r="O18" s="33"/>
      <c r="P18" s="7"/>
    </row>
    <row r="19" spans="1:19">
      <c r="A19" s="34" t="s">
        <v>11</v>
      </c>
      <c r="B19" s="35">
        <f>B18*200</f>
        <v>16387379</v>
      </c>
      <c r="C19" s="35">
        <f t="shared" ref="C19:H19" si="7">C18*200</f>
        <v>156159</v>
      </c>
      <c r="D19" s="35">
        <f t="shared" si="7"/>
        <v>2041312.9999999998</v>
      </c>
      <c r="E19" s="35">
        <f t="shared" si="7"/>
        <v>2546240</v>
      </c>
      <c r="F19" s="35">
        <f t="shared" si="7"/>
        <v>26573639</v>
      </c>
      <c r="G19" s="35">
        <f t="shared" si="7"/>
        <v>16543538</v>
      </c>
      <c r="H19" s="36">
        <f t="shared" si="7"/>
        <v>31161192</v>
      </c>
      <c r="I19" s="37" t="s">
        <v>8</v>
      </c>
      <c r="J19" s="38">
        <f>SUM(J6:J18)</f>
        <v>1079465.8544999999</v>
      </c>
      <c r="K19" s="38">
        <f>SUM(K6:K18)</f>
        <v>1939784.202</v>
      </c>
      <c r="L19" s="39">
        <f>SUM(L6:L17)</f>
        <v>3019250.0564999999</v>
      </c>
      <c r="M19" s="12" t="s">
        <v>11</v>
      </c>
      <c r="N19" s="40">
        <f>SUM(N6:N18)</f>
        <v>42624211</v>
      </c>
      <c r="O19" s="40">
        <f>SUM(O6:O18)</f>
        <v>7887648</v>
      </c>
      <c r="P19" s="41">
        <f>SUM(P6:P17)</f>
        <v>50511859</v>
      </c>
    </row>
    <row r="20" spans="1:19" ht="15.75" thickBot="1">
      <c r="A20" s="42"/>
      <c r="C20" s="43"/>
      <c r="D20" s="44"/>
      <c r="E20" s="29"/>
      <c r="F20" s="45"/>
      <c r="G20" s="46" t="s">
        <v>13</v>
      </c>
      <c r="H20" s="47">
        <f>G19+H19</f>
        <v>47704730</v>
      </c>
      <c r="I20" s="48"/>
      <c r="J20" s="49"/>
      <c r="K20" s="33"/>
      <c r="L20" s="33"/>
      <c r="M20" s="31"/>
      <c r="N20" s="32"/>
      <c r="O20" s="33"/>
      <c r="P20" s="50"/>
      <c r="S20" s="155"/>
    </row>
    <row r="21" spans="1:19" ht="20.25" thickBot="1">
      <c r="A21" s="281" t="s">
        <v>75</v>
      </c>
      <c r="B21" s="282"/>
      <c r="C21" s="283"/>
      <c r="D21" s="283"/>
      <c r="E21" s="283"/>
      <c r="F21" s="283"/>
      <c r="G21" s="283"/>
      <c r="H21" s="283"/>
      <c r="I21" s="283"/>
      <c r="J21" s="283"/>
      <c r="K21" s="283"/>
      <c r="L21" s="283"/>
      <c r="M21" s="283"/>
      <c r="N21" s="283"/>
      <c r="O21" s="283"/>
      <c r="P21" s="284"/>
    </row>
    <row r="22" spans="1:19">
      <c r="B22" s="256" t="s">
        <v>14</v>
      </c>
      <c r="C22" s="257"/>
      <c r="D22" s="257"/>
      <c r="E22" s="257"/>
      <c r="F22" s="257"/>
      <c r="G22" s="258"/>
      <c r="H22" s="285" t="s">
        <v>15</v>
      </c>
      <c r="I22" s="286"/>
      <c r="J22" s="286"/>
      <c r="K22" s="287"/>
    </row>
    <row r="23" spans="1:19">
      <c r="B23" s="288" t="s">
        <v>16</v>
      </c>
      <c r="C23" s="289"/>
      <c r="D23" s="289" t="s">
        <v>17</v>
      </c>
      <c r="E23" s="289"/>
      <c r="F23" s="68" t="s">
        <v>18</v>
      </c>
      <c r="G23" s="55" t="s">
        <v>19</v>
      </c>
      <c r="H23" s="56" t="s">
        <v>20</v>
      </c>
      <c r="I23" s="56" t="s">
        <v>21</v>
      </c>
      <c r="J23" s="56" t="s">
        <v>22</v>
      </c>
      <c r="K23" s="57" t="s">
        <v>23</v>
      </c>
      <c r="L23" s="93" t="s">
        <v>24</v>
      </c>
      <c r="M23" s="95" t="s">
        <v>26</v>
      </c>
      <c r="N23" s="131" t="s">
        <v>27</v>
      </c>
    </row>
    <row r="24" spans="1:19">
      <c r="A24" s="58">
        <v>2015</v>
      </c>
      <c r="B24" s="265">
        <v>14403.35</v>
      </c>
      <c r="C24" s="265"/>
      <c r="D24" s="265"/>
      <c r="E24" s="265"/>
      <c r="F24" s="59"/>
      <c r="G24" s="69">
        <f>B24+E24+F24</f>
        <v>14403.35</v>
      </c>
      <c r="H24" s="60"/>
      <c r="I24" s="60">
        <v>7279.47</v>
      </c>
      <c r="J24" s="60"/>
      <c r="K24" s="77">
        <f t="shared" ref="K24" si="8">H24+I24+J24</f>
        <v>7279.47</v>
      </c>
      <c r="L24" s="92">
        <f t="shared" ref="L24" si="9">K24+G24</f>
        <v>21682.82</v>
      </c>
      <c r="M24" s="94">
        <v>48000</v>
      </c>
      <c r="N24" s="132">
        <f>M24-L24</f>
        <v>26317.18</v>
      </c>
    </row>
    <row r="25" spans="1:1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32">
        <v>273572.71999999997</v>
      </c>
    </row>
    <row r="26" spans="1:1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32">
        <v>310176.08</v>
      </c>
    </row>
    <row r="27" spans="1:19">
      <c r="A27" s="15">
        <v>43101</v>
      </c>
      <c r="B27" s="263">
        <v>5606.5</v>
      </c>
      <c r="C27" s="263"/>
      <c r="D27" s="267"/>
      <c r="E27" s="267"/>
      <c r="F27" s="67"/>
      <c r="G27" s="114">
        <f t="shared" ref="G27:G38" si="10">B27+D27+F27</f>
        <v>5606.5</v>
      </c>
      <c r="H27" s="29"/>
      <c r="I27" s="62"/>
      <c r="J27" s="62">
        <v>10276.75</v>
      </c>
      <c r="K27" s="80">
        <f>H27+I27+J27</f>
        <v>10276.75</v>
      </c>
      <c r="L27" s="74">
        <f>K27+G27</f>
        <v>15883.25</v>
      </c>
      <c r="M27" s="89">
        <v>51000</v>
      </c>
      <c r="N27" s="132">
        <f t="shared" ref="N27:N38" si="11">M27-L27</f>
        <v>35116.75</v>
      </c>
    </row>
    <row r="28" spans="1:19">
      <c r="A28" s="15">
        <v>43132</v>
      </c>
      <c r="B28" s="263">
        <v>5211</v>
      </c>
      <c r="C28" s="263"/>
      <c r="D28" s="263"/>
      <c r="E28" s="263"/>
      <c r="F28" s="67"/>
      <c r="G28" s="115">
        <f t="shared" si="10"/>
        <v>5211</v>
      </c>
      <c r="H28" s="29">
        <v>75</v>
      </c>
      <c r="I28" s="62"/>
      <c r="J28" s="62"/>
      <c r="K28" s="80">
        <f>H28+I28+J28</f>
        <v>75</v>
      </c>
      <c r="L28" s="74">
        <f>K28+G28</f>
        <v>5286</v>
      </c>
      <c r="M28" s="89">
        <v>51000</v>
      </c>
      <c r="N28" s="132">
        <f t="shared" si="11"/>
        <v>45714</v>
      </c>
    </row>
    <row r="29" spans="1:19">
      <c r="A29" s="15">
        <v>43160</v>
      </c>
      <c r="B29" s="263">
        <v>4399.5</v>
      </c>
      <c r="C29" s="263"/>
      <c r="D29" s="263"/>
      <c r="E29" s="263"/>
      <c r="F29" s="67"/>
      <c r="G29" s="115">
        <f t="shared" si="10"/>
        <v>4399.5</v>
      </c>
      <c r="H29" s="29"/>
      <c r="I29" s="62">
        <v>63.3</v>
      </c>
      <c r="J29" s="62">
        <v>12492.25</v>
      </c>
      <c r="K29" s="80">
        <f>H29+I29+J29</f>
        <v>12555.55</v>
      </c>
      <c r="L29" s="74">
        <f>K29+G29</f>
        <v>16955.05</v>
      </c>
      <c r="M29" s="89">
        <v>51000</v>
      </c>
      <c r="N29" s="132">
        <f t="shared" si="11"/>
        <v>34044.949999999997</v>
      </c>
    </row>
    <row r="30" spans="1:19">
      <c r="A30" s="15">
        <v>43191</v>
      </c>
      <c r="B30" s="263">
        <v>5935</v>
      </c>
      <c r="C30" s="263"/>
      <c r="D30" s="263">
        <v>0</v>
      </c>
      <c r="E30" s="263"/>
      <c r="F30" s="67"/>
      <c r="G30" s="115">
        <f t="shared" si="10"/>
        <v>5935</v>
      </c>
      <c r="H30" s="29">
        <v>1195.6199999999999</v>
      </c>
      <c r="I30" s="62">
        <v>9204.25</v>
      </c>
      <c r="J30" s="62">
        <v>5114</v>
      </c>
      <c r="K30" s="80">
        <f>H30+I30+J30</f>
        <v>15513.869999999999</v>
      </c>
      <c r="L30" s="74">
        <f>K30+G30</f>
        <v>21448.87</v>
      </c>
      <c r="M30" s="89">
        <v>51000</v>
      </c>
      <c r="N30" s="132">
        <f t="shared" si="11"/>
        <v>29551.13</v>
      </c>
    </row>
    <row r="31" spans="1:19">
      <c r="A31" s="15">
        <v>43221</v>
      </c>
      <c r="B31" s="263">
        <v>2860</v>
      </c>
      <c r="C31" s="263"/>
      <c r="D31" s="263"/>
      <c r="E31" s="263"/>
      <c r="F31" s="67"/>
      <c r="G31" s="115">
        <f t="shared" si="10"/>
        <v>2860</v>
      </c>
      <c r="H31" s="29">
        <v>1325.09</v>
      </c>
      <c r="I31" s="62">
        <v>15.83</v>
      </c>
      <c r="J31" s="62">
        <v>7092.25</v>
      </c>
      <c r="K31" s="80">
        <f>H31+I31+J31</f>
        <v>8433.17</v>
      </c>
      <c r="L31" s="74">
        <f t="shared" ref="L31:L38" si="12">K31+G31</f>
        <v>11293.17</v>
      </c>
      <c r="M31" s="89">
        <v>51000</v>
      </c>
      <c r="N31" s="132">
        <f t="shared" si="11"/>
        <v>39706.83</v>
      </c>
    </row>
    <row r="32" spans="1:19">
      <c r="A32" s="15">
        <v>43252</v>
      </c>
      <c r="B32" s="263">
        <v>6240.74</v>
      </c>
      <c r="C32" s="263"/>
      <c r="D32" s="263">
        <v>0</v>
      </c>
      <c r="E32" s="263"/>
      <c r="F32" s="67"/>
      <c r="G32" s="115">
        <f t="shared" si="10"/>
        <v>6240.74</v>
      </c>
      <c r="H32" s="29">
        <v>200</v>
      </c>
      <c r="I32" s="62">
        <v>1190.45</v>
      </c>
      <c r="J32" s="62">
        <v>2928</v>
      </c>
      <c r="K32" s="80">
        <f t="shared" ref="K32:K38" si="13">H32+I32+J32</f>
        <v>4318.45</v>
      </c>
      <c r="L32" s="74">
        <f t="shared" si="12"/>
        <v>10559.189999999999</v>
      </c>
      <c r="M32" s="89">
        <v>51000</v>
      </c>
      <c r="N32" s="132">
        <f t="shared" si="11"/>
        <v>40440.81</v>
      </c>
    </row>
    <row r="33" spans="1:14">
      <c r="A33" s="15">
        <v>43282</v>
      </c>
      <c r="B33" s="263">
        <v>5600</v>
      </c>
      <c r="C33" s="263"/>
      <c r="D33" s="263">
        <v>0</v>
      </c>
      <c r="E33" s="263"/>
      <c r="F33" s="67"/>
      <c r="G33" s="115">
        <f t="shared" si="10"/>
        <v>5600</v>
      </c>
      <c r="H33" s="29">
        <v>1701.65</v>
      </c>
      <c r="I33" s="62">
        <v>170</v>
      </c>
      <c r="J33" s="62">
        <v>10164.25</v>
      </c>
      <c r="K33" s="80">
        <f t="shared" si="13"/>
        <v>12035.9</v>
      </c>
      <c r="L33" s="74">
        <f t="shared" si="12"/>
        <v>17635.900000000001</v>
      </c>
      <c r="M33" s="89">
        <v>51000</v>
      </c>
      <c r="N33" s="132">
        <f t="shared" si="11"/>
        <v>33364.1</v>
      </c>
    </row>
    <row r="34" spans="1:14">
      <c r="A34" s="15">
        <v>43313</v>
      </c>
      <c r="B34" s="263">
        <v>7889.13</v>
      </c>
      <c r="C34" s="263"/>
      <c r="D34" s="263">
        <v>8604.2000000000007</v>
      </c>
      <c r="E34" s="263"/>
      <c r="F34" s="67"/>
      <c r="G34" s="115">
        <f t="shared" si="10"/>
        <v>16493.330000000002</v>
      </c>
      <c r="H34" s="29">
        <v>272.8</v>
      </c>
      <c r="I34" s="62">
        <v>0</v>
      </c>
      <c r="J34" s="62">
        <v>1040</v>
      </c>
      <c r="K34" s="80">
        <f t="shared" si="13"/>
        <v>1312.8</v>
      </c>
      <c r="L34" s="74">
        <f t="shared" si="12"/>
        <v>17806.13</v>
      </c>
      <c r="M34" s="89">
        <v>51000</v>
      </c>
      <c r="N34" s="132">
        <f t="shared" si="11"/>
        <v>33193.869999999995</v>
      </c>
    </row>
    <row r="35" spans="1:14">
      <c r="A35" s="15">
        <v>43344</v>
      </c>
      <c r="B35" s="263">
        <v>2418</v>
      </c>
      <c r="C35" s="263"/>
      <c r="D35" s="263">
        <v>204.06</v>
      </c>
      <c r="E35" s="263"/>
      <c r="F35" s="67"/>
      <c r="G35" s="115">
        <f t="shared" si="10"/>
        <v>2622.06</v>
      </c>
      <c r="H35" s="29">
        <v>0</v>
      </c>
      <c r="I35" s="62">
        <v>0</v>
      </c>
      <c r="J35" s="62">
        <v>8649.75</v>
      </c>
      <c r="K35" s="80">
        <f t="shared" si="13"/>
        <v>8649.75</v>
      </c>
      <c r="L35" s="74">
        <f t="shared" si="12"/>
        <v>11271.81</v>
      </c>
      <c r="M35" s="89">
        <v>51000</v>
      </c>
      <c r="N35" s="132">
        <f t="shared" si="11"/>
        <v>39728.19</v>
      </c>
    </row>
    <row r="36" spans="1:14">
      <c r="A36" s="15">
        <v>43374</v>
      </c>
      <c r="B36" s="263">
        <v>2687.74</v>
      </c>
      <c r="C36" s="263"/>
      <c r="D36" s="263">
        <v>0</v>
      </c>
      <c r="E36" s="263"/>
      <c r="F36" s="67"/>
      <c r="G36" s="115">
        <f t="shared" si="10"/>
        <v>2687.74</v>
      </c>
      <c r="H36" s="29">
        <v>799.7</v>
      </c>
      <c r="I36" s="62">
        <v>0</v>
      </c>
      <c r="J36" s="62">
        <v>17086.5</v>
      </c>
      <c r="K36" s="80">
        <f t="shared" si="13"/>
        <v>17886.2</v>
      </c>
      <c r="L36" s="74">
        <f t="shared" si="12"/>
        <v>20573.940000000002</v>
      </c>
      <c r="M36" s="89">
        <v>51000</v>
      </c>
      <c r="N36" s="132">
        <f t="shared" si="11"/>
        <v>30426.059999999998</v>
      </c>
    </row>
    <row r="37" spans="1:14">
      <c r="A37" s="15">
        <v>43405</v>
      </c>
      <c r="B37" s="263">
        <v>5867.28</v>
      </c>
      <c r="C37" s="263"/>
      <c r="D37" s="263">
        <v>0</v>
      </c>
      <c r="E37" s="263"/>
      <c r="F37" s="67"/>
      <c r="G37" s="115">
        <f t="shared" si="10"/>
        <v>5867.28</v>
      </c>
      <c r="H37" s="29">
        <v>0</v>
      </c>
      <c r="I37" s="62">
        <v>0</v>
      </c>
      <c r="J37" s="62">
        <v>0</v>
      </c>
      <c r="K37" s="80">
        <f t="shared" si="13"/>
        <v>0</v>
      </c>
      <c r="L37" s="74">
        <f t="shared" si="12"/>
        <v>5867.28</v>
      </c>
      <c r="M37" s="89">
        <v>51000</v>
      </c>
      <c r="N37" s="132">
        <f t="shared" si="11"/>
        <v>45132.72</v>
      </c>
    </row>
    <row r="38" spans="1:14">
      <c r="A38" s="15">
        <v>43435</v>
      </c>
      <c r="B38" s="263">
        <v>137.5</v>
      </c>
      <c r="C38" s="263"/>
      <c r="D38" s="263">
        <v>0</v>
      </c>
      <c r="E38" s="263"/>
      <c r="F38" s="67"/>
      <c r="G38" s="116">
        <f t="shared" si="10"/>
        <v>137.5</v>
      </c>
      <c r="H38" s="29">
        <v>7708.57</v>
      </c>
      <c r="I38" s="62">
        <v>0</v>
      </c>
      <c r="J38" s="62">
        <v>8559.82</v>
      </c>
      <c r="K38" s="80">
        <f t="shared" si="13"/>
        <v>16268.39</v>
      </c>
      <c r="L38" s="74">
        <f t="shared" si="12"/>
        <v>16405.89</v>
      </c>
      <c r="M38" s="89">
        <v>51000</v>
      </c>
      <c r="N38" s="132">
        <f t="shared" si="11"/>
        <v>34594.11</v>
      </c>
    </row>
    <row r="39" spans="1:14">
      <c r="A39" s="58">
        <v>2018</v>
      </c>
      <c r="B39" s="265">
        <f>SUM(B27:B38)</f>
        <v>54852.389999999992</v>
      </c>
      <c r="C39" s="265"/>
      <c r="D39" s="265">
        <f>SUM(D27:D38)</f>
        <v>8808.26</v>
      </c>
      <c r="E39" s="265"/>
      <c r="F39" s="59">
        <f t="shared" ref="F39:L39" si="14">SUM(F27:F38)</f>
        <v>0</v>
      </c>
      <c r="G39" s="71">
        <f t="shared" si="14"/>
        <v>63660.649999999994</v>
      </c>
      <c r="H39" s="64">
        <f t="shared" si="14"/>
        <v>13278.43</v>
      </c>
      <c r="I39" s="63">
        <f t="shared" si="14"/>
        <v>10643.83</v>
      </c>
      <c r="J39" s="63">
        <f t="shared" si="14"/>
        <v>83403.570000000007</v>
      </c>
      <c r="K39" s="79">
        <f t="shared" si="14"/>
        <v>107325.82999999999</v>
      </c>
      <c r="L39" s="90">
        <f t="shared" si="14"/>
        <v>170986.47999999998</v>
      </c>
      <c r="M39" s="91">
        <f>SUM(M27:M38)</f>
        <v>612000</v>
      </c>
      <c r="N39" s="132">
        <f t="shared" ref="N39" si="15">M39-L39</f>
        <v>441013.52</v>
      </c>
    </row>
    <row r="40" spans="1:14">
      <c r="B40" s="54"/>
      <c r="F40" s="54"/>
      <c r="G40" s="84"/>
      <c r="H40" s="54"/>
      <c r="I40" s="54"/>
      <c r="J40" s="54"/>
      <c r="K40" s="86"/>
      <c r="L40" s="82"/>
      <c r="M40" s="88"/>
      <c r="N40" s="88"/>
    </row>
    <row r="41" spans="1:14">
      <c r="A41" s="66" t="s">
        <v>25</v>
      </c>
      <c r="B41" s="255">
        <f>B24+B25+B26+B39</f>
        <v>280857.92000000004</v>
      </c>
      <c r="C41" s="255"/>
      <c r="D41" s="255">
        <f>D24+D25+D26+D39</f>
        <v>48432.959999999999</v>
      </c>
      <c r="E41" s="255"/>
      <c r="F41" s="89">
        <f>F26+F25+F24+F39</f>
        <v>853492.26</v>
      </c>
      <c r="G41" s="85">
        <f>G24+G25+G26+G39</f>
        <v>1182783.1399999999</v>
      </c>
      <c r="H41" s="89">
        <f>H26+H25+H24+H39</f>
        <v>164254.60999999999</v>
      </c>
      <c r="I41" s="89">
        <f>I26+I25+I24+I39</f>
        <v>45575.43</v>
      </c>
      <c r="J41" s="89">
        <f>J26+J25+J24+J39</f>
        <v>348307.32</v>
      </c>
      <c r="K41" s="89">
        <f>K26+K25+K24+K39</f>
        <v>558137.35999999987</v>
      </c>
      <c r="L41" s="83">
        <f>L24+L25+L26+L39</f>
        <v>1740920.5</v>
      </c>
      <c r="M41" s="89">
        <f>M26+M25+M24+M39</f>
        <v>2792000</v>
      </c>
      <c r="N41" s="89">
        <f>N26+N25+N24+N39</f>
        <v>1051079.5</v>
      </c>
    </row>
    <row r="42" spans="1:14">
      <c r="M42" s="46" t="s">
        <v>50</v>
      </c>
      <c r="N42" s="89">
        <f>N41-B45-B46-B47-B48+B50+B51</f>
        <v>927251.32000000007</v>
      </c>
    </row>
    <row r="43" spans="1:14">
      <c r="M43" s="46"/>
      <c r="N43" s="89"/>
    </row>
    <row r="44" spans="1:14" ht="15" customHeight="1">
      <c r="A44" s="259" t="s">
        <v>28</v>
      </c>
      <c r="B44" s="260"/>
      <c r="D44" s="291" t="s">
        <v>40</v>
      </c>
      <c r="E44" s="292"/>
      <c r="F44" s="292"/>
      <c r="G44" s="292"/>
    </row>
    <row r="45" spans="1:14" ht="15" customHeight="1">
      <c r="A45" s="97">
        <v>2015</v>
      </c>
      <c r="B45" s="65">
        <v>40.200000000000003</v>
      </c>
      <c r="D45" s="118"/>
      <c r="E45" s="119"/>
      <c r="F45" s="119"/>
      <c r="G45" s="120"/>
    </row>
    <row r="46" spans="1:14" ht="15" customHeight="1">
      <c r="A46" s="109">
        <v>2016</v>
      </c>
      <c r="B46" s="61">
        <v>32832.730000000003</v>
      </c>
      <c r="D46" s="42"/>
      <c r="E46" s="106">
        <v>2017</v>
      </c>
      <c r="F46" s="106">
        <v>2018</v>
      </c>
      <c r="G46" s="124" t="s">
        <v>48</v>
      </c>
    </row>
    <row r="47" spans="1:14" ht="15" customHeight="1">
      <c r="A47" s="109">
        <v>2017</v>
      </c>
      <c r="B47" s="61">
        <v>58533.86</v>
      </c>
      <c r="D47" s="15" t="s">
        <v>83</v>
      </c>
      <c r="E47" s="117">
        <v>71641.881599999993</v>
      </c>
      <c r="F47" s="117">
        <v>133647.984</v>
      </c>
      <c r="G47" s="125">
        <f>SUM(E47:F47)</f>
        <v>205289.86559999999</v>
      </c>
    </row>
    <row r="48" spans="1:14" ht="15" customHeight="1">
      <c r="A48" s="109">
        <v>2018</v>
      </c>
      <c r="B48" s="61">
        <v>66021.39</v>
      </c>
      <c r="D48" s="15" t="s">
        <v>84</v>
      </c>
      <c r="E48" s="117">
        <v>103217.232</v>
      </c>
      <c r="F48" s="117">
        <v>160511.21</v>
      </c>
      <c r="G48" s="125">
        <f t="shared" ref="G48:G58" si="16">SUM(E48:F48)</f>
        <v>263728.44199999998</v>
      </c>
    </row>
    <row r="49" spans="1:7" ht="15" customHeight="1">
      <c r="A49" s="293" t="s">
        <v>29</v>
      </c>
      <c r="B49" s="294"/>
      <c r="D49" s="15" t="s">
        <v>85</v>
      </c>
      <c r="E49" s="117">
        <v>184422.94560000001</v>
      </c>
      <c r="F49" s="117">
        <v>218879.92480000001</v>
      </c>
      <c r="G49" s="125">
        <f t="shared" si="16"/>
        <v>403302.87040000001</v>
      </c>
    </row>
    <row r="50" spans="1:7" ht="15" customHeight="1">
      <c r="A50" s="110">
        <v>2017</v>
      </c>
      <c r="B50" s="111">
        <v>16050</v>
      </c>
      <c r="D50" s="15" t="s">
        <v>86</v>
      </c>
      <c r="E50" s="117">
        <v>240114.48480000001</v>
      </c>
      <c r="F50" s="117">
        <v>245234.62239999999</v>
      </c>
      <c r="G50" s="125">
        <f t="shared" si="16"/>
        <v>485349.10719999997</v>
      </c>
    </row>
    <row r="51" spans="1:7" ht="15" customHeight="1">
      <c r="A51" s="121">
        <v>2018</v>
      </c>
      <c r="B51" s="122">
        <v>17550</v>
      </c>
      <c r="D51" s="15" t="s">
        <v>87</v>
      </c>
      <c r="E51" s="117">
        <v>307594.83840000001</v>
      </c>
      <c r="F51" s="117">
        <v>289271.40639999998</v>
      </c>
      <c r="G51" s="125">
        <f t="shared" si="16"/>
        <v>596866.24479999999</v>
      </c>
    </row>
    <row r="52" spans="1:7" ht="15" customHeight="1">
      <c r="D52" s="15" t="s">
        <v>88</v>
      </c>
      <c r="E52" s="117">
        <v>343369.848</v>
      </c>
      <c r="F52" s="117">
        <v>357936.80320000002</v>
      </c>
      <c r="G52" s="125">
        <f t="shared" si="16"/>
        <v>701306.65119999996</v>
      </c>
    </row>
    <row r="53" spans="1:7" ht="15" customHeight="1">
      <c r="D53" s="15" t="s">
        <v>89</v>
      </c>
      <c r="E53" s="117">
        <v>294802.82400000002</v>
      </c>
      <c r="F53" s="117">
        <v>296439.69280000002</v>
      </c>
      <c r="G53" s="125">
        <f t="shared" si="16"/>
        <v>591242.5168000001</v>
      </c>
    </row>
    <row r="54" spans="1:7" ht="15" customHeight="1">
      <c r="D54" s="15" t="s">
        <v>90</v>
      </c>
      <c r="E54" s="117">
        <v>276616.23360000004</v>
      </c>
      <c r="F54" s="117">
        <v>274808.21919999999</v>
      </c>
      <c r="G54" s="125">
        <f t="shared" si="16"/>
        <v>551424.45280000009</v>
      </c>
    </row>
    <row r="55" spans="1:7" ht="15" customHeight="1">
      <c r="D55" s="15" t="s">
        <v>91</v>
      </c>
      <c r="E55" s="117">
        <v>224961.41279999999</v>
      </c>
      <c r="F55" s="117">
        <v>278233.408</v>
      </c>
      <c r="G55" s="125">
        <f t="shared" si="16"/>
        <v>503194.82079999999</v>
      </c>
    </row>
    <row r="56" spans="1:7" ht="15" customHeight="1">
      <c r="D56" s="15" t="s">
        <v>92</v>
      </c>
      <c r="E56" s="117">
        <v>227837.5344</v>
      </c>
      <c r="F56" s="117">
        <v>179731.15359999999</v>
      </c>
      <c r="G56" s="125">
        <f t="shared" si="16"/>
        <v>407568.68799999997</v>
      </c>
    </row>
    <row r="57" spans="1:7" ht="15" customHeight="1">
      <c r="D57" s="15" t="s">
        <v>93</v>
      </c>
      <c r="E57" s="117">
        <v>136140.03840000002</v>
      </c>
      <c r="F57" s="117">
        <v>146292.016</v>
      </c>
      <c r="G57" s="125">
        <f t="shared" si="16"/>
        <v>282432.05440000002</v>
      </c>
    </row>
    <row r="58" spans="1:7" ht="15" customHeight="1">
      <c r="D58" s="15" t="s">
        <v>94</v>
      </c>
      <c r="E58" s="117">
        <v>129102.16799999999</v>
      </c>
      <c r="F58" s="117">
        <v>85459.71</v>
      </c>
      <c r="G58" s="125">
        <f t="shared" si="16"/>
        <v>214561.878</v>
      </c>
    </row>
    <row r="59" spans="1:7" ht="15" customHeight="1">
      <c r="D59" s="42"/>
      <c r="G59" s="50"/>
    </row>
    <row r="60" spans="1:7" ht="15" customHeight="1">
      <c r="D60" s="107" t="s">
        <v>45</v>
      </c>
      <c r="E60" s="108">
        <f>SUM(E47:E59)</f>
        <v>2539821.4416</v>
      </c>
      <c r="F60" s="108">
        <f>SUM(F47:F59)</f>
        <v>2666446.1503999997</v>
      </c>
      <c r="G60" s="126">
        <f>SUM(G47:G59)</f>
        <v>5206267.5919999992</v>
      </c>
    </row>
  </sheetData>
  <mergeCells count="49">
    <mergeCell ref="B24:C24"/>
    <mergeCell ref="D24:E24"/>
    <mergeCell ref="A1:P1"/>
    <mergeCell ref="A3:H3"/>
    <mergeCell ref="I3:L3"/>
    <mergeCell ref="M3:P3"/>
    <mergeCell ref="B4:C4"/>
    <mergeCell ref="D4:F4"/>
    <mergeCell ref="G4:H4"/>
    <mergeCell ref="A21:P21"/>
    <mergeCell ref="B22:G22"/>
    <mergeCell ref="H22:K22"/>
    <mergeCell ref="B23:C23"/>
    <mergeCell ref="D23:E23"/>
    <mergeCell ref="B25:C25"/>
    <mergeCell ref="D25:E25"/>
    <mergeCell ref="B26:C26"/>
    <mergeCell ref="D26:E26"/>
    <mergeCell ref="B41:C41"/>
    <mergeCell ref="D41:E41"/>
    <mergeCell ref="B33:C33"/>
    <mergeCell ref="B34:C34"/>
    <mergeCell ref="B35:C35"/>
    <mergeCell ref="B36:C36"/>
    <mergeCell ref="D39:E39"/>
    <mergeCell ref="D27:E27"/>
    <mergeCell ref="D28:E28"/>
    <mergeCell ref="D29:E29"/>
    <mergeCell ref="D30:E30"/>
    <mergeCell ref="D31:E31"/>
    <mergeCell ref="A44:B44"/>
    <mergeCell ref="A49:B49"/>
    <mergeCell ref="B27:C27"/>
    <mergeCell ref="B28:C28"/>
    <mergeCell ref="B29:C29"/>
    <mergeCell ref="B30:C30"/>
    <mergeCell ref="B31:C31"/>
    <mergeCell ref="B32:C32"/>
    <mergeCell ref="B37:C37"/>
    <mergeCell ref="B38:C38"/>
    <mergeCell ref="B39:C39"/>
    <mergeCell ref="D32:E32"/>
    <mergeCell ref="D44:G44"/>
    <mergeCell ref="D33:E33"/>
    <mergeCell ref="D34:E34"/>
    <mergeCell ref="D35:E35"/>
    <mergeCell ref="D36:E36"/>
    <mergeCell ref="D37:E37"/>
    <mergeCell ref="D38:E38"/>
  </mergeCells>
  <conditionalFormatting sqref="N24:N41">
    <cfRule type="colorScale" priority="17">
      <colorScale>
        <cfvo type="min"/>
        <cfvo type="max"/>
        <color rgb="FFFCFCFF"/>
        <color rgb="FF63BE7B"/>
      </colorScale>
    </cfRule>
  </conditionalFormatting>
  <conditionalFormatting sqref="N42:N43">
    <cfRule type="colorScale" priority="1">
      <colorScale>
        <cfvo type="min"/>
        <cfvo type="max"/>
        <color rgb="FFFCFCFF"/>
        <color rgb="FF63BE7B"/>
      </colorScale>
    </cfRule>
  </conditionalFormatting>
  <pageMargins left="0.7" right="0.7" top="0.75" bottom="0.75" header="0.3" footer="0.3"/>
  <pageSetup paperSize="3"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61"/>
  <sheetViews>
    <sheetView showGridLines="0" zoomScale="80" zoomScaleNormal="80" workbookViewId="0">
      <selection activeCell="S10" sqref="S10"/>
    </sheetView>
  </sheetViews>
  <sheetFormatPr defaultRowHeight="15"/>
  <cols>
    <col min="1" max="1" width="14.85546875" bestFit="1" customWidth="1"/>
    <col min="2" max="2" width="11" bestFit="1" customWidth="1"/>
    <col min="3" max="3" width="7.5703125" bestFit="1" customWidth="1"/>
    <col min="4" max="4" width="12.28515625" bestFit="1" customWidth="1"/>
    <col min="5" max="6" width="12.85546875" bestFit="1" customWidth="1"/>
    <col min="7" max="7" width="18.5703125" bestFit="1" customWidth="1"/>
    <col min="8" max="8" width="13.7109375" bestFit="1" customWidth="1"/>
    <col min="9" max="9" width="13.85546875" bestFit="1" customWidth="1"/>
    <col min="10" max="10" width="12.85546875" bestFit="1" customWidth="1"/>
    <col min="11" max="12" width="13.5703125" bestFit="1" customWidth="1"/>
    <col min="13" max="13" width="14" bestFit="1" customWidth="1"/>
    <col min="14" max="14" width="13.42578125" bestFit="1" customWidth="1"/>
    <col min="15" max="15" width="11.28515625" customWidth="1"/>
    <col min="16" max="16" width="11.7109375" bestFit="1" customWidth="1"/>
    <col min="18" max="18" width="14.42578125" bestFit="1" customWidth="1"/>
    <col min="19" max="19" width="12.7109375" bestFit="1" customWidth="1"/>
    <col min="24" max="24" width="10.28515625" bestFit="1" customWidth="1"/>
    <col min="25" max="25" width="10.85546875" bestFit="1" customWidth="1"/>
    <col min="27" max="27" width="16.140625" bestFit="1" customWidth="1"/>
    <col min="28" max="28" width="22.140625" bestFit="1" customWidth="1"/>
    <col min="30" max="30" width="10.5703125" bestFit="1" customWidth="1"/>
  </cols>
  <sheetData>
    <row r="1" spans="1:30" ht="32.25">
      <c r="A1" s="269" t="s">
        <v>96</v>
      </c>
      <c r="B1" s="270"/>
      <c r="C1" s="270"/>
      <c r="D1" s="270"/>
      <c r="E1" s="270"/>
      <c r="F1" s="270"/>
      <c r="G1" s="270"/>
      <c r="H1" s="270"/>
      <c r="I1" s="270"/>
      <c r="J1" s="270"/>
      <c r="K1" s="270"/>
      <c r="L1" s="270"/>
      <c r="M1" s="270"/>
      <c r="N1" s="270"/>
      <c r="O1" s="270"/>
      <c r="P1" s="271"/>
    </row>
    <row r="2" spans="1:30" ht="24.75" thickBot="1">
      <c r="A2" s="1"/>
      <c r="B2" s="2"/>
      <c r="C2" s="2"/>
      <c r="D2" s="2"/>
      <c r="E2" s="2"/>
      <c r="F2" s="3"/>
      <c r="G2" s="3"/>
      <c r="H2" s="3"/>
      <c r="I2" s="3"/>
      <c r="J2" s="3"/>
      <c r="K2" s="4"/>
      <c r="L2" s="4"/>
    </row>
    <row r="3" spans="1:30" ht="20.25" thickBot="1">
      <c r="A3" s="272" t="s">
        <v>1</v>
      </c>
      <c r="B3" s="273"/>
      <c r="C3" s="273"/>
      <c r="D3" s="273"/>
      <c r="E3" s="273"/>
      <c r="F3" s="273"/>
      <c r="G3" s="273"/>
      <c r="H3" s="273"/>
      <c r="I3" s="274" t="s">
        <v>2</v>
      </c>
      <c r="J3" s="275"/>
      <c r="K3" s="275"/>
      <c r="L3" s="276"/>
      <c r="M3" s="274" t="s">
        <v>3</v>
      </c>
      <c r="N3" s="275"/>
      <c r="O3" s="275"/>
      <c r="P3" s="277"/>
    </row>
    <row r="4" spans="1:30">
      <c r="A4" s="51"/>
      <c r="B4" s="278" t="s">
        <v>4</v>
      </c>
      <c r="C4" s="279"/>
      <c r="D4" s="278" t="s">
        <v>5</v>
      </c>
      <c r="E4" s="280"/>
      <c r="F4" s="279"/>
      <c r="G4" s="280" t="s">
        <v>6</v>
      </c>
      <c r="H4" s="279"/>
      <c r="I4" s="6"/>
      <c r="J4" s="52"/>
      <c r="K4" s="52"/>
      <c r="L4" s="53"/>
      <c r="M4" s="6"/>
      <c r="N4" s="52"/>
      <c r="O4" s="52"/>
      <c r="P4" s="53"/>
    </row>
    <row r="5" spans="1:30">
      <c r="A5" s="8"/>
      <c r="B5" s="9">
        <v>1</v>
      </c>
      <c r="C5" s="10">
        <v>3</v>
      </c>
      <c r="D5" s="9">
        <v>23</v>
      </c>
      <c r="E5" s="11">
        <v>6</v>
      </c>
      <c r="F5" s="10" t="s">
        <v>7</v>
      </c>
      <c r="G5" s="12" t="s">
        <v>4</v>
      </c>
      <c r="H5" s="13" t="s">
        <v>5</v>
      </c>
      <c r="I5" s="8"/>
      <c r="J5" s="12" t="s">
        <v>4</v>
      </c>
      <c r="K5" s="12" t="s">
        <v>5</v>
      </c>
      <c r="L5" s="14" t="s">
        <v>8</v>
      </c>
      <c r="M5" s="8"/>
      <c r="N5" s="12" t="s">
        <v>9</v>
      </c>
      <c r="O5" s="12" t="s">
        <v>10</v>
      </c>
      <c r="P5" s="14" t="s">
        <v>11</v>
      </c>
      <c r="Q5" s="160">
        <v>20.18</v>
      </c>
      <c r="X5" t="s">
        <v>101</v>
      </c>
      <c r="Y5" t="s">
        <v>102</v>
      </c>
      <c r="AA5" t="s">
        <v>110</v>
      </c>
      <c r="AB5" t="s">
        <v>109</v>
      </c>
    </row>
    <row r="6" spans="1:30">
      <c r="A6" s="15">
        <v>43466</v>
      </c>
      <c r="B6" s="16">
        <v>6828.6850000000004</v>
      </c>
      <c r="C6" s="16">
        <v>51.465000000000003</v>
      </c>
      <c r="D6" s="17">
        <v>831</v>
      </c>
      <c r="E6" s="17">
        <v>1070</v>
      </c>
      <c r="F6" s="17">
        <v>11386</v>
      </c>
      <c r="G6" s="18">
        <f>B6+C6</f>
        <v>6880.1500000000005</v>
      </c>
      <c r="H6" s="129">
        <f>D6+E6+F6</f>
        <v>13287</v>
      </c>
      <c r="I6" s="15">
        <v>43466</v>
      </c>
      <c r="J6" s="20">
        <f>G6*200*0.06525</f>
        <v>89785.957500000004</v>
      </c>
      <c r="K6" s="21">
        <f>H6*0.06225*200</f>
        <v>165423.15000000002</v>
      </c>
      <c r="L6" s="22">
        <f>SUM(J6:K6)</f>
        <v>255209.10750000004</v>
      </c>
      <c r="M6" s="15">
        <v>43466</v>
      </c>
      <c r="N6" s="23">
        <v>1922541</v>
      </c>
      <c r="O6" s="23">
        <v>298342</v>
      </c>
      <c r="P6" s="24">
        <f>SUM(N6:O6)</f>
        <v>2220883</v>
      </c>
      <c r="Q6" s="158">
        <f>-P6/'2018 Dashboard'!P6</f>
        <v>-0.87612080137125459</v>
      </c>
      <c r="R6" s="295" t="s">
        <v>106</v>
      </c>
      <c r="S6" s="243"/>
      <c r="X6" s="155">
        <f>(H6+G6)*200</f>
        <v>4033430.0000000005</v>
      </c>
      <c r="Y6" s="155">
        <f>P6</f>
        <v>2220883</v>
      </c>
      <c r="AA6" s="155">
        <f>X6</f>
        <v>4033430.0000000005</v>
      </c>
      <c r="AB6" s="155">
        <f>Y6</f>
        <v>2220883</v>
      </c>
      <c r="AD6" s="155"/>
    </row>
    <row r="7" spans="1:30">
      <c r="A7" s="15">
        <v>43497</v>
      </c>
      <c r="B7" s="16">
        <v>6848.69</v>
      </c>
      <c r="C7" s="16">
        <v>54</v>
      </c>
      <c r="D7" s="17">
        <v>975.16499999999996</v>
      </c>
      <c r="E7" s="17">
        <v>904</v>
      </c>
      <c r="F7" s="17">
        <v>11075</v>
      </c>
      <c r="G7" s="18">
        <f t="shared" ref="G7:G10" si="0">B7+C7</f>
        <v>6902.69</v>
      </c>
      <c r="H7" s="129">
        <f t="shared" ref="H7:H10" si="1">D7+E7+F7</f>
        <v>12954.165000000001</v>
      </c>
      <c r="I7" s="15">
        <v>43497</v>
      </c>
      <c r="J7" s="20">
        <f t="shared" ref="J7:J17" si="2">G7*200*0.06525</f>
        <v>90080.104500000001</v>
      </c>
      <c r="K7" s="21">
        <f t="shared" ref="K7:K17" si="3">H7*0.06225*200</f>
        <v>161279.35425</v>
      </c>
      <c r="L7" s="22">
        <f t="shared" ref="L7:L17" si="4">SUM(J7:K7)</f>
        <v>251359.45874999999</v>
      </c>
      <c r="M7" s="15">
        <v>43497</v>
      </c>
      <c r="N7" s="23">
        <v>2215260</v>
      </c>
      <c r="O7" s="23">
        <v>482449</v>
      </c>
      <c r="P7" s="24">
        <f t="shared" ref="P7:P17" si="5">SUM(N7:O7)</f>
        <v>2697709</v>
      </c>
      <c r="Q7" s="158">
        <f>-P7/'2018 Dashboard'!P7</f>
        <v>-0.8872151594002331</v>
      </c>
      <c r="X7" s="155">
        <f t="shared" ref="X7:X17" si="6">(H7+G7)*200</f>
        <v>3971371</v>
      </c>
      <c r="Y7" s="155">
        <f t="shared" ref="Y7:Y17" si="7">P7</f>
        <v>2697709</v>
      </c>
      <c r="AA7" s="155">
        <f>X7+AA6</f>
        <v>8004801</v>
      </c>
      <c r="AB7" s="155">
        <f>AB6+Y7</f>
        <v>4918592</v>
      </c>
      <c r="AD7" s="155"/>
    </row>
    <row r="8" spans="1:30">
      <c r="A8" s="15">
        <v>43525</v>
      </c>
      <c r="B8" s="16">
        <v>6852.5950000000003</v>
      </c>
      <c r="C8" s="16">
        <v>54</v>
      </c>
      <c r="D8" s="17">
        <v>744.19500000000005</v>
      </c>
      <c r="E8" s="17">
        <v>898</v>
      </c>
      <c r="F8" s="17">
        <v>11229</v>
      </c>
      <c r="G8" s="18">
        <f t="shared" si="0"/>
        <v>6906.5950000000003</v>
      </c>
      <c r="H8" s="129">
        <f t="shared" si="1"/>
        <v>12871.195</v>
      </c>
      <c r="I8" s="15">
        <v>43525</v>
      </c>
      <c r="J8" s="20">
        <f t="shared" si="2"/>
        <v>90131.064750000005</v>
      </c>
      <c r="K8" s="21">
        <f t="shared" si="3"/>
        <v>160246.37774999999</v>
      </c>
      <c r="L8" s="22">
        <f t="shared" si="4"/>
        <v>250377.4425</v>
      </c>
      <c r="M8" s="15">
        <v>43525</v>
      </c>
      <c r="N8" s="23">
        <v>2900294</v>
      </c>
      <c r="O8" s="23">
        <v>638481</v>
      </c>
      <c r="P8" s="24">
        <f t="shared" si="5"/>
        <v>3538775</v>
      </c>
      <c r="Q8" s="158">
        <f>-P8/'2018 Dashboard'!P8</f>
        <v>-0.85351567587592825</v>
      </c>
      <c r="R8" t="s">
        <v>103</v>
      </c>
      <c r="X8" s="155">
        <f t="shared" si="6"/>
        <v>3955558</v>
      </c>
      <c r="Y8" s="155">
        <f t="shared" si="7"/>
        <v>3538775</v>
      </c>
      <c r="AA8" s="155">
        <f t="shared" ref="AA8:AA17" si="8">X8+AA7</f>
        <v>11960359</v>
      </c>
      <c r="AB8" s="155">
        <f t="shared" ref="AB8:AB17" si="9">AB7+Y8</f>
        <v>8457367</v>
      </c>
      <c r="AD8" s="155"/>
    </row>
    <row r="9" spans="1:30">
      <c r="A9" s="15">
        <v>43556</v>
      </c>
      <c r="B9" s="16">
        <v>6846.47</v>
      </c>
      <c r="C9" s="16">
        <v>54</v>
      </c>
      <c r="D9" s="17">
        <v>1002</v>
      </c>
      <c r="E9" s="17">
        <v>900.46500000000003</v>
      </c>
      <c r="F9" s="17">
        <v>12621</v>
      </c>
      <c r="G9" s="18">
        <f t="shared" si="0"/>
        <v>6900.47</v>
      </c>
      <c r="H9" s="129">
        <f t="shared" si="1"/>
        <v>14523.465</v>
      </c>
      <c r="I9" s="15">
        <v>43556</v>
      </c>
      <c r="J9" s="20">
        <f t="shared" si="2"/>
        <v>90051.133499999996</v>
      </c>
      <c r="K9" s="21">
        <f t="shared" si="3"/>
        <v>180817.13924999998</v>
      </c>
      <c r="L9" s="22">
        <f t="shared" si="4"/>
        <v>270868.27275</v>
      </c>
      <c r="M9" s="15">
        <v>43556</v>
      </c>
      <c r="N9" s="23">
        <v>3559883</v>
      </c>
      <c r="O9" s="23">
        <v>637724</v>
      </c>
      <c r="P9" s="24">
        <f t="shared" si="5"/>
        <v>4197607</v>
      </c>
      <c r="Q9" s="158">
        <f>-P9/'2018 Dashboard'!P9</f>
        <v>-0.90363269381377742</v>
      </c>
      <c r="R9" t="s">
        <v>101</v>
      </c>
      <c r="S9" s="157">
        <f>SUM(G6:H17)*200</f>
        <v>47749441.999999993</v>
      </c>
      <c r="X9" s="155">
        <f t="shared" si="6"/>
        <v>4284787</v>
      </c>
      <c r="Y9" s="155">
        <f t="shared" si="7"/>
        <v>4197607</v>
      </c>
      <c r="AA9" s="155">
        <f t="shared" si="8"/>
        <v>16245146</v>
      </c>
      <c r="AB9" s="155">
        <f t="shared" si="9"/>
        <v>12654974</v>
      </c>
      <c r="AD9" s="155"/>
    </row>
    <row r="10" spans="1:30">
      <c r="A10" s="15">
        <v>43586</v>
      </c>
      <c r="B10" s="16">
        <v>6826.415</v>
      </c>
      <c r="C10" s="16">
        <v>54.03</v>
      </c>
      <c r="D10" s="17">
        <v>769</v>
      </c>
      <c r="E10" s="17">
        <v>898</v>
      </c>
      <c r="F10" s="17">
        <v>11237</v>
      </c>
      <c r="G10" s="18">
        <f t="shared" si="0"/>
        <v>6880.4449999999997</v>
      </c>
      <c r="H10" s="129">
        <f t="shared" si="1"/>
        <v>12904</v>
      </c>
      <c r="I10" s="15">
        <v>43586</v>
      </c>
      <c r="J10" s="20">
        <f t="shared" si="2"/>
        <v>89789.807249999998</v>
      </c>
      <c r="K10" s="21">
        <f t="shared" si="3"/>
        <v>160654.79999999999</v>
      </c>
      <c r="L10" s="22">
        <f t="shared" si="4"/>
        <v>250444.60725</v>
      </c>
      <c r="M10" s="15">
        <v>43586</v>
      </c>
      <c r="N10" s="23">
        <v>4175765</v>
      </c>
      <c r="O10" s="23">
        <v>710524</v>
      </c>
      <c r="P10" s="24">
        <f t="shared" si="5"/>
        <v>4886289</v>
      </c>
      <c r="Q10" s="158">
        <f>-P10/'2018 Dashboard'!P10</f>
        <v>-0.89177444222680025</v>
      </c>
      <c r="R10" t="s">
        <v>102</v>
      </c>
      <c r="S10" s="157">
        <f>SUM(P6:P17)</f>
        <v>48133302.177000001</v>
      </c>
      <c r="X10" s="155">
        <f t="shared" si="6"/>
        <v>3956889</v>
      </c>
      <c r="Y10" s="155">
        <f t="shared" si="7"/>
        <v>4886289</v>
      </c>
      <c r="AA10" s="155">
        <f t="shared" si="8"/>
        <v>20202035</v>
      </c>
      <c r="AB10" s="155">
        <f t="shared" si="9"/>
        <v>17541263</v>
      </c>
      <c r="AD10" s="155"/>
    </row>
    <row r="11" spans="1:30">
      <c r="A11" s="15">
        <v>43617</v>
      </c>
      <c r="B11" s="16">
        <v>6809.99</v>
      </c>
      <c r="C11" s="16">
        <v>50</v>
      </c>
      <c r="D11" s="17">
        <v>872</v>
      </c>
      <c r="E11" s="17">
        <v>898</v>
      </c>
      <c r="F11" s="17">
        <v>11489</v>
      </c>
      <c r="G11" s="18">
        <v>6878</v>
      </c>
      <c r="H11" s="129">
        <v>13241</v>
      </c>
      <c r="I11" s="15">
        <v>43617</v>
      </c>
      <c r="J11" s="20">
        <f t="shared" si="2"/>
        <v>89757.900000000009</v>
      </c>
      <c r="K11" s="21">
        <f t="shared" si="3"/>
        <v>164850.45000000001</v>
      </c>
      <c r="L11" s="22">
        <f t="shared" si="4"/>
        <v>254608.35000000003</v>
      </c>
      <c r="M11" s="15">
        <v>43617</v>
      </c>
      <c r="N11" s="23">
        <v>4864161</v>
      </c>
      <c r="O11" s="23">
        <v>806043</v>
      </c>
      <c r="P11" s="24">
        <f t="shared" si="5"/>
        <v>5670204</v>
      </c>
      <c r="Q11" s="158">
        <f>-P11/'2018 Dashboard'!P11</f>
        <v>-0.83634176916647163</v>
      </c>
      <c r="R11" s="150" t="s">
        <v>97</v>
      </c>
      <c r="S11" t="s">
        <v>100</v>
      </c>
      <c r="X11" s="155">
        <f t="shared" si="6"/>
        <v>4023800</v>
      </c>
      <c r="Y11" s="155">
        <f t="shared" si="7"/>
        <v>5670204</v>
      </c>
      <c r="AA11" s="155">
        <f t="shared" si="8"/>
        <v>24225835</v>
      </c>
      <c r="AB11" s="155">
        <f t="shared" si="9"/>
        <v>23211467</v>
      </c>
      <c r="AD11" s="155"/>
    </row>
    <row r="12" spans="1:30">
      <c r="A12" s="15">
        <v>43647</v>
      </c>
      <c r="B12" s="16">
        <v>6808.38</v>
      </c>
      <c r="C12" s="16">
        <v>53</v>
      </c>
      <c r="D12" s="17">
        <v>841</v>
      </c>
      <c r="E12" s="17">
        <v>899</v>
      </c>
      <c r="F12" s="156">
        <v>9879.7999999999993</v>
      </c>
      <c r="G12" s="18">
        <f t="shared" ref="G12:G17" si="10">B12+C12</f>
        <v>6861.38</v>
      </c>
      <c r="H12" s="129">
        <f t="shared" ref="H12:H17" si="11">D12+E12+F12</f>
        <v>11619.8</v>
      </c>
      <c r="I12" s="15">
        <v>43647</v>
      </c>
      <c r="J12" s="20">
        <f t="shared" si="2"/>
        <v>89541.009000000005</v>
      </c>
      <c r="K12" s="21">
        <f t="shared" si="3"/>
        <v>144666.50999999998</v>
      </c>
      <c r="L12" s="22">
        <f t="shared" si="4"/>
        <v>234207.51899999997</v>
      </c>
      <c r="M12" s="15">
        <v>43647</v>
      </c>
      <c r="N12" s="23">
        <v>4602261</v>
      </c>
      <c r="O12" s="23">
        <v>1024753</v>
      </c>
      <c r="P12" s="24">
        <f t="shared" si="5"/>
        <v>5627014</v>
      </c>
      <c r="Q12" s="158">
        <f>-P12/'2018 Dashboard'!P12</f>
        <v>-1.0021305238367382</v>
      </c>
      <c r="R12" s="150" t="s">
        <v>104</v>
      </c>
      <c r="S12" s="155">
        <f>S10-S9</f>
        <v>383860.17700000852</v>
      </c>
      <c r="X12" s="155">
        <f t="shared" si="6"/>
        <v>3696236</v>
      </c>
      <c r="Y12" s="155">
        <f t="shared" si="7"/>
        <v>5627014</v>
      </c>
      <c r="AA12" s="155">
        <f t="shared" si="8"/>
        <v>27922071</v>
      </c>
      <c r="AB12" s="155">
        <f t="shared" si="9"/>
        <v>28838481</v>
      </c>
      <c r="AD12" s="155"/>
    </row>
    <row r="13" spans="1:30">
      <c r="A13" s="15">
        <v>43678</v>
      </c>
      <c r="B13" s="16">
        <v>6807.0249999999996</v>
      </c>
      <c r="C13" s="16">
        <v>50</v>
      </c>
      <c r="D13" s="17">
        <v>830.2</v>
      </c>
      <c r="E13" s="17">
        <v>779</v>
      </c>
      <c r="F13" s="17">
        <v>11658.665000000001</v>
      </c>
      <c r="G13" s="18">
        <f>B13+C13</f>
        <v>6857.0249999999996</v>
      </c>
      <c r="H13" s="129">
        <f>D13+E13+F13</f>
        <v>13267.865000000002</v>
      </c>
      <c r="I13" s="15">
        <v>43678</v>
      </c>
      <c r="J13" s="20">
        <f t="shared" si="2"/>
        <v>89484.176250000004</v>
      </c>
      <c r="K13" s="21">
        <f t="shared" si="3"/>
        <v>165184.91925000004</v>
      </c>
      <c r="L13" s="22">
        <f t="shared" si="4"/>
        <v>254669.09550000005</v>
      </c>
      <c r="M13" s="15">
        <v>43678</v>
      </c>
      <c r="N13" s="23">
        <v>5123317</v>
      </c>
      <c r="O13" s="23">
        <v>792074</v>
      </c>
      <c r="P13" s="24">
        <f t="shared" si="5"/>
        <v>5915391</v>
      </c>
      <c r="Q13" s="158">
        <f>-P13/'2018 Dashboard'!P13</f>
        <v>-1.1364029489580363</v>
      </c>
      <c r="X13" s="155">
        <f t="shared" si="6"/>
        <v>4024978</v>
      </c>
      <c r="Y13" s="155">
        <f t="shared" si="7"/>
        <v>5915391</v>
      </c>
      <c r="AA13" s="155">
        <f t="shared" si="8"/>
        <v>31947049</v>
      </c>
      <c r="AB13" s="155">
        <f t="shared" si="9"/>
        <v>34753872</v>
      </c>
      <c r="AD13" s="155"/>
    </row>
    <row r="14" spans="1:30">
      <c r="A14" s="15">
        <v>43709</v>
      </c>
      <c r="B14" s="16">
        <v>6783.6949999999997</v>
      </c>
      <c r="C14" s="16">
        <v>49</v>
      </c>
      <c r="D14" s="17">
        <v>834</v>
      </c>
      <c r="E14" s="17">
        <v>779</v>
      </c>
      <c r="F14" s="17">
        <v>10671.665000000001</v>
      </c>
      <c r="G14" s="18">
        <f t="shared" si="10"/>
        <v>6832.6949999999997</v>
      </c>
      <c r="H14" s="129">
        <f>D14+E14+F14</f>
        <v>12284.665000000001</v>
      </c>
      <c r="I14" s="15">
        <v>43709</v>
      </c>
      <c r="J14" s="20">
        <f t="shared" si="2"/>
        <v>89166.669750000001</v>
      </c>
      <c r="K14" s="21">
        <f t="shared" si="3"/>
        <v>152944.07925000001</v>
      </c>
      <c r="L14" s="22">
        <f t="shared" si="4"/>
        <v>242110.74900000001</v>
      </c>
      <c r="M14" s="15">
        <v>43709</v>
      </c>
      <c r="N14" s="23">
        <v>3904735</v>
      </c>
      <c r="O14" s="23">
        <v>991117</v>
      </c>
      <c r="P14" s="24">
        <f t="shared" si="5"/>
        <v>4895852</v>
      </c>
      <c r="Q14" s="158">
        <f>-P14/'2018 Dashboard'!P14</f>
        <v>-0.92896275023789265</v>
      </c>
      <c r="X14" s="155">
        <f t="shared" si="6"/>
        <v>3823472</v>
      </c>
      <c r="Y14" s="155">
        <f t="shared" si="7"/>
        <v>4895852</v>
      </c>
      <c r="AA14" s="155">
        <f t="shared" si="8"/>
        <v>35770521</v>
      </c>
      <c r="AB14" s="155">
        <f t="shared" si="9"/>
        <v>39649724</v>
      </c>
      <c r="AD14" s="155"/>
    </row>
    <row r="15" spans="1:30">
      <c r="A15" s="15">
        <v>43739</v>
      </c>
      <c r="B15" s="16">
        <v>6744.4549999999999</v>
      </c>
      <c r="C15" s="16">
        <v>49</v>
      </c>
      <c r="D15" s="17">
        <v>989.2</v>
      </c>
      <c r="E15" s="17">
        <v>779</v>
      </c>
      <c r="F15" s="17">
        <v>11893</v>
      </c>
      <c r="G15" s="18">
        <f t="shared" si="10"/>
        <v>6793.4549999999999</v>
      </c>
      <c r="H15" s="129">
        <f t="shared" si="11"/>
        <v>13661.2</v>
      </c>
      <c r="I15" s="15">
        <v>43739</v>
      </c>
      <c r="J15" s="20">
        <f t="shared" si="2"/>
        <v>88654.587750000006</v>
      </c>
      <c r="K15" s="21">
        <f t="shared" si="3"/>
        <v>170081.94</v>
      </c>
      <c r="L15" s="22">
        <f t="shared" si="4"/>
        <v>258736.52775000001</v>
      </c>
      <c r="M15" s="15">
        <v>43739</v>
      </c>
      <c r="N15" s="23">
        <v>3809982</v>
      </c>
      <c r="O15" s="23">
        <v>531872</v>
      </c>
      <c r="P15" s="24">
        <f t="shared" si="5"/>
        <v>4341854</v>
      </c>
      <c r="Q15" s="158">
        <f>-P15/'2018 Dashboard'!P15</f>
        <v>-1.2752672658842492</v>
      </c>
      <c r="X15" s="155">
        <f t="shared" si="6"/>
        <v>4090931</v>
      </c>
      <c r="Y15" s="155">
        <f t="shared" si="7"/>
        <v>4341854</v>
      </c>
      <c r="AA15" s="155">
        <f t="shared" si="8"/>
        <v>39861452</v>
      </c>
      <c r="AB15" s="155">
        <f t="shared" si="9"/>
        <v>43991578</v>
      </c>
      <c r="AD15" s="155"/>
    </row>
    <row r="16" spans="1:30">
      <c r="A16" s="15">
        <v>43770</v>
      </c>
      <c r="B16" s="16">
        <v>6738.66</v>
      </c>
      <c r="C16" s="16">
        <v>49.4</v>
      </c>
      <c r="D16" s="17">
        <v>766</v>
      </c>
      <c r="E16" s="17">
        <v>105</v>
      </c>
      <c r="F16" s="17">
        <v>11891</v>
      </c>
      <c r="G16" s="18">
        <f t="shared" si="10"/>
        <v>6788.0599999999995</v>
      </c>
      <c r="H16" s="129">
        <f t="shared" si="11"/>
        <v>12762</v>
      </c>
      <c r="I16" s="15">
        <v>43770</v>
      </c>
      <c r="J16" s="20">
        <f t="shared" si="2"/>
        <v>88584.183000000005</v>
      </c>
      <c r="K16" s="21">
        <f t="shared" si="3"/>
        <v>158886.9</v>
      </c>
      <c r="L16" s="22">
        <f t="shared" si="4"/>
        <v>247471.08299999998</v>
      </c>
      <c r="M16" s="15">
        <v>43770</v>
      </c>
      <c r="N16" s="23">
        <v>2171475.9590000003</v>
      </c>
      <c r="O16" s="23">
        <v>384841.21799999999</v>
      </c>
      <c r="P16" s="24">
        <f t="shared" si="5"/>
        <v>2556317.1770000001</v>
      </c>
      <c r="Q16" s="158">
        <f>-P16/'2018 Dashboard'!P16</f>
        <v>-0.92241030149620495</v>
      </c>
      <c r="X16" s="155">
        <f>(H16+G16)*200</f>
        <v>3910011.9999999995</v>
      </c>
      <c r="Y16" s="155">
        <f t="shared" si="7"/>
        <v>2556317.1770000001</v>
      </c>
      <c r="AA16" s="155">
        <f t="shared" si="8"/>
        <v>43771464</v>
      </c>
      <c r="AB16" s="155">
        <f t="shared" si="9"/>
        <v>46547895.177000001</v>
      </c>
      <c r="AD16" s="155"/>
    </row>
    <row r="17" spans="1:30">
      <c r="A17" s="15">
        <v>43800</v>
      </c>
      <c r="B17" s="16">
        <v>6459.06</v>
      </c>
      <c r="C17" s="16">
        <v>47.5</v>
      </c>
      <c r="D17" s="17">
        <v>982.33</v>
      </c>
      <c r="E17" s="17">
        <v>1453</v>
      </c>
      <c r="F17" s="17">
        <v>10948</v>
      </c>
      <c r="G17" s="18">
        <f t="shared" si="10"/>
        <v>6506.56</v>
      </c>
      <c r="H17" s="129">
        <f t="shared" si="11"/>
        <v>13383.33</v>
      </c>
      <c r="I17" s="15">
        <v>43800</v>
      </c>
      <c r="J17" s="20">
        <f t="shared" si="2"/>
        <v>84910.608000000007</v>
      </c>
      <c r="K17" s="21">
        <f t="shared" si="3"/>
        <v>166622.45850000001</v>
      </c>
      <c r="L17" s="22">
        <f t="shared" si="4"/>
        <v>251533.06650000002</v>
      </c>
      <c r="M17" s="15">
        <v>43800</v>
      </c>
      <c r="N17" s="23">
        <v>1360637</v>
      </c>
      <c r="O17" s="23">
        <v>224770</v>
      </c>
      <c r="P17" s="24">
        <f t="shared" si="5"/>
        <v>1585407</v>
      </c>
      <c r="Q17" s="158">
        <f>-P17/'2018 Dashboard'!P17</f>
        <v>-0.97911893271937445</v>
      </c>
      <c r="R17" s="149" t="s">
        <v>105</v>
      </c>
      <c r="X17" s="155">
        <f t="shared" si="6"/>
        <v>3977978</v>
      </c>
      <c r="Y17" s="155">
        <f t="shared" si="7"/>
        <v>1585407</v>
      </c>
      <c r="AA17" s="155">
        <f t="shared" si="8"/>
        <v>47749442</v>
      </c>
      <c r="AB17" s="155">
        <f t="shared" si="9"/>
        <v>48133302.177000001</v>
      </c>
      <c r="AD17" s="155"/>
    </row>
    <row r="18" spans="1:30">
      <c r="A18" s="26" t="s">
        <v>12</v>
      </c>
      <c r="B18" s="27">
        <f>SUM(B6:B17)</f>
        <v>81354.12</v>
      </c>
      <c r="C18" s="27">
        <f t="shared" ref="C18:H18" si="12">SUM(C6:C17)</f>
        <v>615.39499999999998</v>
      </c>
      <c r="D18" s="27">
        <f t="shared" si="12"/>
        <v>10436.09</v>
      </c>
      <c r="E18" s="27">
        <f t="shared" si="12"/>
        <v>10362.465</v>
      </c>
      <c r="F18" s="27">
        <f t="shared" si="12"/>
        <v>135979.13</v>
      </c>
      <c r="G18" s="27">
        <f t="shared" si="12"/>
        <v>81987.524999999994</v>
      </c>
      <c r="H18" s="130">
        <f t="shared" si="12"/>
        <v>156759.68499999997</v>
      </c>
      <c r="I18" s="28"/>
      <c r="J18" s="29"/>
      <c r="K18" s="29"/>
      <c r="L18" s="30"/>
      <c r="M18" s="31"/>
      <c r="N18" s="162"/>
      <c r="O18" s="163"/>
      <c r="P18" s="7"/>
      <c r="R18" s="153" t="s">
        <v>99</v>
      </c>
      <c r="S18" s="153" t="s">
        <v>98</v>
      </c>
      <c r="T18" t="s">
        <v>107</v>
      </c>
      <c r="X18" s="155">
        <f>SUM(X6:X17)</f>
        <v>47749442</v>
      </c>
      <c r="Y18" s="155">
        <f>SUM(Y6:Y17)</f>
        <v>48133302.177000001</v>
      </c>
      <c r="AA18" s="159">
        <f>AA17/AB17</f>
        <v>0.99202506041267569</v>
      </c>
      <c r="AB18" s="155"/>
    </row>
    <row r="19" spans="1:30">
      <c r="A19" s="34" t="s">
        <v>11</v>
      </c>
      <c r="B19" s="35">
        <f>B18*200</f>
        <v>16270824</v>
      </c>
      <c r="C19" s="35">
        <f t="shared" ref="C19:H19" si="13">C18*200</f>
        <v>123079</v>
      </c>
      <c r="D19" s="35">
        <f t="shared" si="13"/>
        <v>2087218</v>
      </c>
      <c r="E19" s="35">
        <f t="shared" si="13"/>
        <v>2072493</v>
      </c>
      <c r="F19" s="35">
        <f t="shared" si="13"/>
        <v>27195826</v>
      </c>
      <c r="G19" s="35">
        <f t="shared" si="13"/>
        <v>16397504.999999998</v>
      </c>
      <c r="H19" s="36">
        <f t="shared" si="13"/>
        <v>31351936.999999993</v>
      </c>
      <c r="I19" s="37" t="s">
        <v>8</v>
      </c>
      <c r="J19" s="38">
        <f>SUM(J6:J18)</f>
        <v>1069937.2012499999</v>
      </c>
      <c r="K19" s="38">
        <f>SUM(K6:K18)</f>
        <v>1951658.0782499998</v>
      </c>
      <c r="L19" s="39">
        <f>SUM(L6:L17)</f>
        <v>3021595.2795000002</v>
      </c>
      <c r="M19" s="12" t="s">
        <v>11</v>
      </c>
      <c r="N19" s="23">
        <f>SUM(N6:N18)</f>
        <v>40610311.958999999</v>
      </c>
      <c r="O19" s="23">
        <f>SUM(O6:O18)</f>
        <v>7522990.2180000003</v>
      </c>
      <c r="P19" s="41">
        <f>SUM(P6:P17)</f>
        <v>48133302.177000001</v>
      </c>
      <c r="R19" s="154">
        <f>P19-H20</f>
        <v>383860.17700000852</v>
      </c>
      <c r="S19" s="153">
        <f>R19/200</f>
        <v>1919.3008850000426</v>
      </c>
      <c r="T19">
        <f>S19/2</f>
        <v>959.65044250002131</v>
      </c>
      <c r="W19" t="s">
        <v>108</v>
      </c>
      <c r="X19" s="155">
        <f>X18/12</f>
        <v>3979120.1666666665</v>
      </c>
      <c r="Y19" s="155">
        <f>Y18/12</f>
        <v>4011108.5147500001</v>
      </c>
    </row>
    <row r="20" spans="1:30" ht="15.75" thickBot="1">
      <c r="A20" s="42"/>
      <c r="C20" s="43"/>
      <c r="D20" s="44"/>
      <c r="E20" s="29"/>
      <c r="F20" s="45"/>
      <c r="G20" s="46" t="s">
        <v>13</v>
      </c>
      <c r="H20" s="47">
        <f>G19+H19</f>
        <v>47749441.999999993</v>
      </c>
      <c r="I20" s="48"/>
      <c r="J20" s="49"/>
      <c r="K20" s="33"/>
      <c r="L20" s="33"/>
      <c r="M20" s="31"/>
      <c r="N20" s="32"/>
      <c r="O20" s="33"/>
      <c r="P20" s="50"/>
      <c r="T20">
        <f>T19/12</f>
        <v>79.970870208335114</v>
      </c>
    </row>
    <row r="21" spans="1:30" ht="20.25" thickBot="1">
      <c r="A21" s="281" t="s">
        <v>75</v>
      </c>
      <c r="B21" s="282"/>
      <c r="C21" s="283"/>
      <c r="D21" s="283"/>
      <c r="E21" s="283"/>
      <c r="F21" s="283"/>
      <c r="G21" s="283"/>
      <c r="H21" s="283"/>
      <c r="I21" s="283"/>
      <c r="J21" s="283"/>
      <c r="K21" s="283"/>
      <c r="L21" s="283"/>
      <c r="M21" s="283"/>
      <c r="N21" s="283"/>
      <c r="O21" s="283"/>
      <c r="P21" s="284"/>
    </row>
    <row r="22" spans="1:30">
      <c r="B22" s="256" t="s">
        <v>14</v>
      </c>
      <c r="C22" s="257"/>
      <c r="D22" s="257"/>
      <c r="E22" s="257"/>
      <c r="F22" s="257"/>
      <c r="G22" s="258"/>
      <c r="H22" s="285" t="s">
        <v>15</v>
      </c>
      <c r="I22" s="286"/>
      <c r="J22" s="286"/>
      <c r="K22" s="287"/>
    </row>
    <row r="23" spans="1:30">
      <c r="B23" s="288" t="s">
        <v>16</v>
      </c>
      <c r="C23" s="289"/>
      <c r="D23" s="289" t="s">
        <v>17</v>
      </c>
      <c r="E23" s="289"/>
      <c r="F23" s="68" t="s">
        <v>18</v>
      </c>
      <c r="G23" s="55" t="s">
        <v>19</v>
      </c>
      <c r="H23" s="56" t="s">
        <v>20</v>
      </c>
      <c r="I23" s="56" t="s">
        <v>21</v>
      </c>
      <c r="J23" s="56" t="s">
        <v>22</v>
      </c>
      <c r="K23" s="57" t="s">
        <v>23</v>
      </c>
      <c r="L23" s="93" t="s">
        <v>24</v>
      </c>
      <c r="M23" s="95" t="s">
        <v>26</v>
      </c>
      <c r="N23" s="131" t="s">
        <v>27</v>
      </c>
    </row>
    <row r="24" spans="1:30">
      <c r="A24" s="58">
        <v>2015</v>
      </c>
      <c r="B24" s="265">
        <v>14403.35</v>
      </c>
      <c r="C24" s="265"/>
      <c r="D24" s="265"/>
      <c r="E24" s="265"/>
      <c r="F24" s="59"/>
      <c r="G24" s="69">
        <f>B24+E24+F24</f>
        <v>14403.35</v>
      </c>
      <c r="H24" s="60"/>
      <c r="I24" s="60">
        <v>7279.47</v>
      </c>
      <c r="J24" s="60"/>
      <c r="K24" s="77">
        <f t="shared" ref="K24" si="14">H24+I24+J24</f>
        <v>7279.47</v>
      </c>
      <c r="L24" s="92">
        <f t="shared" ref="L24" si="15">K24+G24</f>
        <v>21682.82</v>
      </c>
      <c r="M24" s="94">
        <v>48000</v>
      </c>
      <c r="N24" s="132">
        <f>M24-L24</f>
        <v>26317.18</v>
      </c>
    </row>
    <row r="25" spans="1:30">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32">
        <v>273572.71999999997</v>
      </c>
    </row>
    <row r="26" spans="1:30">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32">
        <v>310176.08</v>
      </c>
    </row>
    <row r="27" spans="1:30">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32">
        <v>441013.52</v>
      </c>
    </row>
    <row r="28" spans="1:30">
      <c r="A28" s="15">
        <v>43466</v>
      </c>
      <c r="B28" s="263">
        <v>1930</v>
      </c>
      <c r="C28" s="263"/>
      <c r="D28" s="263">
        <v>0</v>
      </c>
      <c r="E28" s="263"/>
      <c r="F28" s="62">
        <v>0</v>
      </c>
      <c r="G28" s="115">
        <f t="shared" ref="G28:G39" si="16">B28+D28+F28</f>
        <v>1930</v>
      </c>
      <c r="H28" s="29">
        <v>0</v>
      </c>
      <c r="I28" s="62">
        <v>0</v>
      </c>
      <c r="J28" s="62">
        <v>2040</v>
      </c>
      <c r="K28" s="80">
        <f>H28+I28+J28</f>
        <v>2040</v>
      </c>
      <c r="L28" s="74">
        <f>K28+G28</f>
        <v>3970</v>
      </c>
      <c r="M28" s="89">
        <v>16580</v>
      </c>
      <c r="N28" s="132">
        <f>M28-L28</f>
        <v>12610</v>
      </c>
    </row>
    <row r="29" spans="1:30">
      <c r="A29" s="15">
        <v>43497</v>
      </c>
      <c r="B29" s="263">
        <v>3985.12</v>
      </c>
      <c r="C29" s="263"/>
      <c r="D29" s="263">
        <v>0</v>
      </c>
      <c r="E29" s="263"/>
      <c r="F29" s="62">
        <v>0</v>
      </c>
      <c r="G29" s="115">
        <f t="shared" si="16"/>
        <v>3985.12</v>
      </c>
      <c r="H29" s="29">
        <v>0</v>
      </c>
      <c r="I29" s="62">
        <v>0</v>
      </c>
      <c r="J29" s="62">
        <v>0</v>
      </c>
      <c r="K29" s="80">
        <f>H29+I29+J29</f>
        <v>0</v>
      </c>
      <c r="L29" s="74">
        <f t="shared" ref="L29:L40" si="17">K29+G29</f>
        <v>3985.12</v>
      </c>
      <c r="M29" s="89">
        <v>16580</v>
      </c>
      <c r="N29" s="132">
        <f t="shared" ref="N29:N40" si="18">M29-L29</f>
        <v>12594.880000000001</v>
      </c>
    </row>
    <row r="30" spans="1:30">
      <c r="A30" s="15">
        <v>43525</v>
      </c>
      <c r="B30" s="263">
        <v>3799.53</v>
      </c>
      <c r="C30" s="263"/>
      <c r="D30" s="263">
        <v>0</v>
      </c>
      <c r="E30" s="263"/>
      <c r="F30" s="62">
        <v>0</v>
      </c>
      <c r="G30" s="115">
        <f t="shared" si="16"/>
        <v>3799.53</v>
      </c>
      <c r="H30" s="29">
        <v>9477.06</v>
      </c>
      <c r="I30" s="62">
        <v>0</v>
      </c>
      <c r="J30" s="62">
        <v>0</v>
      </c>
      <c r="K30" s="80">
        <f>H30+I30+J30</f>
        <v>9477.06</v>
      </c>
      <c r="L30" s="74">
        <f t="shared" si="17"/>
        <v>13276.59</v>
      </c>
      <c r="M30" s="89">
        <v>16580</v>
      </c>
      <c r="N30" s="132">
        <f t="shared" si="18"/>
        <v>3303.41</v>
      </c>
    </row>
    <row r="31" spans="1:30">
      <c r="A31" s="15">
        <v>43556</v>
      </c>
      <c r="B31" s="263">
        <v>2076</v>
      </c>
      <c r="C31" s="263"/>
      <c r="D31" s="263">
        <v>3126.63</v>
      </c>
      <c r="E31" s="263"/>
      <c r="F31" s="62">
        <v>0</v>
      </c>
      <c r="G31" s="115">
        <f t="shared" si="16"/>
        <v>5202.63</v>
      </c>
      <c r="H31" s="29">
        <v>523.04</v>
      </c>
      <c r="I31" s="62">
        <v>0</v>
      </c>
      <c r="J31" s="62">
        <v>0</v>
      </c>
      <c r="K31" s="80">
        <f>H31+I31+J31</f>
        <v>523.04</v>
      </c>
      <c r="L31" s="74">
        <f t="shared" si="17"/>
        <v>5725.67</v>
      </c>
      <c r="M31" s="89">
        <v>16580</v>
      </c>
      <c r="N31" s="132">
        <f t="shared" si="18"/>
        <v>10854.33</v>
      </c>
    </row>
    <row r="32" spans="1:30">
      <c r="A32" s="15">
        <v>43586</v>
      </c>
      <c r="B32" s="263">
        <v>6061.98</v>
      </c>
      <c r="C32" s="263"/>
      <c r="D32" s="263">
        <v>867.86</v>
      </c>
      <c r="E32" s="263"/>
      <c r="F32" s="62">
        <v>0</v>
      </c>
      <c r="G32" s="115">
        <f t="shared" si="16"/>
        <v>6929.8399999999992</v>
      </c>
      <c r="H32" s="29">
        <v>0</v>
      </c>
      <c r="I32" s="62">
        <v>0</v>
      </c>
      <c r="J32" s="62">
        <v>5120</v>
      </c>
      <c r="K32" s="80">
        <f>H32+I32+J32</f>
        <v>5120</v>
      </c>
      <c r="L32" s="74">
        <f t="shared" si="17"/>
        <v>12049.84</v>
      </c>
      <c r="M32" s="89">
        <v>16580</v>
      </c>
      <c r="N32" s="132">
        <f t="shared" si="18"/>
        <v>4530.16</v>
      </c>
    </row>
    <row r="33" spans="1:14">
      <c r="A33" s="15">
        <v>43617</v>
      </c>
      <c r="B33" s="263">
        <v>3191</v>
      </c>
      <c r="C33" s="263"/>
      <c r="D33" s="263">
        <v>24.03</v>
      </c>
      <c r="E33" s="263"/>
      <c r="F33" s="62">
        <v>0</v>
      </c>
      <c r="G33" s="115">
        <f t="shared" si="16"/>
        <v>3215.03</v>
      </c>
      <c r="H33" s="29">
        <v>10056.94</v>
      </c>
      <c r="I33" s="62">
        <v>0</v>
      </c>
      <c r="J33" s="62">
        <v>27522.68</v>
      </c>
      <c r="K33" s="80">
        <f t="shared" ref="K33:K39" si="19">H33+I33+J33</f>
        <v>37579.620000000003</v>
      </c>
      <c r="L33" s="74">
        <f t="shared" si="17"/>
        <v>40794.65</v>
      </c>
      <c r="M33" s="89">
        <v>16580</v>
      </c>
      <c r="N33" s="132">
        <f t="shared" si="18"/>
        <v>-24214.65</v>
      </c>
    </row>
    <row r="34" spans="1:14">
      <c r="A34" s="15">
        <v>43647</v>
      </c>
      <c r="B34" s="263">
        <v>5423.72</v>
      </c>
      <c r="C34" s="263"/>
      <c r="D34" s="263">
        <v>0</v>
      </c>
      <c r="E34" s="263"/>
      <c r="F34" s="62">
        <v>0</v>
      </c>
      <c r="G34" s="115">
        <f t="shared" si="16"/>
        <v>5423.72</v>
      </c>
      <c r="H34" s="29">
        <v>0</v>
      </c>
      <c r="I34" s="62">
        <v>0</v>
      </c>
      <c r="J34" s="62">
        <v>1040</v>
      </c>
      <c r="K34" s="80">
        <f t="shared" si="19"/>
        <v>1040</v>
      </c>
      <c r="L34" s="74">
        <f t="shared" si="17"/>
        <v>6463.72</v>
      </c>
      <c r="M34" s="89">
        <v>16580</v>
      </c>
      <c r="N34" s="132">
        <f t="shared" si="18"/>
        <v>10116.279999999999</v>
      </c>
    </row>
    <row r="35" spans="1:14">
      <c r="A35" s="15">
        <v>43678</v>
      </c>
      <c r="B35" s="263">
        <v>3498.19</v>
      </c>
      <c r="C35" s="263"/>
      <c r="D35" s="263">
        <v>0</v>
      </c>
      <c r="E35" s="263"/>
      <c r="F35" s="62">
        <v>0</v>
      </c>
      <c r="G35" s="115">
        <f t="shared" si="16"/>
        <v>3498.19</v>
      </c>
      <c r="H35" s="29">
        <v>0</v>
      </c>
      <c r="I35" s="62">
        <v>0</v>
      </c>
      <c r="J35" s="62">
        <v>0</v>
      </c>
      <c r="K35" s="80">
        <f t="shared" si="19"/>
        <v>0</v>
      </c>
      <c r="L35" s="74">
        <f t="shared" si="17"/>
        <v>3498.19</v>
      </c>
      <c r="M35" s="89">
        <v>16580</v>
      </c>
      <c r="N35" s="132">
        <f t="shared" si="18"/>
        <v>13081.81</v>
      </c>
    </row>
    <row r="36" spans="1:14">
      <c r="A36" s="15">
        <v>43709</v>
      </c>
      <c r="B36" s="263">
        <v>4018.21</v>
      </c>
      <c r="C36" s="263"/>
      <c r="D36" s="263">
        <v>0</v>
      </c>
      <c r="E36" s="263"/>
      <c r="F36" s="62">
        <v>0</v>
      </c>
      <c r="G36" s="115">
        <f t="shared" si="16"/>
        <v>4018.21</v>
      </c>
      <c r="H36" s="29">
        <v>0</v>
      </c>
      <c r="I36" s="62">
        <v>0</v>
      </c>
      <c r="J36" s="62">
        <v>2080</v>
      </c>
      <c r="K36" s="80">
        <f t="shared" si="19"/>
        <v>2080</v>
      </c>
      <c r="L36" s="74">
        <f t="shared" si="17"/>
        <v>6098.21</v>
      </c>
      <c r="M36" s="89">
        <v>16580</v>
      </c>
      <c r="N36" s="132">
        <f t="shared" si="18"/>
        <v>10481.790000000001</v>
      </c>
    </row>
    <row r="37" spans="1:14">
      <c r="A37" s="15">
        <v>43739</v>
      </c>
      <c r="B37" s="263">
        <v>1464</v>
      </c>
      <c r="C37" s="263"/>
      <c r="D37" s="263">
        <v>0</v>
      </c>
      <c r="E37" s="263"/>
      <c r="F37" s="62">
        <v>0</v>
      </c>
      <c r="G37" s="115">
        <f t="shared" si="16"/>
        <v>1464</v>
      </c>
      <c r="H37" s="29">
        <v>0</v>
      </c>
      <c r="I37" s="62">
        <v>0</v>
      </c>
      <c r="J37" s="62">
        <v>1040</v>
      </c>
      <c r="K37" s="80">
        <f t="shared" si="19"/>
        <v>1040</v>
      </c>
      <c r="L37" s="74">
        <f t="shared" si="17"/>
        <v>2504</v>
      </c>
      <c r="M37" s="89">
        <v>16580</v>
      </c>
      <c r="N37" s="132">
        <f t="shared" si="18"/>
        <v>14076</v>
      </c>
    </row>
    <row r="38" spans="1:14">
      <c r="A38" s="15">
        <v>43770</v>
      </c>
      <c r="B38" s="263">
        <v>10036</v>
      </c>
      <c r="C38" s="263"/>
      <c r="D38" s="263">
        <v>0</v>
      </c>
      <c r="E38" s="263"/>
      <c r="F38" s="62">
        <v>0</v>
      </c>
      <c r="G38" s="115">
        <f t="shared" si="16"/>
        <v>10036</v>
      </c>
      <c r="H38" s="29">
        <v>0</v>
      </c>
      <c r="I38" s="62">
        <v>0</v>
      </c>
      <c r="J38" s="62">
        <v>1040</v>
      </c>
      <c r="K38" s="80">
        <f t="shared" si="19"/>
        <v>1040</v>
      </c>
      <c r="L38" s="74">
        <f t="shared" si="17"/>
        <v>11076</v>
      </c>
      <c r="M38" s="89">
        <v>16580</v>
      </c>
      <c r="N38" s="132">
        <f t="shared" si="18"/>
        <v>5504</v>
      </c>
    </row>
    <row r="39" spans="1:14">
      <c r="A39" s="15">
        <v>43800</v>
      </c>
      <c r="B39" s="263">
        <v>4542.46</v>
      </c>
      <c r="C39" s="263"/>
      <c r="D39" s="263">
        <v>3731.52</v>
      </c>
      <c r="E39" s="263"/>
      <c r="F39" s="62">
        <v>7880</v>
      </c>
      <c r="G39" s="116">
        <f t="shared" si="16"/>
        <v>16153.98</v>
      </c>
      <c r="H39" s="29">
        <v>0</v>
      </c>
      <c r="I39" s="62">
        <v>0</v>
      </c>
      <c r="J39" s="62">
        <v>1040</v>
      </c>
      <c r="K39" s="80">
        <f t="shared" si="19"/>
        <v>1040</v>
      </c>
      <c r="L39" s="74">
        <f t="shared" si="17"/>
        <v>17193.98</v>
      </c>
      <c r="M39" s="89">
        <v>16580</v>
      </c>
      <c r="N39" s="132">
        <f t="shared" si="18"/>
        <v>-613.97999999999956</v>
      </c>
    </row>
    <row r="40" spans="1:14">
      <c r="A40" s="58">
        <v>2019</v>
      </c>
      <c r="B40" s="265">
        <f>SUM(B28:B39)</f>
        <v>50026.21</v>
      </c>
      <c r="C40" s="265"/>
      <c r="D40" s="265">
        <f>SUM(D28:D39)</f>
        <v>7750.0400000000009</v>
      </c>
      <c r="E40" s="265"/>
      <c r="F40" s="59">
        <f t="shared" ref="F40:K40" si="20">SUM(F28:F39)</f>
        <v>7880</v>
      </c>
      <c r="G40" s="71">
        <f t="shared" si="20"/>
        <v>65656.25</v>
      </c>
      <c r="H40" s="64">
        <f t="shared" si="20"/>
        <v>20057.04</v>
      </c>
      <c r="I40" s="63">
        <f t="shared" si="20"/>
        <v>0</v>
      </c>
      <c r="J40" s="63">
        <f t="shared" si="20"/>
        <v>40922.68</v>
      </c>
      <c r="K40" s="79">
        <f t="shared" si="20"/>
        <v>60979.72</v>
      </c>
      <c r="L40" s="164">
        <f t="shared" si="17"/>
        <v>126635.97</v>
      </c>
      <c r="M40" s="165">
        <f>SUM(M28:M39)</f>
        <v>198960</v>
      </c>
      <c r="N40" s="76">
        <f t="shared" si="18"/>
        <v>72324.03</v>
      </c>
    </row>
    <row r="41" spans="1:14">
      <c r="B41" s="54"/>
      <c r="F41" s="54"/>
      <c r="G41" s="84"/>
      <c r="H41" s="54"/>
      <c r="I41" s="54"/>
      <c r="J41" s="54"/>
      <c r="K41" s="168"/>
      <c r="L41" s="168"/>
    </row>
    <row r="42" spans="1:14">
      <c r="A42" s="66" t="s">
        <v>25</v>
      </c>
      <c r="B42" s="255">
        <f>B24+B25+B26+B27+B40</f>
        <v>330884.13000000006</v>
      </c>
      <c r="C42" s="255"/>
      <c r="D42" s="255">
        <f>D24+D25+D26+D27+D40</f>
        <v>56183</v>
      </c>
      <c r="E42" s="255"/>
      <c r="F42" s="89">
        <f>+F40</f>
        <v>7880</v>
      </c>
      <c r="G42" s="85">
        <f>G24+G25+G26+G27+G40</f>
        <v>1248439.3899999999</v>
      </c>
      <c r="H42" s="89">
        <f>H26+H25+H24+H27+H40</f>
        <v>184311.65</v>
      </c>
      <c r="I42" s="89">
        <f>I26+I25+I24+I27+I40</f>
        <v>45575.43</v>
      </c>
      <c r="J42" s="89">
        <f>J26+J25+J24+J27+J40</f>
        <v>389230</v>
      </c>
      <c r="K42" s="89">
        <f>K26+K25+K24+K27+K40</f>
        <v>619117.07999999984</v>
      </c>
      <c r="L42" s="83">
        <f>L24+L25+L26+L27+L40</f>
        <v>1867556.47</v>
      </c>
      <c r="M42" s="89">
        <f>M26+M25+M24+M27+M40</f>
        <v>2990960</v>
      </c>
      <c r="N42" s="89">
        <f>N26+N25+N24+N27+N40</f>
        <v>1123403.53</v>
      </c>
    </row>
    <row r="43" spans="1:14">
      <c r="M43" s="46" t="s">
        <v>50</v>
      </c>
      <c r="N43" s="89">
        <f>N42-B46-B47-B48-B49-B50+B51+B52+B54</f>
        <v>921694.09000000008</v>
      </c>
    </row>
    <row r="44" spans="1:14">
      <c r="M44" s="46"/>
      <c r="N44" s="67"/>
    </row>
    <row r="45" spans="1:14" ht="15" customHeight="1">
      <c r="A45" s="259" t="s">
        <v>28</v>
      </c>
      <c r="B45" s="260"/>
      <c r="D45" s="291" t="s">
        <v>40</v>
      </c>
      <c r="E45" s="292"/>
      <c r="F45" s="292"/>
      <c r="G45" s="292"/>
    </row>
    <row r="46" spans="1:14" ht="15" customHeight="1">
      <c r="A46" s="97">
        <v>2015</v>
      </c>
      <c r="B46" s="65">
        <v>40.200000000000003</v>
      </c>
      <c r="D46" s="118"/>
      <c r="E46" s="119"/>
      <c r="F46" s="119"/>
      <c r="G46" s="119"/>
      <c r="H46" s="120"/>
    </row>
    <row r="47" spans="1:14" ht="15" customHeight="1">
      <c r="A47" s="109">
        <v>2016</v>
      </c>
      <c r="B47" s="61">
        <v>32832.730000000003</v>
      </c>
      <c r="D47" s="42"/>
      <c r="E47" s="106">
        <v>2017</v>
      </c>
      <c r="F47" s="106">
        <v>2018</v>
      </c>
      <c r="G47" s="106">
        <v>2019</v>
      </c>
      <c r="H47" s="124" t="s">
        <v>48</v>
      </c>
    </row>
    <row r="48" spans="1:14" ht="15" customHeight="1">
      <c r="A48" s="109">
        <v>2017</v>
      </c>
      <c r="B48" s="61">
        <v>58533.86</v>
      </c>
      <c r="D48" s="15" t="s">
        <v>83</v>
      </c>
      <c r="E48" s="117">
        <v>71641.881599999993</v>
      </c>
      <c r="F48" s="117">
        <v>133647.984</v>
      </c>
      <c r="G48" s="117">
        <v>117227.62239999999</v>
      </c>
      <c r="H48" s="125">
        <f>E48+F48+G48</f>
        <v>322517.48800000001</v>
      </c>
    </row>
    <row r="49" spans="1:8" ht="15" customHeight="1">
      <c r="A49" s="109">
        <v>2018</v>
      </c>
      <c r="B49" s="61">
        <v>66021.39</v>
      </c>
      <c r="D49" s="15" t="s">
        <v>84</v>
      </c>
      <c r="E49" s="117">
        <v>103217.232</v>
      </c>
      <c r="F49" s="117">
        <v>160511.21</v>
      </c>
      <c r="G49" s="117">
        <v>142404.03520000001</v>
      </c>
      <c r="H49" s="125">
        <f t="shared" ref="H49:H59" si="21">E49+F49+G49</f>
        <v>406132.47719999996</v>
      </c>
    </row>
    <row r="50" spans="1:8" ht="15" customHeight="1">
      <c r="A50" s="109">
        <v>2019</v>
      </c>
      <c r="B50" s="61">
        <v>72631.259999999995</v>
      </c>
      <c r="D50" s="15" t="s">
        <v>85</v>
      </c>
      <c r="E50" s="117">
        <v>184422.94560000001</v>
      </c>
      <c r="F50" s="117">
        <v>218879.92480000001</v>
      </c>
      <c r="G50" s="117">
        <v>186812.32</v>
      </c>
      <c r="H50" s="125">
        <f t="shared" si="21"/>
        <v>590115.19039999996</v>
      </c>
    </row>
    <row r="51" spans="1:8" ht="15" customHeight="1">
      <c r="A51" s="293" t="s">
        <v>29</v>
      </c>
      <c r="B51" s="294"/>
      <c r="D51" s="15" t="s">
        <v>86</v>
      </c>
      <c r="E51" s="117">
        <v>240114.48480000001</v>
      </c>
      <c r="F51" s="117">
        <v>245234.62239999999</v>
      </c>
      <c r="G51" s="117">
        <v>221598.6496</v>
      </c>
      <c r="H51" s="125">
        <f t="shared" si="21"/>
        <v>706947.75679999997</v>
      </c>
    </row>
    <row r="52" spans="1:8" ht="15" customHeight="1">
      <c r="A52" s="166">
        <v>2017</v>
      </c>
      <c r="B52" s="167">
        <v>16050</v>
      </c>
      <c r="D52" s="15" t="s">
        <v>87</v>
      </c>
      <c r="E52" s="117">
        <v>307594.83840000001</v>
      </c>
      <c r="F52" s="117">
        <v>289271.40639999998</v>
      </c>
      <c r="G52" s="117">
        <v>257961.05919999999</v>
      </c>
      <c r="H52" s="125">
        <f t="shared" si="21"/>
        <v>854827.304</v>
      </c>
    </row>
    <row r="53" spans="1:8" ht="15" customHeight="1">
      <c r="A53" s="109">
        <v>2018</v>
      </c>
      <c r="B53" s="61">
        <v>17550</v>
      </c>
      <c r="D53" s="15" t="s">
        <v>88</v>
      </c>
      <c r="E53" s="117">
        <v>343369.848</v>
      </c>
      <c r="F53" s="117">
        <v>357936.80320000002</v>
      </c>
      <c r="G53" s="117">
        <v>299351.77119999996</v>
      </c>
      <c r="H53" s="125">
        <f t="shared" si="21"/>
        <v>1000658.4223999999</v>
      </c>
    </row>
    <row r="54" spans="1:8" ht="15" customHeight="1">
      <c r="A54" s="110">
        <v>2019</v>
      </c>
      <c r="B54" s="111">
        <v>12300</v>
      </c>
      <c r="D54" s="15" t="s">
        <v>89</v>
      </c>
      <c r="E54" s="117">
        <v>294802.82400000002</v>
      </c>
      <c r="F54" s="117">
        <v>296439.69280000002</v>
      </c>
      <c r="G54" s="117">
        <v>297071.33919999999</v>
      </c>
      <c r="H54" s="125">
        <f t="shared" si="21"/>
        <v>888313.85600000015</v>
      </c>
    </row>
    <row r="55" spans="1:8" ht="15" customHeight="1">
      <c r="D55" s="15" t="s">
        <v>90</v>
      </c>
      <c r="E55" s="117">
        <v>276616.23360000004</v>
      </c>
      <c r="F55" s="117">
        <v>274808.21919999999</v>
      </c>
      <c r="G55" s="117">
        <v>312297.64480000001</v>
      </c>
      <c r="H55" s="125">
        <f t="shared" si="21"/>
        <v>863722.0976000001</v>
      </c>
    </row>
    <row r="56" spans="1:8" ht="15" customHeight="1">
      <c r="D56" s="15" t="s">
        <v>91</v>
      </c>
      <c r="E56" s="117">
        <v>224961.41279999999</v>
      </c>
      <c r="F56" s="117">
        <v>278233.408</v>
      </c>
      <c r="G56" s="117">
        <v>258465.98560000001</v>
      </c>
      <c r="H56" s="125">
        <f t="shared" si="21"/>
        <v>761660.8064</v>
      </c>
    </row>
    <row r="57" spans="1:8" ht="15" customHeight="1">
      <c r="D57" s="15" t="s">
        <v>92</v>
      </c>
      <c r="E57" s="117">
        <v>227837.5344</v>
      </c>
      <c r="F57" s="117">
        <v>179731.15359999999</v>
      </c>
      <c r="G57" s="117">
        <v>229214.89120000001</v>
      </c>
      <c r="H57" s="125">
        <f t="shared" si="21"/>
        <v>636783.57920000004</v>
      </c>
    </row>
    <row r="58" spans="1:8" ht="15" customHeight="1">
      <c r="D58" s="15" t="s">
        <v>93</v>
      </c>
      <c r="E58" s="117">
        <v>136140.03840000002</v>
      </c>
      <c r="F58" s="117">
        <v>146292.016</v>
      </c>
      <c r="G58" s="117">
        <v>134938.54694560001</v>
      </c>
      <c r="H58" s="125">
        <f t="shared" si="21"/>
        <v>417370.60134560004</v>
      </c>
    </row>
    <row r="59" spans="1:8" ht="15" customHeight="1">
      <c r="D59" s="15" t="s">
        <v>94</v>
      </c>
      <c r="E59" s="117">
        <v>129102.16799999999</v>
      </c>
      <c r="F59" s="117">
        <v>85459.71</v>
      </c>
      <c r="G59" s="117">
        <v>83674.489600000001</v>
      </c>
      <c r="H59" s="125">
        <f t="shared" si="21"/>
        <v>298236.3676</v>
      </c>
    </row>
    <row r="60" spans="1:8" ht="15" customHeight="1">
      <c r="D60" s="42"/>
      <c r="H60" s="50"/>
    </row>
    <row r="61" spans="1:8" ht="15" customHeight="1">
      <c r="D61" s="107" t="s">
        <v>45</v>
      </c>
      <c r="E61" s="108">
        <f>SUM(E48:E60)</f>
        <v>2539821.4416</v>
      </c>
      <c r="F61" s="108">
        <f>SUM(F48:F60)</f>
        <v>2666446.1503999997</v>
      </c>
      <c r="G61" s="108">
        <f>SUM(G48:G60)</f>
        <v>2541018.3549456</v>
      </c>
      <c r="H61" s="126">
        <f>SUM(H48:H60)</f>
        <v>7747285.9469456002</v>
      </c>
    </row>
  </sheetData>
  <mergeCells count="52">
    <mergeCell ref="A51:B51"/>
    <mergeCell ref="B38:C38"/>
    <mergeCell ref="D38:E38"/>
    <mergeCell ref="B39:C39"/>
    <mergeCell ref="D39:E39"/>
    <mergeCell ref="B40:C40"/>
    <mergeCell ref="D40:E40"/>
    <mergeCell ref="B35:C35"/>
    <mergeCell ref="D35:E35"/>
    <mergeCell ref="B36:C36"/>
    <mergeCell ref="D36:E36"/>
    <mergeCell ref="B37:C37"/>
    <mergeCell ref="D37:E37"/>
    <mergeCell ref="D32:E32"/>
    <mergeCell ref="B33:C33"/>
    <mergeCell ref="D33:E33"/>
    <mergeCell ref="B34:C34"/>
    <mergeCell ref="D34:E34"/>
    <mergeCell ref="R6:S6"/>
    <mergeCell ref="B42:C42"/>
    <mergeCell ref="D42:E42"/>
    <mergeCell ref="A45:B45"/>
    <mergeCell ref="D45:G45"/>
    <mergeCell ref="B27:C27"/>
    <mergeCell ref="D27:E27"/>
    <mergeCell ref="B28:C28"/>
    <mergeCell ref="D28:E28"/>
    <mergeCell ref="B29:C29"/>
    <mergeCell ref="D29:E29"/>
    <mergeCell ref="B30:C30"/>
    <mergeCell ref="D30:E30"/>
    <mergeCell ref="B31:C31"/>
    <mergeCell ref="D31:E31"/>
    <mergeCell ref="B32:C32"/>
    <mergeCell ref="B26:C26"/>
    <mergeCell ref="D26:E26"/>
    <mergeCell ref="B25:C25"/>
    <mergeCell ref="D25:E25"/>
    <mergeCell ref="B24:C24"/>
    <mergeCell ref="D24:E24"/>
    <mergeCell ref="A1:P1"/>
    <mergeCell ref="A3:H3"/>
    <mergeCell ref="I3:L3"/>
    <mergeCell ref="M3:P3"/>
    <mergeCell ref="B4:C4"/>
    <mergeCell ref="D4:F4"/>
    <mergeCell ref="G4:H4"/>
    <mergeCell ref="A21:P21"/>
    <mergeCell ref="B22:G22"/>
    <mergeCell ref="H22:K22"/>
    <mergeCell ref="B23:C23"/>
    <mergeCell ref="D23:E23"/>
  </mergeCells>
  <conditionalFormatting sqref="N28:N39">
    <cfRule type="colorScale" priority="1">
      <colorScale>
        <cfvo type="min"/>
        <cfvo type="max"/>
        <color rgb="FFFCFCFF"/>
        <color rgb="FF63BE7B"/>
      </colorScale>
    </cfRule>
  </conditionalFormatting>
  <conditionalFormatting sqref="N40">
    <cfRule type="colorScale" priority="3">
      <colorScale>
        <cfvo type="min"/>
        <cfvo type="max"/>
        <color rgb="FFFCFCFF"/>
        <color rgb="FF63BE7B"/>
      </colorScale>
    </cfRule>
  </conditionalFormatting>
  <conditionalFormatting sqref="N41:N42 N24:N27">
    <cfRule type="colorScale" priority="23">
      <colorScale>
        <cfvo type="min"/>
        <cfvo type="max"/>
        <color rgb="FFFCFCFF"/>
        <color rgb="FF63BE7B"/>
      </colorScale>
    </cfRule>
  </conditionalFormatting>
  <conditionalFormatting sqref="N43:N44">
    <cfRule type="colorScale" priority="4">
      <colorScale>
        <cfvo type="min"/>
        <cfvo type="max"/>
        <color rgb="FFFCFCFF"/>
        <color rgb="FF63BE7B"/>
      </colorScale>
    </cfRule>
  </conditionalFormatting>
  <pageMargins left="0.7" right="0.7" top="0.75" bottom="0.75" header="0.3" footer="0.3"/>
  <pageSetup paperSize="3" scale="46"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74"/>
  <sheetViews>
    <sheetView showGridLines="0" zoomScale="70" zoomScaleNormal="70" workbookViewId="0">
      <selection activeCell="M53" sqref="M53"/>
    </sheetView>
  </sheetViews>
  <sheetFormatPr defaultRowHeight="15"/>
  <cols>
    <col min="1" max="1" width="14.85546875" bestFit="1" customWidth="1"/>
    <col min="2" max="2" width="14.42578125" bestFit="1" customWidth="1"/>
    <col min="3" max="3" width="10.28515625" bestFit="1" customWidth="1"/>
    <col min="4" max="4" width="13.42578125" bestFit="1" customWidth="1"/>
    <col min="5" max="5" width="18.28515625" bestFit="1" customWidth="1"/>
    <col min="6" max="6" width="17.7109375" customWidth="1"/>
    <col min="7" max="7" width="18.5703125" bestFit="1" customWidth="1"/>
    <col min="8" max="8" width="18.7109375" bestFit="1" customWidth="1"/>
    <col min="9" max="9" width="19.7109375" bestFit="1" customWidth="1"/>
    <col min="10" max="10" width="17.85546875" bestFit="1" customWidth="1"/>
    <col min="11" max="11" width="18.28515625" bestFit="1" customWidth="1"/>
    <col min="12" max="12" width="20.28515625" customWidth="1"/>
    <col min="13" max="13" width="35.42578125" bestFit="1" customWidth="1"/>
    <col min="14" max="14" width="18.28515625" bestFit="1" customWidth="1"/>
    <col min="15" max="15" width="11.28515625" customWidth="1"/>
    <col min="16" max="16" width="17.140625" customWidth="1"/>
    <col min="18" max="18" width="13" customWidth="1"/>
    <col min="19" max="19" width="13.5703125" bestFit="1" customWidth="1"/>
    <col min="20" max="20" width="6.42578125" customWidth="1"/>
    <col min="21" max="23" width="4.140625" customWidth="1"/>
    <col min="24" max="24" width="12" bestFit="1" customWidth="1"/>
    <col min="25" max="25" width="12.42578125" bestFit="1" customWidth="1"/>
    <col min="26" max="26" width="2" customWidth="1"/>
    <col min="27" max="27" width="12.140625" customWidth="1"/>
    <col min="28" max="28" width="14.28515625" customWidth="1"/>
    <col min="29" max="29" width="10.7109375" bestFit="1" customWidth="1"/>
    <col min="30" max="31" width="10.5703125" bestFit="1" customWidth="1"/>
  </cols>
  <sheetData>
    <row r="1" spans="1:31" ht="32.25">
      <c r="A1" s="269" t="s">
        <v>111</v>
      </c>
      <c r="B1" s="270"/>
      <c r="C1" s="270"/>
      <c r="D1" s="270"/>
      <c r="E1" s="270"/>
      <c r="F1" s="270"/>
      <c r="G1" s="270"/>
      <c r="H1" s="270"/>
      <c r="I1" s="270"/>
      <c r="J1" s="270"/>
      <c r="K1" s="270"/>
      <c r="L1" s="270"/>
      <c r="M1" s="270"/>
      <c r="N1" s="270"/>
      <c r="O1" s="270"/>
      <c r="P1" s="271"/>
    </row>
    <row r="2" spans="1:31" ht="24.75" thickBot="1">
      <c r="A2" s="1"/>
      <c r="B2" s="2"/>
      <c r="C2" s="2"/>
      <c r="D2" s="2"/>
      <c r="E2" s="2"/>
      <c r="F2" s="3"/>
      <c r="G2" s="3"/>
      <c r="H2" s="3"/>
      <c r="I2" s="3"/>
      <c r="J2" s="3"/>
      <c r="K2" s="4"/>
      <c r="L2" s="4"/>
    </row>
    <row r="3" spans="1:31" ht="20.25" thickBot="1">
      <c r="A3" s="272" t="s">
        <v>114</v>
      </c>
      <c r="B3" s="273"/>
      <c r="C3" s="273"/>
      <c r="D3" s="273"/>
      <c r="E3" s="273"/>
      <c r="F3" s="273"/>
      <c r="G3" s="273"/>
      <c r="H3" s="273"/>
      <c r="I3" s="274" t="s">
        <v>2</v>
      </c>
      <c r="J3" s="275"/>
      <c r="K3" s="275"/>
      <c r="L3" s="276"/>
      <c r="M3" s="274" t="s">
        <v>3</v>
      </c>
      <c r="N3" s="275"/>
      <c r="O3" s="275"/>
      <c r="P3" s="277"/>
    </row>
    <row r="4" spans="1:31">
      <c r="A4" s="51"/>
      <c r="B4" s="278" t="s">
        <v>4</v>
      </c>
      <c r="C4" s="279"/>
      <c r="D4" s="278" t="s">
        <v>5</v>
      </c>
      <c r="E4" s="280"/>
      <c r="F4" s="279"/>
      <c r="G4" s="280" t="s">
        <v>11</v>
      </c>
      <c r="H4" s="279"/>
      <c r="I4" s="6"/>
      <c r="J4" s="52"/>
      <c r="K4" s="52"/>
      <c r="L4" s="53"/>
      <c r="M4" s="6"/>
      <c r="N4" s="52"/>
      <c r="O4" s="52"/>
      <c r="P4" s="53"/>
    </row>
    <row r="5" spans="1:31">
      <c r="A5" s="8"/>
      <c r="B5" s="9">
        <v>1</v>
      </c>
      <c r="C5" s="10">
        <v>3</v>
      </c>
      <c r="D5" s="9">
        <v>23</v>
      </c>
      <c r="E5" s="11">
        <v>6</v>
      </c>
      <c r="F5" s="10" t="s">
        <v>7</v>
      </c>
      <c r="G5" s="12" t="s">
        <v>4</v>
      </c>
      <c r="H5" s="13" t="s">
        <v>5</v>
      </c>
      <c r="I5" s="8"/>
      <c r="J5" s="12" t="s">
        <v>4</v>
      </c>
      <c r="K5" s="12" t="s">
        <v>5</v>
      </c>
      <c r="L5" s="14" t="s">
        <v>8</v>
      </c>
      <c r="M5" s="8"/>
      <c r="N5" s="12" t="s">
        <v>9</v>
      </c>
      <c r="O5" s="12" t="s">
        <v>10</v>
      </c>
      <c r="P5" s="14" t="s">
        <v>11</v>
      </c>
      <c r="Q5" s="160">
        <v>20.190000000000001</v>
      </c>
      <c r="X5" t="s">
        <v>101</v>
      </c>
      <c r="Y5" t="s">
        <v>102</v>
      </c>
      <c r="AA5" t="s">
        <v>110</v>
      </c>
      <c r="AB5" t="s">
        <v>109</v>
      </c>
    </row>
    <row r="6" spans="1:31">
      <c r="A6" s="15">
        <v>43831</v>
      </c>
      <c r="B6" s="16">
        <v>1330439</v>
      </c>
      <c r="C6" s="16">
        <v>9200</v>
      </c>
      <c r="D6" s="17">
        <v>191480</v>
      </c>
      <c r="E6" s="17">
        <v>156400</v>
      </c>
      <c r="F6" s="17">
        <v>2208400</v>
      </c>
      <c r="G6" s="18">
        <f>B6+C6</f>
        <v>1339639</v>
      </c>
      <c r="H6" s="129">
        <f>D6+E6+F6</f>
        <v>2556280</v>
      </c>
      <c r="I6" s="15">
        <v>43831</v>
      </c>
      <c r="J6" s="20">
        <f t="shared" ref="J6:J17" si="0">G6*0.06525</f>
        <v>87411.44475000001</v>
      </c>
      <c r="K6" s="21">
        <f t="shared" ref="K6:K17" si="1">H6*0.06225</f>
        <v>159128.43</v>
      </c>
      <c r="L6" s="22">
        <f>SUM(J6:K6)</f>
        <v>246539.87475000002</v>
      </c>
      <c r="M6" s="15">
        <v>43831</v>
      </c>
      <c r="N6" s="23">
        <v>1893014</v>
      </c>
      <c r="O6" s="23">
        <v>338804</v>
      </c>
      <c r="P6" s="24">
        <f>SUM(N6:O6)</f>
        <v>2231818</v>
      </c>
      <c r="Q6" s="175">
        <f>P6/'2019 Dashboard'!P6</f>
        <v>1.0049237172782177</v>
      </c>
      <c r="R6" s="295" t="s">
        <v>106</v>
      </c>
      <c r="S6" s="243"/>
      <c r="X6" s="155">
        <f t="shared" ref="X6:X17" si="2">(H6+G6)</f>
        <v>3895919</v>
      </c>
      <c r="Y6" s="155">
        <f>P6</f>
        <v>2231818</v>
      </c>
      <c r="AA6" s="155">
        <f>X6</f>
        <v>3895919</v>
      </c>
      <c r="AB6" s="155">
        <f>Y6</f>
        <v>2231818</v>
      </c>
      <c r="AD6" s="155"/>
      <c r="AE6" s="155"/>
    </row>
    <row r="7" spans="1:31">
      <c r="A7" s="15">
        <v>43862</v>
      </c>
      <c r="B7" s="16">
        <v>1364960</v>
      </c>
      <c r="C7" s="16">
        <v>10400</v>
      </c>
      <c r="D7" s="17">
        <v>213400</v>
      </c>
      <c r="E7" s="17">
        <v>162600</v>
      </c>
      <c r="F7" s="17">
        <v>2408200</v>
      </c>
      <c r="G7" s="18">
        <f>B7+C7</f>
        <v>1375360</v>
      </c>
      <c r="H7" s="129">
        <f>D7+E7+F7</f>
        <v>2784200</v>
      </c>
      <c r="I7" s="15">
        <v>43862</v>
      </c>
      <c r="J7" s="20">
        <f t="shared" si="0"/>
        <v>89742.24</v>
      </c>
      <c r="K7" s="21">
        <f t="shared" si="1"/>
        <v>173316.45</v>
      </c>
      <c r="L7" s="22">
        <f t="shared" ref="L7:L17" si="3">SUM(J7:K7)</f>
        <v>263058.69</v>
      </c>
      <c r="M7" s="15">
        <v>43862</v>
      </c>
      <c r="N7" s="23">
        <v>2992697</v>
      </c>
      <c r="O7" s="23">
        <v>321455</v>
      </c>
      <c r="P7" s="24">
        <f>SUM(N7:O7)</f>
        <v>3314152</v>
      </c>
      <c r="Q7" s="175">
        <f>P7/'2019 Dashboard'!P7</f>
        <v>1.2285061138914539</v>
      </c>
      <c r="X7" s="155">
        <f t="shared" si="2"/>
        <v>4159560</v>
      </c>
      <c r="Y7" s="155">
        <f t="shared" ref="Y7:Y8" si="4">P7</f>
        <v>3314152</v>
      </c>
      <c r="AA7" s="155">
        <f>X7+AA6</f>
        <v>8055479</v>
      </c>
      <c r="AB7" s="155">
        <f>AB6+Y7</f>
        <v>5545970</v>
      </c>
      <c r="AD7" s="155"/>
      <c r="AE7" s="155"/>
    </row>
    <row r="8" spans="1:31">
      <c r="A8" s="15">
        <v>43891</v>
      </c>
      <c r="B8" s="16">
        <v>1337800</v>
      </c>
      <c r="C8" s="16">
        <v>10800</v>
      </c>
      <c r="D8" s="17">
        <v>201680</v>
      </c>
      <c r="E8" s="17">
        <v>164800</v>
      </c>
      <c r="F8" s="17">
        <v>2308800</v>
      </c>
      <c r="G8" s="18">
        <f>B8+C8</f>
        <v>1348600</v>
      </c>
      <c r="H8" s="129">
        <f>D8+E8+F8</f>
        <v>2675280</v>
      </c>
      <c r="I8" s="15">
        <v>43891</v>
      </c>
      <c r="J8" s="20">
        <f t="shared" si="0"/>
        <v>87996.150000000009</v>
      </c>
      <c r="K8" s="21">
        <f t="shared" si="1"/>
        <v>166536.18</v>
      </c>
      <c r="L8" s="22">
        <f t="shared" si="3"/>
        <v>254532.33000000002</v>
      </c>
      <c r="M8" s="15">
        <v>43891</v>
      </c>
      <c r="N8" s="23">
        <v>3351491</v>
      </c>
      <c r="O8" s="23">
        <v>641157</v>
      </c>
      <c r="P8" s="24">
        <f>SUM(N8:O8)</f>
        <v>3992648</v>
      </c>
      <c r="Q8" s="175">
        <f>P8/'2019 Dashboard'!P8</f>
        <v>1.1282570946160748</v>
      </c>
      <c r="R8" t="s">
        <v>103</v>
      </c>
      <c r="X8" s="155">
        <f t="shared" si="2"/>
        <v>4023880</v>
      </c>
      <c r="Y8" s="155">
        <f t="shared" si="4"/>
        <v>3992648</v>
      </c>
      <c r="AA8" s="155">
        <f t="shared" ref="AA8:AA17" si="5">X8+AA7</f>
        <v>12079359</v>
      </c>
      <c r="AB8" s="155">
        <f t="shared" ref="AB8:AB17" si="6">AB7+Y8</f>
        <v>9538618</v>
      </c>
      <c r="AC8" s="155"/>
      <c r="AD8" s="155"/>
      <c r="AE8" s="155"/>
    </row>
    <row r="9" spans="1:31">
      <c r="A9" s="15">
        <v>43922</v>
      </c>
      <c r="B9" s="16">
        <v>1329800</v>
      </c>
      <c r="C9" s="16">
        <v>10800</v>
      </c>
      <c r="D9" s="17">
        <v>185200</v>
      </c>
      <c r="E9" s="17">
        <v>171800</v>
      </c>
      <c r="F9" s="17">
        <v>2213000</v>
      </c>
      <c r="G9" s="18">
        <f>B9+C9</f>
        <v>1340600</v>
      </c>
      <c r="H9" s="129">
        <f>D9+E9+F9</f>
        <v>2570000</v>
      </c>
      <c r="I9" s="15">
        <v>43922</v>
      </c>
      <c r="J9" s="20">
        <f t="shared" si="0"/>
        <v>87474.150000000009</v>
      </c>
      <c r="K9" s="21">
        <f t="shared" si="1"/>
        <v>159982.5</v>
      </c>
      <c r="L9" s="22">
        <f t="shared" si="3"/>
        <v>247456.65000000002</v>
      </c>
      <c r="M9" s="15">
        <v>43922</v>
      </c>
      <c r="N9" s="23">
        <v>4332120</v>
      </c>
      <c r="O9" s="23">
        <v>669523</v>
      </c>
      <c r="P9" s="24">
        <f t="shared" ref="P9:P17" si="7">SUM(N9:O9)</f>
        <v>5001643</v>
      </c>
      <c r="Q9" s="175">
        <f>P9/'2019 Dashboard'!P9</f>
        <v>1.1915462786297051</v>
      </c>
      <c r="R9" t="s">
        <v>101</v>
      </c>
      <c r="S9" s="157">
        <f>SUM(G6:H17)</f>
        <v>48489550</v>
      </c>
      <c r="X9" s="155">
        <f t="shared" si="2"/>
        <v>3910600</v>
      </c>
      <c r="Y9" s="155">
        <f t="shared" ref="Y9:Y17" si="8">P9</f>
        <v>5001643</v>
      </c>
      <c r="AA9" s="155">
        <f t="shared" si="5"/>
        <v>15989959</v>
      </c>
      <c r="AB9" s="155">
        <f t="shared" si="6"/>
        <v>14540261</v>
      </c>
      <c r="AC9" s="155"/>
      <c r="AD9" s="155"/>
      <c r="AE9" s="155"/>
    </row>
    <row r="10" spans="1:31">
      <c r="A10" s="15">
        <v>43952</v>
      </c>
      <c r="B10" s="16">
        <v>1351400</v>
      </c>
      <c r="C10" s="16">
        <v>10800</v>
      </c>
      <c r="D10" s="17">
        <v>192600</v>
      </c>
      <c r="E10" s="17">
        <v>171200</v>
      </c>
      <c r="F10" s="17">
        <v>2185000</v>
      </c>
      <c r="G10" s="18">
        <f>B10+C10</f>
        <v>1362200</v>
      </c>
      <c r="H10" s="129">
        <f t="shared" ref="H10:H17" si="9">D10+E10+F10</f>
        <v>2548800</v>
      </c>
      <c r="I10" s="15">
        <v>43952</v>
      </c>
      <c r="J10" s="20">
        <f t="shared" si="0"/>
        <v>88883.55</v>
      </c>
      <c r="K10" s="21">
        <f t="shared" si="1"/>
        <v>158662.79999999999</v>
      </c>
      <c r="L10" s="22">
        <f t="shared" si="3"/>
        <v>247546.34999999998</v>
      </c>
      <c r="M10" s="15">
        <v>43952</v>
      </c>
      <c r="N10" s="23">
        <v>4577091.2480000015</v>
      </c>
      <c r="O10" s="23">
        <v>1051152.0450000004</v>
      </c>
      <c r="P10" s="24">
        <f t="shared" si="7"/>
        <v>5628243.2930000015</v>
      </c>
      <c r="Q10" s="175">
        <f>P10/'2019 Dashboard'!P10</f>
        <v>1.1518441281307761</v>
      </c>
      <c r="R10" t="s">
        <v>102</v>
      </c>
      <c r="S10" s="157">
        <f>SUM(P6:P17)</f>
        <v>49992944.101999998</v>
      </c>
      <c r="X10" s="155">
        <f t="shared" si="2"/>
        <v>3911000</v>
      </c>
      <c r="Y10" s="155">
        <f t="shared" si="8"/>
        <v>5628243.2930000015</v>
      </c>
      <c r="AA10" s="155">
        <f t="shared" si="5"/>
        <v>19900959</v>
      </c>
      <c r="AB10" s="155">
        <f t="shared" si="6"/>
        <v>20168504.293000001</v>
      </c>
    </row>
    <row r="11" spans="1:31">
      <c r="A11" s="15">
        <v>43983</v>
      </c>
      <c r="B11" s="16">
        <v>1316200</v>
      </c>
      <c r="C11" s="16">
        <v>11800</v>
      </c>
      <c r="D11" s="17">
        <v>185600</v>
      </c>
      <c r="E11" s="184">
        <v>157663</v>
      </c>
      <c r="F11" s="17">
        <v>2156200</v>
      </c>
      <c r="G11" s="18">
        <f t="shared" ref="G11:G17" si="10">B11+C11</f>
        <v>1328000</v>
      </c>
      <c r="H11" s="129">
        <f t="shared" si="9"/>
        <v>2499463</v>
      </c>
      <c r="I11" s="15">
        <v>43983</v>
      </c>
      <c r="J11" s="20">
        <f t="shared" si="0"/>
        <v>86652</v>
      </c>
      <c r="K11" s="21">
        <f t="shared" si="1"/>
        <v>155591.57175</v>
      </c>
      <c r="L11" s="22">
        <f t="shared" si="3"/>
        <v>242243.57175</v>
      </c>
      <c r="M11" s="15">
        <v>43983</v>
      </c>
      <c r="N11" s="23">
        <v>4976680.2720000008</v>
      </c>
      <c r="O11" s="23">
        <v>663778.15500000014</v>
      </c>
      <c r="P11" s="24">
        <f t="shared" si="7"/>
        <v>5640458.4270000011</v>
      </c>
      <c r="Q11" s="175">
        <f>P11/'2019 Dashboard'!P11</f>
        <v>0.99475405593872834</v>
      </c>
      <c r="R11" s="150" t="s">
        <v>97</v>
      </c>
      <c r="X11" s="155">
        <f t="shared" si="2"/>
        <v>3827463</v>
      </c>
      <c r="Y11" s="155">
        <f t="shared" si="8"/>
        <v>5640458.4270000011</v>
      </c>
      <c r="AA11" s="155">
        <f t="shared" si="5"/>
        <v>23728422</v>
      </c>
      <c r="AB11" s="155">
        <f t="shared" si="6"/>
        <v>25808962.720000003</v>
      </c>
    </row>
    <row r="12" spans="1:31">
      <c r="A12" s="15">
        <v>44013</v>
      </c>
      <c r="B12" s="16">
        <v>1373751</v>
      </c>
      <c r="C12" s="16">
        <v>11728</v>
      </c>
      <c r="D12" s="17">
        <v>212041</v>
      </c>
      <c r="E12" s="17">
        <v>256000</v>
      </c>
      <c r="F12" s="17">
        <v>2364400</v>
      </c>
      <c r="G12" s="18">
        <f t="shared" si="10"/>
        <v>1385479</v>
      </c>
      <c r="H12" s="129">
        <f t="shared" si="9"/>
        <v>2832441</v>
      </c>
      <c r="I12" s="15">
        <v>44013</v>
      </c>
      <c r="J12" s="20">
        <f t="shared" si="0"/>
        <v>90402.504750000007</v>
      </c>
      <c r="K12" s="21">
        <f t="shared" si="1"/>
        <v>176319.45225</v>
      </c>
      <c r="L12" s="22">
        <f t="shared" si="3"/>
        <v>266721.95699999999</v>
      </c>
      <c r="M12" s="15">
        <v>44013</v>
      </c>
      <c r="N12" s="23">
        <v>4933824.1070000017</v>
      </c>
      <c r="O12" s="23">
        <v>1051545.8539999996</v>
      </c>
      <c r="P12" s="24">
        <f t="shared" si="7"/>
        <v>5985369.9610000011</v>
      </c>
      <c r="Q12" s="175">
        <f>P12/'2019 Dashboard'!P12</f>
        <v>1.0636849243666358</v>
      </c>
      <c r="R12" s="150" t="s">
        <v>104</v>
      </c>
      <c r="S12" s="155">
        <f>S10-S9</f>
        <v>1503394.1019999981</v>
      </c>
      <c r="X12" s="155">
        <f t="shared" si="2"/>
        <v>4217920</v>
      </c>
      <c r="Y12" s="155">
        <f t="shared" si="8"/>
        <v>5985369.9610000011</v>
      </c>
      <c r="AA12" s="155">
        <f t="shared" si="5"/>
        <v>27946342</v>
      </c>
      <c r="AB12" s="155">
        <f t="shared" si="6"/>
        <v>31794332.681000002</v>
      </c>
    </row>
    <row r="13" spans="1:31">
      <c r="A13" s="15">
        <v>44044</v>
      </c>
      <c r="B13" s="16">
        <v>1461242</v>
      </c>
      <c r="C13" s="16">
        <v>12356</v>
      </c>
      <c r="D13" s="17">
        <v>190785</v>
      </c>
      <c r="E13" s="184">
        <v>50600</v>
      </c>
      <c r="F13" s="17">
        <v>2213600</v>
      </c>
      <c r="G13" s="18">
        <f t="shared" si="10"/>
        <v>1473598</v>
      </c>
      <c r="H13" s="129">
        <f t="shared" si="9"/>
        <v>2454985</v>
      </c>
      <c r="I13" s="15">
        <v>44044</v>
      </c>
      <c r="J13" s="20">
        <f t="shared" si="0"/>
        <v>96152.269500000009</v>
      </c>
      <c r="K13" s="21">
        <f t="shared" si="1"/>
        <v>152822.81625</v>
      </c>
      <c r="L13" s="22">
        <f t="shared" si="3"/>
        <v>248975.08575000003</v>
      </c>
      <c r="M13" s="15">
        <v>44044</v>
      </c>
      <c r="N13" s="23">
        <v>4882579.1899999958</v>
      </c>
      <c r="O13" s="23">
        <v>911901.73600000038</v>
      </c>
      <c r="P13" s="24">
        <f t="shared" si="7"/>
        <v>5794480.9259999963</v>
      </c>
      <c r="Q13" s="175">
        <f>P13/'2019 Dashboard'!P13</f>
        <v>0.9795600875749374</v>
      </c>
      <c r="X13" s="155">
        <f t="shared" si="2"/>
        <v>3928583</v>
      </c>
      <c r="Y13" s="155">
        <f t="shared" si="8"/>
        <v>5794480.9259999963</v>
      </c>
      <c r="AA13" s="155">
        <f t="shared" si="5"/>
        <v>31874925</v>
      </c>
      <c r="AB13" s="155">
        <f t="shared" si="6"/>
        <v>37588813.607000001</v>
      </c>
    </row>
    <row r="14" spans="1:31">
      <c r="A14" s="15">
        <v>44075</v>
      </c>
      <c r="B14" s="16">
        <v>1473664</v>
      </c>
      <c r="C14" s="16">
        <v>13031</v>
      </c>
      <c r="D14" s="17">
        <v>215996</v>
      </c>
      <c r="E14" s="17">
        <v>274000</v>
      </c>
      <c r="F14" s="17">
        <v>2562800</v>
      </c>
      <c r="G14" s="18">
        <f t="shared" si="10"/>
        <v>1486695</v>
      </c>
      <c r="H14" s="129">
        <f t="shared" si="9"/>
        <v>3052796</v>
      </c>
      <c r="I14" s="15">
        <v>44075</v>
      </c>
      <c r="J14" s="20">
        <f t="shared" si="0"/>
        <v>97006.848750000005</v>
      </c>
      <c r="K14" s="21">
        <f t="shared" si="1"/>
        <v>190036.55100000001</v>
      </c>
      <c r="L14" s="22">
        <f t="shared" si="3"/>
        <v>287043.39974999998</v>
      </c>
      <c r="M14" s="15">
        <v>44075</v>
      </c>
      <c r="N14" s="23">
        <v>3982003.0769999996</v>
      </c>
      <c r="O14" s="23">
        <v>797233.09499999997</v>
      </c>
      <c r="P14" s="24">
        <f t="shared" si="7"/>
        <v>4779236.1719999993</v>
      </c>
      <c r="Q14" s="175">
        <f>P14/'2019 Dashboard'!P14</f>
        <v>0.97618068765150567</v>
      </c>
      <c r="X14" s="155">
        <f t="shared" si="2"/>
        <v>4539491</v>
      </c>
      <c r="Y14" s="155">
        <f t="shared" si="8"/>
        <v>4779236.1719999993</v>
      </c>
      <c r="AA14" s="155">
        <f t="shared" si="5"/>
        <v>36414416</v>
      </c>
      <c r="AB14" s="155">
        <f t="shared" si="6"/>
        <v>42368049.778999999</v>
      </c>
    </row>
    <row r="15" spans="1:31">
      <c r="A15" s="15">
        <v>44105</v>
      </c>
      <c r="B15" s="16">
        <v>1391519</v>
      </c>
      <c r="C15" s="16">
        <v>12765</v>
      </c>
      <c r="D15" s="17">
        <v>185507</v>
      </c>
      <c r="E15" s="184">
        <v>58400</v>
      </c>
      <c r="F15" s="17">
        <v>2297200</v>
      </c>
      <c r="G15" s="18">
        <f t="shared" si="10"/>
        <v>1404284</v>
      </c>
      <c r="H15" s="129">
        <f t="shared" si="9"/>
        <v>2541107</v>
      </c>
      <c r="I15" s="15">
        <v>44105</v>
      </c>
      <c r="J15" s="20">
        <f t="shared" si="0"/>
        <v>91629.531000000003</v>
      </c>
      <c r="K15" s="21">
        <f t="shared" si="1"/>
        <v>158183.91075000001</v>
      </c>
      <c r="L15" s="22">
        <f t="shared" si="3"/>
        <v>249813.44175</v>
      </c>
      <c r="M15" s="15">
        <v>44105</v>
      </c>
      <c r="N15" s="23">
        <v>2787328.9569999976</v>
      </c>
      <c r="O15" s="23">
        <v>339885.93299999996</v>
      </c>
      <c r="P15" s="24">
        <f t="shared" si="7"/>
        <v>3127214.8899999978</v>
      </c>
      <c r="Q15" s="175">
        <f>P15/'2019 Dashboard'!P15</f>
        <v>0.72024874396974148</v>
      </c>
      <c r="X15" s="155">
        <f t="shared" si="2"/>
        <v>3945391</v>
      </c>
      <c r="Y15" s="155">
        <f t="shared" si="8"/>
        <v>3127214.8899999978</v>
      </c>
      <c r="AA15" s="155">
        <f t="shared" si="5"/>
        <v>40359807</v>
      </c>
      <c r="AB15" s="155">
        <f t="shared" si="6"/>
        <v>45495264.669</v>
      </c>
    </row>
    <row r="16" spans="1:31">
      <c r="A16" s="15">
        <v>44136</v>
      </c>
      <c r="B16" s="16">
        <v>1412616</v>
      </c>
      <c r="C16" s="16">
        <v>13820</v>
      </c>
      <c r="D16" s="17">
        <v>165156</v>
      </c>
      <c r="E16" s="17">
        <v>287800</v>
      </c>
      <c r="F16" s="17">
        <v>2275600</v>
      </c>
      <c r="G16" s="18">
        <f t="shared" si="10"/>
        <v>1426436</v>
      </c>
      <c r="H16" s="129">
        <f t="shared" si="9"/>
        <v>2728556</v>
      </c>
      <c r="I16" s="15">
        <v>44136</v>
      </c>
      <c r="J16" s="20">
        <f t="shared" si="0"/>
        <v>93074.949000000008</v>
      </c>
      <c r="K16" s="21">
        <f t="shared" si="1"/>
        <v>169852.611</v>
      </c>
      <c r="L16" s="22">
        <f t="shared" si="3"/>
        <v>262927.56</v>
      </c>
      <c r="M16" s="15">
        <v>44136</v>
      </c>
      <c r="N16" s="23">
        <v>2230794.1170000001</v>
      </c>
      <c r="O16" s="23">
        <v>488863.08200000005</v>
      </c>
      <c r="P16" s="24">
        <f t="shared" si="7"/>
        <v>2719657.199</v>
      </c>
      <c r="Q16" s="175">
        <f>P16/'2019 Dashboard'!P16</f>
        <v>1.06389661794304</v>
      </c>
      <c r="X16" s="155">
        <f t="shared" si="2"/>
        <v>4154992</v>
      </c>
      <c r="Y16" s="155">
        <f t="shared" si="8"/>
        <v>2719657.199</v>
      </c>
      <c r="AA16" s="155">
        <f t="shared" si="5"/>
        <v>44514799</v>
      </c>
      <c r="AB16" s="155">
        <f t="shared" si="6"/>
        <v>48214921.868000001</v>
      </c>
    </row>
    <row r="17" spans="1:29">
      <c r="A17" s="15">
        <v>44166</v>
      </c>
      <c r="B17" s="16">
        <v>1432215</v>
      </c>
      <c r="C17" s="16">
        <v>16015</v>
      </c>
      <c r="D17" s="17">
        <v>180321</v>
      </c>
      <c r="E17" s="184">
        <v>62600</v>
      </c>
      <c r="F17" s="17">
        <v>2283600</v>
      </c>
      <c r="G17" s="18">
        <f t="shared" si="10"/>
        <v>1448230</v>
      </c>
      <c r="H17" s="129">
        <f t="shared" si="9"/>
        <v>2526521</v>
      </c>
      <c r="I17" s="15">
        <v>44166</v>
      </c>
      <c r="J17" s="20">
        <f t="shared" si="0"/>
        <v>94497.007500000007</v>
      </c>
      <c r="K17" s="21">
        <f t="shared" si="1"/>
        <v>157275.93225000001</v>
      </c>
      <c r="L17" s="22">
        <f t="shared" si="3"/>
        <v>251772.93975000002</v>
      </c>
      <c r="M17" s="15">
        <v>44166</v>
      </c>
      <c r="N17" s="23">
        <v>1480258.6929999993</v>
      </c>
      <c r="O17" s="23">
        <v>297763.54099999991</v>
      </c>
      <c r="P17" s="24">
        <f t="shared" si="7"/>
        <v>1778022.2339999992</v>
      </c>
      <c r="Q17" s="175">
        <f>P17/'2019 Dashboard'!P17</f>
        <v>1.1214926097841118</v>
      </c>
      <c r="R17" s="149" t="s">
        <v>105</v>
      </c>
      <c r="X17" s="155">
        <f t="shared" si="2"/>
        <v>3974751</v>
      </c>
      <c r="Y17" s="155">
        <f t="shared" si="8"/>
        <v>1778022.2339999992</v>
      </c>
      <c r="AA17" s="155">
        <f t="shared" si="5"/>
        <v>48489550</v>
      </c>
      <c r="AB17" s="155">
        <f t="shared" si="6"/>
        <v>49992944.101999998</v>
      </c>
      <c r="AC17" s="155"/>
    </row>
    <row r="18" spans="1:29">
      <c r="A18" s="26"/>
      <c r="B18" s="27"/>
      <c r="C18" s="27"/>
      <c r="D18" s="27"/>
      <c r="E18" s="27"/>
      <c r="F18" s="27"/>
      <c r="G18" s="27"/>
      <c r="H18" s="130"/>
      <c r="I18" s="28"/>
      <c r="J18" s="29"/>
      <c r="K18" s="29"/>
      <c r="L18" s="30"/>
      <c r="M18" s="31"/>
      <c r="N18" s="151"/>
      <c r="O18" s="152"/>
      <c r="P18" s="7"/>
      <c r="R18" s="153" t="s">
        <v>99</v>
      </c>
      <c r="S18" s="153" t="s">
        <v>98</v>
      </c>
      <c r="T18" t="s">
        <v>107</v>
      </c>
      <c r="X18" s="155">
        <f>SUM(X6:X17)</f>
        <v>48489550</v>
      </c>
      <c r="Y18" s="155">
        <f>SUM(Y6:Y17)</f>
        <v>49992944.101999998</v>
      </c>
      <c r="AA18" s="159">
        <f>AA17/AB17</f>
        <v>0.96992787424296034</v>
      </c>
      <c r="AB18" s="155"/>
    </row>
    <row r="19" spans="1:29">
      <c r="A19" s="34" t="s">
        <v>11</v>
      </c>
      <c r="B19" s="35">
        <f t="shared" ref="B19:H19" si="11">SUM(B6:B17)</f>
        <v>16575606</v>
      </c>
      <c r="C19" s="35">
        <f t="shared" si="11"/>
        <v>143515</v>
      </c>
      <c r="D19" s="35">
        <f t="shared" si="11"/>
        <v>2319766</v>
      </c>
      <c r="E19" s="35">
        <f t="shared" si="11"/>
        <v>1973863</v>
      </c>
      <c r="F19" s="35">
        <f t="shared" si="11"/>
        <v>27476800</v>
      </c>
      <c r="G19" s="35">
        <f t="shared" si="11"/>
        <v>16719121</v>
      </c>
      <c r="H19" s="35">
        <f t="shared" si="11"/>
        <v>31770429</v>
      </c>
      <c r="I19" s="37" t="s">
        <v>8</v>
      </c>
      <c r="J19" s="38">
        <f>SUM(J6:J17)</f>
        <v>1090922.6452500001</v>
      </c>
      <c r="K19" s="38">
        <f>SUM(K6:K17)</f>
        <v>1977709.2052500001</v>
      </c>
      <c r="L19" s="39">
        <f>SUM(L6:L17)</f>
        <v>3068631.8505000002</v>
      </c>
      <c r="M19" s="12" t="s">
        <v>11</v>
      </c>
      <c r="N19" s="150">
        <f>SUM(N6:N17)</f>
        <v>42419881.660999991</v>
      </c>
      <c r="O19" s="150">
        <f>SUM(O6:O17)</f>
        <v>7573062.4410000015</v>
      </c>
      <c r="P19" s="41">
        <f>SUM(P6:P17)</f>
        <v>49992944.101999998</v>
      </c>
      <c r="R19" s="154">
        <f>P19-H20</f>
        <v>1503394.1019999981</v>
      </c>
      <c r="S19" s="183">
        <f>R19/200</f>
        <v>7516.9705099999901</v>
      </c>
      <c r="T19">
        <f>S19/2</f>
        <v>3758.485254999995</v>
      </c>
      <c r="W19" t="s">
        <v>108</v>
      </c>
      <c r="X19" s="155">
        <f>X18/12</f>
        <v>4040795.8333333335</v>
      </c>
      <c r="Y19" s="155">
        <f>Y18/12</f>
        <v>4166078.6751666665</v>
      </c>
    </row>
    <row r="20" spans="1:29" ht="15.75" thickBot="1">
      <c r="A20" s="42"/>
      <c r="C20" s="43"/>
      <c r="D20" s="44"/>
      <c r="E20" s="29"/>
      <c r="F20" s="45"/>
      <c r="G20" s="46" t="s">
        <v>13</v>
      </c>
      <c r="H20" s="47">
        <f>G19+H19</f>
        <v>48489550</v>
      </c>
      <c r="I20" s="48"/>
      <c r="J20" s="49"/>
      <c r="K20" s="33"/>
      <c r="L20" s="33"/>
      <c r="M20" s="31"/>
      <c r="N20" s="32"/>
      <c r="O20" s="33"/>
      <c r="P20" s="50"/>
      <c r="T20">
        <f>T19/12</f>
        <v>313.20710458333292</v>
      </c>
    </row>
    <row r="21" spans="1:29" ht="20.25" thickBot="1">
      <c r="A21" s="281" t="s">
        <v>75</v>
      </c>
      <c r="B21" s="282"/>
      <c r="C21" s="283"/>
      <c r="D21" s="283"/>
      <c r="E21" s="283"/>
      <c r="F21" s="283"/>
      <c r="G21" s="283"/>
      <c r="H21" s="283"/>
      <c r="I21" s="283"/>
      <c r="J21" s="283"/>
      <c r="K21" s="283"/>
      <c r="L21" s="283"/>
      <c r="M21" s="283"/>
      <c r="N21" s="283"/>
      <c r="O21" s="283"/>
      <c r="P21" s="284"/>
      <c r="Y21" s="155">
        <f>SUM(Y18-X18)</f>
        <v>1503394.1019999981</v>
      </c>
      <c r="Z21" t="s">
        <v>115</v>
      </c>
    </row>
    <row r="22" spans="1:29">
      <c r="B22" s="256" t="s">
        <v>14</v>
      </c>
      <c r="C22" s="257"/>
      <c r="D22" s="257"/>
      <c r="E22" s="257"/>
      <c r="F22" s="257"/>
      <c r="G22" s="258"/>
      <c r="H22" s="285" t="s">
        <v>15</v>
      </c>
      <c r="I22" s="286"/>
      <c r="J22" s="286"/>
      <c r="K22" s="287"/>
    </row>
    <row r="23" spans="1:29">
      <c r="B23" s="288" t="s">
        <v>16</v>
      </c>
      <c r="C23" s="289"/>
      <c r="D23" s="289" t="s">
        <v>17</v>
      </c>
      <c r="E23" s="289"/>
      <c r="F23" s="68" t="s">
        <v>18</v>
      </c>
      <c r="G23" s="55" t="s">
        <v>19</v>
      </c>
      <c r="H23" s="56" t="s">
        <v>20</v>
      </c>
      <c r="I23" s="56" t="s">
        <v>21</v>
      </c>
      <c r="J23" s="56" t="s">
        <v>22</v>
      </c>
      <c r="K23" s="57" t="s">
        <v>23</v>
      </c>
      <c r="L23" s="93" t="s">
        <v>24</v>
      </c>
      <c r="M23" s="95" t="s">
        <v>26</v>
      </c>
      <c r="N23" s="131" t="s">
        <v>27</v>
      </c>
    </row>
    <row r="24" spans="1:29">
      <c r="A24" s="58">
        <v>2015</v>
      </c>
      <c r="B24" s="265">
        <v>14403.35</v>
      </c>
      <c r="C24" s="265"/>
      <c r="D24" s="265"/>
      <c r="E24" s="265"/>
      <c r="F24" s="59"/>
      <c r="G24" s="69">
        <f>B24+E24+F24</f>
        <v>14403.35</v>
      </c>
      <c r="H24" s="60"/>
      <c r="I24" s="60">
        <v>7279.47</v>
      </c>
      <c r="J24" s="60"/>
      <c r="K24" s="77">
        <f t="shared" ref="K24" si="12">H24+I24+J24</f>
        <v>7279.47</v>
      </c>
      <c r="L24" s="92">
        <f t="shared" ref="L24" si="13">K24+G24</f>
        <v>21682.82</v>
      </c>
      <c r="M24" s="94">
        <v>48000</v>
      </c>
      <c r="N24" s="132">
        <f>M24-L24</f>
        <v>26317.18</v>
      </c>
    </row>
    <row r="25" spans="1:2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32">
        <v>273572.71999999997</v>
      </c>
    </row>
    <row r="26" spans="1:2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32">
        <v>310176.08</v>
      </c>
    </row>
    <row r="27" spans="1:29">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32">
        <v>441013.52</v>
      </c>
    </row>
    <row r="28" spans="1:29" hidden="1">
      <c r="A28" s="15">
        <v>43466</v>
      </c>
      <c r="B28" s="263">
        <v>1930</v>
      </c>
      <c r="C28" s="263"/>
      <c r="D28" s="263">
        <v>0</v>
      </c>
      <c r="E28" s="263"/>
      <c r="F28" s="62">
        <v>0</v>
      </c>
      <c r="G28" s="115">
        <f t="shared" ref="G28:G39" si="14">B28+D28+F28</f>
        <v>1930</v>
      </c>
      <c r="H28" s="29">
        <v>0</v>
      </c>
      <c r="I28" s="62">
        <v>0</v>
      </c>
      <c r="J28" s="62">
        <v>2040</v>
      </c>
      <c r="K28" s="80">
        <f>H28+I28+J28</f>
        <v>2040</v>
      </c>
      <c r="L28" s="74">
        <f>K28+G28</f>
        <v>3970</v>
      </c>
      <c r="M28" s="89">
        <v>16580</v>
      </c>
      <c r="N28" s="89">
        <f>M28-L28</f>
        <v>12610</v>
      </c>
    </row>
    <row r="29" spans="1:29" hidden="1">
      <c r="A29" s="15">
        <v>43497</v>
      </c>
      <c r="B29" s="263">
        <v>3985.12</v>
      </c>
      <c r="C29" s="263"/>
      <c r="D29" s="263">
        <v>0</v>
      </c>
      <c r="E29" s="263"/>
      <c r="F29" s="62">
        <v>0</v>
      </c>
      <c r="G29" s="115">
        <f t="shared" si="14"/>
        <v>3985.12</v>
      </c>
      <c r="H29" s="29">
        <v>0</v>
      </c>
      <c r="I29" s="62">
        <v>0</v>
      </c>
      <c r="J29" s="62">
        <v>0</v>
      </c>
      <c r="K29" s="80">
        <f>H29+I29+J29</f>
        <v>0</v>
      </c>
      <c r="L29" s="74">
        <f t="shared" ref="L29:L52" si="15">K29+G29</f>
        <v>3985.12</v>
      </c>
      <c r="M29" s="89">
        <v>16580</v>
      </c>
      <c r="N29" s="89">
        <f t="shared" ref="N29:N52" si="16">M29-L29</f>
        <v>12594.880000000001</v>
      </c>
    </row>
    <row r="30" spans="1:29" hidden="1">
      <c r="A30" s="15">
        <v>43525</v>
      </c>
      <c r="B30" s="263">
        <v>3799.53</v>
      </c>
      <c r="C30" s="263"/>
      <c r="D30" s="263">
        <v>0</v>
      </c>
      <c r="E30" s="263"/>
      <c r="F30" s="62">
        <v>0</v>
      </c>
      <c r="G30" s="115">
        <f t="shared" si="14"/>
        <v>3799.53</v>
      </c>
      <c r="H30" s="29">
        <v>9477.06</v>
      </c>
      <c r="I30" s="62">
        <v>0</v>
      </c>
      <c r="J30" s="62">
        <v>0</v>
      </c>
      <c r="K30" s="80">
        <f>H30+I30+J30</f>
        <v>9477.06</v>
      </c>
      <c r="L30" s="74">
        <f t="shared" si="15"/>
        <v>13276.59</v>
      </c>
      <c r="M30" s="89">
        <v>16580</v>
      </c>
      <c r="N30" s="89">
        <f t="shared" si="16"/>
        <v>3303.41</v>
      </c>
    </row>
    <row r="31" spans="1:29" hidden="1">
      <c r="A31" s="15">
        <v>43556</v>
      </c>
      <c r="B31" s="263">
        <v>2076</v>
      </c>
      <c r="C31" s="263"/>
      <c r="D31" s="263">
        <v>3126.63</v>
      </c>
      <c r="E31" s="263"/>
      <c r="F31" s="62">
        <v>0</v>
      </c>
      <c r="G31" s="115">
        <f t="shared" si="14"/>
        <v>5202.63</v>
      </c>
      <c r="H31" s="29">
        <v>523.04</v>
      </c>
      <c r="I31" s="62">
        <v>0</v>
      </c>
      <c r="J31" s="62">
        <v>0</v>
      </c>
      <c r="K31" s="80">
        <f>H31+I31+J31</f>
        <v>523.04</v>
      </c>
      <c r="L31" s="74">
        <f t="shared" si="15"/>
        <v>5725.67</v>
      </c>
      <c r="M31" s="89">
        <v>16580</v>
      </c>
      <c r="N31" s="89">
        <f t="shared" si="16"/>
        <v>10854.33</v>
      </c>
    </row>
    <row r="32" spans="1:29" hidden="1">
      <c r="A32" s="15">
        <v>43586</v>
      </c>
      <c r="B32" s="263">
        <v>6061.98</v>
      </c>
      <c r="C32" s="263"/>
      <c r="D32" s="263">
        <v>867.86</v>
      </c>
      <c r="E32" s="263"/>
      <c r="F32" s="62">
        <v>0</v>
      </c>
      <c r="G32" s="115">
        <f t="shared" si="14"/>
        <v>6929.8399999999992</v>
      </c>
      <c r="H32" s="29">
        <v>0</v>
      </c>
      <c r="I32" s="62">
        <v>0</v>
      </c>
      <c r="J32" s="62">
        <v>5120</v>
      </c>
      <c r="K32" s="80">
        <f>H32+I32+J32</f>
        <v>5120</v>
      </c>
      <c r="L32" s="74">
        <f t="shared" si="15"/>
        <v>12049.84</v>
      </c>
      <c r="M32" s="89">
        <v>16580</v>
      </c>
      <c r="N32" s="89">
        <f t="shared" si="16"/>
        <v>4530.16</v>
      </c>
    </row>
    <row r="33" spans="1:14" hidden="1">
      <c r="A33" s="15">
        <v>43617</v>
      </c>
      <c r="B33" s="263">
        <v>3191</v>
      </c>
      <c r="C33" s="263"/>
      <c r="D33" s="263">
        <v>24.03</v>
      </c>
      <c r="E33" s="263"/>
      <c r="F33" s="62">
        <v>0</v>
      </c>
      <c r="G33" s="115">
        <f t="shared" si="14"/>
        <v>3215.03</v>
      </c>
      <c r="H33" s="29">
        <v>10056.94</v>
      </c>
      <c r="I33" s="62">
        <v>0</v>
      </c>
      <c r="J33" s="62">
        <v>27522.68</v>
      </c>
      <c r="K33" s="80">
        <f t="shared" ref="K33:K39" si="17">H33+I33+J33</f>
        <v>37579.620000000003</v>
      </c>
      <c r="L33" s="74">
        <f t="shared" si="15"/>
        <v>40794.65</v>
      </c>
      <c r="M33" s="89">
        <v>16580</v>
      </c>
      <c r="N33" s="89">
        <f t="shared" si="16"/>
        <v>-24214.65</v>
      </c>
    </row>
    <row r="34" spans="1:14" hidden="1">
      <c r="A34" s="15">
        <v>43647</v>
      </c>
      <c r="B34" s="263">
        <v>5423.72</v>
      </c>
      <c r="C34" s="263"/>
      <c r="D34" s="263">
        <v>0</v>
      </c>
      <c r="E34" s="263"/>
      <c r="F34" s="62">
        <v>0</v>
      </c>
      <c r="G34" s="115">
        <f t="shared" si="14"/>
        <v>5423.72</v>
      </c>
      <c r="H34" s="29">
        <v>0</v>
      </c>
      <c r="I34" s="62">
        <v>0</v>
      </c>
      <c r="J34" s="62">
        <v>1040</v>
      </c>
      <c r="K34" s="80">
        <f t="shared" si="17"/>
        <v>1040</v>
      </c>
      <c r="L34" s="74">
        <f t="shared" si="15"/>
        <v>6463.72</v>
      </c>
      <c r="M34" s="89">
        <v>16580</v>
      </c>
      <c r="N34" s="89">
        <f t="shared" si="16"/>
        <v>10116.279999999999</v>
      </c>
    </row>
    <row r="35" spans="1:14" hidden="1">
      <c r="A35" s="15">
        <v>43678</v>
      </c>
      <c r="B35" s="263">
        <v>3498.19</v>
      </c>
      <c r="C35" s="263"/>
      <c r="D35" s="263">
        <v>0</v>
      </c>
      <c r="E35" s="263"/>
      <c r="F35" s="62">
        <v>0</v>
      </c>
      <c r="G35" s="115">
        <f t="shared" si="14"/>
        <v>3498.19</v>
      </c>
      <c r="H35" s="29">
        <v>0</v>
      </c>
      <c r="I35" s="62">
        <v>0</v>
      </c>
      <c r="J35" s="62">
        <v>0</v>
      </c>
      <c r="K35" s="80">
        <f t="shared" si="17"/>
        <v>0</v>
      </c>
      <c r="L35" s="74">
        <f t="shared" si="15"/>
        <v>3498.19</v>
      </c>
      <c r="M35" s="89">
        <v>16580</v>
      </c>
      <c r="N35" s="89">
        <f t="shared" si="16"/>
        <v>13081.81</v>
      </c>
    </row>
    <row r="36" spans="1:14" hidden="1">
      <c r="A36" s="15">
        <v>43709</v>
      </c>
      <c r="B36" s="263">
        <v>4018.21</v>
      </c>
      <c r="C36" s="263"/>
      <c r="D36" s="263">
        <v>0</v>
      </c>
      <c r="E36" s="263"/>
      <c r="F36" s="62">
        <v>0</v>
      </c>
      <c r="G36" s="115">
        <f t="shared" si="14"/>
        <v>4018.21</v>
      </c>
      <c r="H36" s="29">
        <v>0</v>
      </c>
      <c r="I36" s="62">
        <v>0</v>
      </c>
      <c r="J36" s="62">
        <v>2080</v>
      </c>
      <c r="K36" s="80">
        <f t="shared" si="17"/>
        <v>2080</v>
      </c>
      <c r="L36" s="74">
        <f t="shared" si="15"/>
        <v>6098.21</v>
      </c>
      <c r="M36" s="89">
        <v>16580</v>
      </c>
      <c r="N36" s="89">
        <f t="shared" si="16"/>
        <v>10481.790000000001</v>
      </c>
    </row>
    <row r="37" spans="1:14" hidden="1">
      <c r="A37" s="15">
        <v>43739</v>
      </c>
      <c r="B37" s="263">
        <v>1464</v>
      </c>
      <c r="C37" s="263"/>
      <c r="D37" s="263">
        <v>0</v>
      </c>
      <c r="E37" s="263"/>
      <c r="F37" s="62">
        <v>0</v>
      </c>
      <c r="G37" s="115">
        <f t="shared" si="14"/>
        <v>1464</v>
      </c>
      <c r="H37" s="29">
        <v>0</v>
      </c>
      <c r="I37" s="62">
        <v>0</v>
      </c>
      <c r="J37" s="62">
        <v>1040</v>
      </c>
      <c r="K37" s="80">
        <f t="shared" si="17"/>
        <v>1040</v>
      </c>
      <c r="L37" s="74">
        <f t="shared" si="15"/>
        <v>2504</v>
      </c>
      <c r="M37" s="89">
        <v>16580</v>
      </c>
      <c r="N37" s="89">
        <f t="shared" si="16"/>
        <v>14076</v>
      </c>
    </row>
    <row r="38" spans="1:14" hidden="1">
      <c r="A38" s="15">
        <v>43770</v>
      </c>
      <c r="B38" s="263">
        <v>10036</v>
      </c>
      <c r="C38" s="263"/>
      <c r="D38" s="263">
        <v>0</v>
      </c>
      <c r="E38" s="263"/>
      <c r="F38" s="62">
        <v>0</v>
      </c>
      <c r="G38" s="115">
        <f t="shared" si="14"/>
        <v>10036</v>
      </c>
      <c r="H38" s="29">
        <v>0</v>
      </c>
      <c r="I38" s="62">
        <v>0</v>
      </c>
      <c r="J38" s="62">
        <v>1040</v>
      </c>
      <c r="K38" s="80">
        <f t="shared" si="17"/>
        <v>1040</v>
      </c>
      <c r="L38" s="74">
        <f t="shared" si="15"/>
        <v>11076</v>
      </c>
      <c r="M38" s="89">
        <v>16580</v>
      </c>
      <c r="N38" s="89">
        <f t="shared" si="16"/>
        <v>5504</v>
      </c>
    </row>
    <row r="39" spans="1:14" hidden="1">
      <c r="A39" s="15">
        <v>43800</v>
      </c>
      <c r="B39" s="263">
        <v>4542.46</v>
      </c>
      <c r="C39" s="263"/>
      <c r="D39" s="263">
        <v>3731.52</v>
      </c>
      <c r="E39" s="263"/>
      <c r="F39" s="62">
        <v>7880</v>
      </c>
      <c r="G39" s="116">
        <f t="shared" si="14"/>
        <v>16153.98</v>
      </c>
      <c r="H39" s="29">
        <v>0</v>
      </c>
      <c r="I39" s="62">
        <v>0</v>
      </c>
      <c r="J39" s="62">
        <v>1040</v>
      </c>
      <c r="K39" s="80">
        <f t="shared" si="17"/>
        <v>1040</v>
      </c>
      <c r="L39" s="74">
        <f t="shared" si="15"/>
        <v>17193.98</v>
      </c>
      <c r="M39" s="89">
        <v>16580</v>
      </c>
      <c r="N39" s="89">
        <f t="shared" si="16"/>
        <v>-613.97999999999956</v>
      </c>
    </row>
    <row r="40" spans="1:14">
      <c r="A40" s="58">
        <v>2019</v>
      </c>
      <c r="B40" s="265">
        <f>SUM(B28:B39)</f>
        <v>50026.21</v>
      </c>
      <c r="C40" s="265"/>
      <c r="D40" s="265">
        <f>SUM(D28:D39)</f>
        <v>7750.0400000000009</v>
      </c>
      <c r="E40" s="265"/>
      <c r="F40" s="59">
        <f t="shared" ref="F40:K40" si="18">SUM(F28:F39)</f>
        <v>7880</v>
      </c>
      <c r="G40" s="71">
        <f t="shared" si="18"/>
        <v>65656.25</v>
      </c>
      <c r="H40" s="64">
        <f t="shared" si="18"/>
        <v>20057.04</v>
      </c>
      <c r="I40" s="63">
        <f t="shared" si="18"/>
        <v>0</v>
      </c>
      <c r="J40" s="63">
        <f t="shared" si="18"/>
        <v>40922.68</v>
      </c>
      <c r="K40" s="79">
        <f t="shared" si="18"/>
        <v>60979.72</v>
      </c>
      <c r="L40" s="164">
        <f t="shared" si="15"/>
        <v>126635.97</v>
      </c>
      <c r="M40" s="165">
        <f>SUM(M28:M39)</f>
        <v>198960</v>
      </c>
      <c r="N40" s="76">
        <f t="shared" si="16"/>
        <v>72324.03</v>
      </c>
    </row>
    <row r="41" spans="1:14">
      <c r="A41" s="169">
        <v>43831</v>
      </c>
      <c r="B41" s="263">
        <v>4606.24</v>
      </c>
      <c r="C41" s="263"/>
      <c r="D41" s="263">
        <v>0</v>
      </c>
      <c r="E41" s="263"/>
      <c r="F41" s="62">
        <v>31149.68</v>
      </c>
      <c r="G41" s="85">
        <f>B41+D41+F41</f>
        <v>35755.919999999998</v>
      </c>
      <c r="H41" s="67">
        <v>0</v>
      </c>
      <c r="I41" s="67">
        <v>0</v>
      </c>
      <c r="J41" s="67">
        <v>1040</v>
      </c>
      <c r="K41" s="87">
        <f>SUM(H41:J41)</f>
        <v>1040</v>
      </c>
      <c r="L41" s="74">
        <f t="shared" si="15"/>
        <v>36795.919999999998</v>
      </c>
      <c r="M41" s="89">
        <v>66250</v>
      </c>
      <c r="N41" s="89">
        <f>M41-L41</f>
        <v>29454.080000000002</v>
      </c>
    </row>
    <row r="42" spans="1:14">
      <c r="A42" s="169">
        <v>43862</v>
      </c>
      <c r="B42" s="263">
        <v>6914.72</v>
      </c>
      <c r="C42" s="263"/>
      <c r="D42" s="263">
        <v>0</v>
      </c>
      <c r="E42" s="263"/>
      <c r="F42" s="62">
        <v>26617.759999999998</v>
      </c>
      <c r="G42" s="85">
        <f t="shared" ref="G42:G52" si="19">B42+D42+F42</f>
        <v>33532.479999999996</v>
      </c>
      <c r="H42" s="67">
        <v>0</v>
      </c>
      <c r="I42" s="67">
        <v>0</v>
      </c>
      <c r="J42" s="67">
        <v>0</v>
      </c>
      <c r="K42" s="87">
        <f t="shared" ref="K42:K52" si="20">SUM(H42:J42)</f>
        <v>0</v>
      </c>
      <c r="L42" s="74">
        <f t="shared" si="15"/>
        <v>33532.479999999996</v>
      </c>
      <c r="M42" s="89">
        <v>66250</v>
      </c>
      <c r="N42" s="89">
        <f t="shared" si="16"/>
        <v>32717.520000000004</v>
      </c>
    </row>
    <row r="43" spans="1:14">
      <c r="A43" s="169">
        <v>43891</v>
      </c>
      <c r="B43" s="263">
        <v>4282.12</v>
      </c>
      <c r="C43" s="263"/>
      <c r="D43" s="263">
        <v>0</v>
      </c>
      <c r="E43" s="263"/>
      <c r="F43" s="62">
        <v>62064</v>
      </c>
      <c r="G43" s="85">
        <f t="shared" si="19"/>
        <v>66346.12</v>
      </c>
      <c r="H43" s="67">
        <v>0</v>
      </c>
      <c r="I43" s="67">
        <v>0</v>
      </c>
      <c r="J43" s="67">
        <v>0</v>
      </c>
      <c r="K43" s="87">
        <f t="shared" si="20"/>
        <v>0</v>
      </c>
      <c r="L43" s="74">
        <f t="shared" si="15"/>
        <v>66346.12</v>
      </c>
      <c r="M43" s="89">
        <v>66250</v>
      </c>
      <c r="N43" s="89">
        <f t="shared" si="16"/>
        <v>-96.119999999995343</v>
      </c>
    </row>
    <row r="44" spans="1:14">
      <c r="A44" s="169">
        <v>43922</v>
      </c>
      <c r="B44" s="263">
        <v>5582.21</v>
      </c>
      <c r="C44" s="263"/>
      <c r="D44" s="263">
        <v>608.66</v>
      </c>
      <c r="E44" s="263"/>
      <c r="F44" s="62">
        <v>35039.839999999997</v>
      </c>
      <c r="G44" s="85">
        <f t="shared" si="19"/>
        <v>41230.71</v>
      </c>
      <c r="H44" s="67">
        <v>0</v>
      </c>
      <c r="I44" s="67">
        <v>0</v>
      </c>
      <c r="J44" s="67">
        <v>0</v>
      </c>
      <c r="K44" s="87">
        <f t="shared" si="20"/>
        <v>0</v>
      </c>
      <c r="L44" s="74">
        <f t="shared" si="15"/>
        <v>41230.71</v>
      </c>
      <c r="M44" s="89">
        <v>66250</v>
      </c>
      <c r="N44" s="89">
        <f t="shared" si="16"/>
        <v>25019.29</v>
      </c>
    </row>
    <row r="45" spans="1:14">
      <c r="A45" s="169">
        <v>43952</v>
      </c>
      <c r="B45" s="263">
        <v>5719.88</v>
      </c>
      <c r="C45" s="263"/>
      <c r="D45" s="263">
        <v>0</v>
      </c>
      <c r="E45" s="263"/>
      <c r="F45" s="62">
        <v>12520.96</v>
      </c>
      <c r="G45" s="85">
        <f t="shared" si="19"/>
        <v>18240.84</v>
      </c>
      <c r="H45" s="67">
        <v>2050</v>
      </c>
      <c r="I45" s="67">
        <v>0</v>
      </c>
      <c r="J45" s="67">
        <v>0</v>
      </c>
      <c r="K45" s="87">
        <f t="shared" si="20"/>
        <v>2050</v>
      </c>
      <c r="L45" s="74">
        <f t="shared" si="15"/>
        <v>20290.84</v>
      </c>
      <c r="M45" s="89">
        <v>66250</v>
      </c>
      <c r="N45" s="89">
        <f t="shared" si="16"/>
        <v>45959.16</v>
      </c>
    </row>
    <row r="46" spans="1:14">
      <c r="A46" s="169">
        <v>43983</v>
      </c>
      <c r="B46" s="263">
        <v>6685.66</v>
      </c>
      <c r="C46" s="263"/>
      <c r="D46" s="263">
        <v>0</v>
      </c>
      <c r="E46" s="263"/>
      <c r="F46" s="62">
        <v>29811.4</v>
      </c>
      <c r="G46" s="85">
        <f t="shared" si="19"/>
        <v>36497.06</v>
      </c>
      <c r="H46" s="67">
        <v>0</v>
      </c>
      <c r="I46" s="67">
        <v>0</v>
      </c>
      <c r="J46" s="67">
        <v>0</v>
      </c>
      <c r="K46" s="87">
        <f t="shared" si="20"/>
        <v>0</v>
      </c>
      <c r="L46" s="74">
        <f t="shared" si="15"/>
        <v>36497.06</v>
      </c>
      <c r="M46" s="89">
        <v>66250</v>
      </c>
      <c r="N46" s="89">
        <f t="shared" si="16"/>
        <v>29752.940000000002</v>
      </c>
    </row>
    <row r="47" spans="1:14">
      <c r="A47" s="169">
        <v>44013</v>
      </c>
      <c r="B47" s="263">
        <v>5148</v>
      </c>
      <c r="C47" s="263"/>
      <c r="D47" s="263">
        <v>1264.1400000000001</v>
      </c>
      <c r="E47" s="263"/>
      <c r="F47" s="62">
        <v>374.56</v>
      </c>
      <c r="G47" s="85">
        <f t="shared" si="19"/>
        <v>6786.7000000000007</v>
      </c>
      <c r="H47" s="67">
        <v>4398.75</v>
      </c>
      <c r="I47" s="67">
        <v>0</v>
      </c>
      <c r="J47" s="67">
        <v>0</v>
      </c>
      <c r="K47" s="87">
        <f t="shared" si="20"/>
        <v>4398.75</v>
      </c>
      <c r="L47" s="74">
        <f t="shared" si="15"/>
        <v>11185.45</v>
      </c>
      <c r="M47" s="89">
        <v>66250</v>
      </c>
      <c r="N47" s="89">
        <f t="shared" si="16"/>
        <v>55064.55</v>
      </c>
    </row>
    <row r="48" spans="1:14">
      <c r="A48" s="169">
        <v>44044</v>
      </c>
      <c r="B48" s="263">
        <v>5948.88</v>
      </c>
      <c r="C48" s="263"/>
      <c r="D48" s="263">
        <v>0</v>
      </c>
      <c r="E48" s="263"/>
      <c r="F48" s="62">
        <v>-1500</v>
      </c>
      <c r="G48" s="85">
        <f t="shared" si="19"/>
        <v>4448.88</v>
      </c>
      <c r="H48" s="67">
        <v>16844</v>
      </c>
      <c r="I48" s="67">
        <v>12438</v>
      </c>
      <c r="J48" s="67">
        <v>0</v>
      </c>
      <c r="K48" s="87">
        <f t="shared" si="20"/>
        <v>29282</v>
      </c>
      <c r="L48" s="74">
        <f t="shared" si="15"/>
        <v>33730.879999999997</v>
      </c>
      <c r="M48" s="89">
        <v>66250</v>
      </c>
      <c r="N48" s="89">
        <f t="shared" si="16"/>
        <v>32519.120000000003</v>
      </c>
    </row>
    <row r="49" spans="1:14">
      <c r="A49" s="169">
        <v>44075</v>
      </c>
      <c r="B49" s="263">
        <v>3090</v>
      </c>
      <c r="C49" s="263"/>
      <c r="D49" s="263">
        <v>0</v>
      </c>
      <c r="E49" s="263"/>
      <c r="F49" s="62">
        <v>0</v>
      </c>
      <c r="G49" s="85">
        <f t="shared" si="19"/>
        <v>3090</v>
      </c>
      <c r="H49" s="67">
        <v>0</v>
      </c>
      <c r="I49" s="67">
        <v>0</v>
      </c>
      <c r="J49" s="67">
        <v>0</v>
      </c>
      <c r="K49" s="87">
        <f t="shared" si="20"/>
        <v>0</v>
      </c>
      <c r="L49" s="74">
        <f t="shared" si="15"/>
        <v>3090</v>
      </c>
      <c r="M49" s="89">
        <v>66250</v>
      </c>
      <c r="N49" s="89">
        <f t="shared" si="16"/>
        <v>63160</v>
      </c>
    </row>
    <row r="50" spans="1:14">
      <c r="A50" s="169">
        <v>44105</v>
      </c>
      <c r="B50" s="263">
        <v>5253</v>
      </c>
      <c r="C50" s="263"/>
      <c r="D50" s="263">
        <v>1439.72</v>
      </c>
      <c r="E50" s="263"/>
      <c r="F50" s="62">
        <v>0</v>
      </c>
      <c r="G50" s="85">
        <f t="shared" si="19"/>
        <v>6692.72</v>
      </c>
      <c r="H50" s="67">
        <v>0</v>
      </c>
      <c r="I50" s="67">
        <v>0</v>
      </c>
      <c r="J50" s="67">
        <v>0</v>
      </c>
      <c r="K50" s="87">
        <f t="shared" si="20"/>
        <v>0</v>
      </c>
      <c r="L50" s="74">
        <f t="shared" si="15"/>
        <v>6692.72</v>
      </c>
      <c r="M50" s="89">
        <v>66250</v>
      </c>
      <c r="N50" s="89">
        <f t="shared" si="16"/>
        <v>59557.279999999999</v>
      </c>
    </row>
    <row r="51" spans="1:14">
      <c r="A51" s="169">
        <v>44136</v>
      </c>
      <c r="B51" s="263">
        <v>4326</v>
      </c>
      <c r="C51" s="263"/>
      <c r="D51" s="263">
        <v>0</v>
      </c>
      <c r="E51" s="263"/>
      <c r="F51" s="62">
        <v>0</v>
      </c>
      <c r="G51" s="85">
        <f t="shared" si="19"/>
        <v>4326</v>
      </c>
      <c r="H51" s="67">
        <v>0</v>
      </c>
      <c r="I51" s="67">
        <v>0</v>
      </c>
      <c r="J51" s="67">
        <v>0</v>
      </c>
      <c r="K51" s="87">
        <f t="shared" si="20"/>
        <v>0</v>
      </c>
      <c r="L51" s="74">
        <f t="shared" si="15"/>
        <v>4326</v>
      </c>
      <c r="M51" s="89">
        <v>66250</v>
      </c>
      <c r="N51" s="89">
        <f t="shared" si="16"/>
        <v>61924</v>
      </c>
    </row>
    <row r="52" spans="1:14">
      <c r="A52" s="169">
        <v>44166</v>
      </c>
      <c r="B52" s="263">
        <v>3502</v>
      </c>
      <c r="C52" s="263"/>
      <c r="D52" s="263">
        <v>234.1</v>
      </c>
      <c r="E52" s="263"/>
      <c r="F52" s="62">
        <v>0</v>
      </c>
      <c r="G52" s="85">
        <f t="shared" si="19"/>
        <v>3736.1</v>
      </c>
      <c r="H52" s="67">
        <v>0</v>
      </c>
      <c r="I52" s="67">
        <v>0</v>
      </c>
      <c r="J52" s="67">
        <v>0</v>
      </c>
      <c r="K52" s="87">
        <f t="shared" si="20"/>
        <v>0</v>
      </c>
      <c r="L52" s="74">
        <f t="shared" si="15"/>
        <v>3736.1</v>
      </c>
      <c r="M52" s="89">
        <v>66250</v>
      </c>
      <c r="N52" s="89">
        <f t="shared" si="16"/>
        <v>62513.9</v>
      </c>
    </row>
    <row r="53" spans="1:14">
      <c r="A53" s="58">
        <v>2020</v>
      </c>
      <c r="B53" s="265">
        <f>SUM(B41:B52)</f>
        <v>61058.71</v>
      </c>
      <c r="C53" s="265"/>
      <c r="D53" s="265">
        <f>SUM(D41:D52)</f>
        <v>3546.6200000000003</v>
      </c>
      <c r="E53" s="265"/>
      <c r="F53" s="59">
        <f t="shared" ref="F53:K53" si="21">SUM(F41:F52)</f>
        <v>196078.19999999998</v>
      </c>
      <c r="G53" s="71">
        <f>SUM(G41:G52)</f>
        <v>260683.53</v>
      </c>
      <c r="H53" s="64">
        <f t="shared" si="21"/>
        <v>23292.75</v>
      </c>
      <c r="I53" s="63">
        <f t="shared" si="21"/>
        <v>12438</v>
      </c>
      <c r="J53" s="63">
        <f t="shared" si="21"/>
        <v>1040</v>
      </c>
      <c r="K53" s="79">
        <f t="shared" si="21"/>
        <v>36770.75</v>
      </c>
      <c r="L53" s="164">
        <f t="shared" ref="L53" si="22">K53+G53</f>
        <v>297454.28000000003</v>
      </c>
      <c r="M53" s="165">
        <f>SUM(M41:M52)</f>
        <v>795000</v>
      </c>
      <c r="N53" s="76">
        <f t="shared" ref="N53" si="23">M53-L53</f>
        <v>497545.72</v>
      </c>
    </row>
    <row r="54" spans="1:14">
      <c r="B54" s="54"/>
      <c r="F54" s="54"/>
      <c r="G54" s="84"/>
      <c r="H54" s="54"/>
      <c r="I54" s="54"/>
      <c r="J54" s="54"/>
      <c r="K54" s="86"/>
      <c r="L54" s="82"/>
      <c r="M54" s="88"/>
      <c r="N54" s="88"/>
    </row>
    <row r="55" spans="1:14">
      <c r="A55" s="66" t="s">
        <v>25</v>
      </c>
      <c r="B55" s="298">
        <f>B24+B25+B26+B27+B40+B53</f>
        <v>391942.84000000008</v>
      </c>
      <c r="C55" s="298"/>
      <c r="D55" s="298">
        <f>D24+D25+D26+D27+D40+D53</f>
        <v>59729.62</v>
      </c>
      <c r="E55" s="298"/>
      <c r="F55" s="85">
        <f>F26+F25+F24+F27+F40+F53</f>
        <v>1057450.46</v>
      </c>
      <c r="G55" s="85">
        <f>G24+G25+G26+G27+G40+G53</f>
        <v>1509122.92</v>
      </c>
      <c r="H55" s="89">
        <f>H26+H25+H24+H27+H40+H53</f>
        <v>207604.4</v>
      </c>
      <c r="I55" s="89">
        <f t="shared" ref="I55:K55" si="24">I26+I25+I24+I27+I40+I53</f>
        <v>58013.43</v>
      </c>
      <c r="J55" s="89">
        <f t="shared" si="24"/>
        <v>390270</v>
      </c>
      <c r="K55" s="89">
        <f t="shared" si="24"/>
        <v>655887.82999999984</v>
      </c>
      <c r="L55" s="83">
        <f>L24+L25+L26+L27+L40+L53</f>
        <v>2165010.75</v>
      </c>
      <c r="M55" s="89">
        <f>M26+M25+M24+M27+M40+M53</f>
        <v>3785960</v>
      </c>
      <c r="N55" s="89">
        <f>N26+N25+N24+N27+N40+N53</f>
        <v>1620949.25</v>
      </c>
    </row>
    <row r="56" spans="1:14">
      <c r="M56" s="46" t="s">
        <v>50</v>
      </c>
      <c r="N56" s="89">
        <f>N55-B59-B60-B61-B62-B63-B64+B66+B67+B68+B69</f>
        <v>1363494.11</v>
      </c>
    </row>
    <row r="57" spans="1:14">
      <c r="M57" s="46"/>
      <c r="N57" s="89"/>
    </row>
    <row r="58" spans="1:14" ht="15" customHeight="1">
      <c r="A58" s="259" t="s">
        <v>28</v>
      </c>
      <c r="B58" s="260"/>
      <c r="D58" s="291" t="s">
        <v>40</v>
      </c>
      <c r="E58" s="292"/>
      <c r="F58" s="292"/>
      <c r="G58" s="292"/>
      <c r="H58" s="161"/>
    </row>
    <row r="59" spans="1:14" ht="15" customHeight="1">
      <c r="A59" s="97">
        <v>2015</v>
      </c>
      <c r="B59" s="65">
        <v>40.200000000000003</v>
      </c>
      <c r="D59" s="118"/>
      <c r="E59" s="119"/>
      <c r="F59" s="119"/>
      <c r="G59" s="119"/>
      <c r="H59" s="119"/>
      <c r="I59" s="120"/>
    </row>
    <row r="60" spans="1:14" ht="15" customHeight="1">
      <c r="A60" s="109">
        <v>2016</v>
      </c>
      <c r="B60" s="61">
        <v>32832.730000000003</v>
      </c>
      <c r="C60" s="109"/>
      <c r="D60" s="42"/>
      <c r="E60" s="106">
        <v>2017</v>
      </c>
      <c r="F60" s="106">
        <v>2018</v>
      </c>
      <c r="G60" s="106">
        <v>2019</v>
      </c>
      <c r="H60" s="106">
        <v>2020</v>
      </c>
      <c r="I60" s="124" t="s">
        <v>48</v>
      </c>
    </row>
    <row r="61" spans="1:14" ht="15" customHeight="1">
      <c r="A61" s="109">
        <v>2017</v>
      </c>
      <c r="B61" s="61">
        <v>58533.86</v>
      </c>
      <c r="D61" s="15" t="s">
        <v>83</v>
      </c>
      <c r="E61" s="117">
        <v>71641.881599999993</v>
      </c>
      <c r="F61" s="117">
        <v>133647.984</v>
      </c>
      <c r="G61" s="117">
        <v>117227.62239999999</v>
      </c>
      <c r="H61" s="117">
        <v>117804.99</v>
      </c>
      <c r="I61" s="125">
        <f>E61+F61+G61+H61</f>
        <v>440322.478</v>
      </c>
    </row>
    <row r="62" spans="1:14" ht="15" customHeight="1">
      <c r="A62" s="109">
        <v>2018</v>
      </c>
      <c r="B62" s="61">
        <v>66021.39</v>
      </c>
      <c r="D62" s="15" t="s">
        <v>84</v>
      </c>
      <c r="E62" s="117">
        <v>103217.232</v>
      </c>
      <c r="F62" s="117">
        <v>160511.21</v>
      </c>
      <c r="G62" s="117">
        <v>142404.03520000001</v>
      </c>
      <c r="H62" s="117">
        <v>174952.23</v>
      </c>
      <c r="I62" s="125">
        <f t="shared" ref="I62:I72" si="25">E62+F62+G62+H62</f>
        <v>581084.70719999995</v>
      </c>
    </row>
    <row r="63" spans="1:14" ht="15" customHeight="1">
      <c r="A63" s="109">
        <v>2019</v>
      </c>
      <c r="B63" s="61">
        <v>72631.259999999995</v>
      </c>
      <c r="D63" s="15" t="s">
        <v>85</v>
      </c>
      <c r="E63" s="117">
        <v>184422.94560000001</v>
      </c>
      <c r="F63" s="117">
        <v>218879.92480000001</v>
      </c>
      <c r="G63" s="117">
        <v>186812.32</v>
      </c>
      <c r="H63" s="117">
        <v>210776.78999999998</v>
      </c>
      <c r="I63" s="125">
        <f t="shared" si="25"/>
        <v>800891.9804</v>
      </c>
    </row>
    <row r="64" spans="1:14" ht="15" customHeight="1">
      <c r="A64" s="109">
        <v>2020</v>
      </c>
      <c r="B64" s="61">
        <v>75195.7</v>
      </c>
      <c r="D64" s="15" t="s">
        <v>86</v>
      </c>
      <c r="E64" s="117">
        <v>240114.48480000001</v>
      </c>
      <c r="F64" s="117">
        <v>245234.62239999999</v>
      </c>
      <c r="G64" s="117">
        <v>221598.6496</v>
      </c>
      <c r="H64" s="117">
        <v>264051.7</v>
      </c>
      <c r="I64" s="125">
        <f t="shared" si="25"/>
        <v>970999.45680000004</v>
      </c>
    </row>
    <row r="65" spans="1:9" ht="15" customHeight="1" thickBot="1">
      <c r="A65" s="296" t="s">
        <v>29</v>
      </c>
      <c r="B65" s="297"/>
      <c r="D65" s="15" t="s">
        <v>87</v>
      </c>
      <c r="E65" s="117">
        <v>307594.83840000001</v>
      </c>
      <c r="F65" s="117">
        <v>289271.40639999998</v>
      </c>
      <c r="G65" s="117">
        <v>257961.05919999999</v>
      </c>
      <c r="H65" s="117">
        <v>297136.25</v>
      </c>
      <c r="I65" s="125">
        <f t="shared" si="25"/>
        <v>1151963.554</v>
      </c>
    </row>
    <row r="66" spans="1:9" ht="15" customHeight="1">
      <c r="A66" s="170">
        <v>2017</v>
      </c>
      <c r="B66" s="171">
        <v>16050</v>
      </c>
      <c r="D66" s="15" t="s">
        <v>88</v>
      </c>
      <c r="E66" s="117">
        <v>343369.848</v>
      </c>
      <c r="F66" s="117">
        <v>357936.80320000002</v>
      </c>
      <c r="G66" s="117">
        <v>299351.77119999996</v>
      </c>
      <c r="H66" s="117">
        <v>297781.21000000002</v>
      </c>
      <c r="I66" s="125">
        <f t="shared" si="25"/>
        <v>1298439.6324</v>
      </c>
    </row>
    <row r="67" spans="1:9" ht="15" customHeight="1">
      <c r="A67" s="172">
        <v>2018</v>
      </c>
      <c r="B67" s="173">
        <v>17550</v>
      </c>
      <c r="D67" s="15" t="s">
        <v>89</v>
      </c>
      <c r="E67" s="117">
        <v>294802.82400000002</v>
      </c>
      <c r="F67" s="117">
        <v>296439.69280000002</v>
      </c>
      <c r="G67" s="117">
        <v>297071.33919999999</v>
      </c>
      <c r="H67" s="117">
        <v>315992.53000000003</v>
      </c>
      <c r="I67" s="125">
        <f t="shared" si="25"/>
        <v>1204306.3860000002</v>
      </c>
    </row>
    <row r="68" spans="1:9" ht="15" customHeight="1">
      <c r="A68" s="172">
        <v>2019</v>
      </c>
      <c r="B68" s="173">
        <v>12300</v>
      </c>
      <c r="D68" s="15" t="s">
        <v>90</v>
      </c>
      <c r="E68" s="117">
        <v>276616.23360000004</v>
      </c>
      <c r="F68" s="117">
        <v>274808.21919999999</v>
      </c>
      <c r="G68" s="117">
        <v>312297.64480000001</v>
      </c>
      <c r="H68" s="117">
        <v>305916.78999999998</v>
      </c>
      <c r="I68" s="125">
        <f t="shared" si="25"/>
        <v>1169638.8876</v>
      </c>
    </row>
    <row r="69" spans="1:9" ht="15" customHeight="1" thickBot="1">
      <c r="A69" s="174">
        <v>2020</v>
      </c>
      <c r="B69" s="185">
        <v>1900</v>
      </c>
      <c r="D69" s="15" t="s">
        <v>91</v>
      </c>
      <c r="E69" s="117">
        <v>224961.41279999999</v>
      </c>
      <c r="F69" s="117">
        <v>278233.408</v>
      </c>
      <c r="G69" s="117">
        <v>258465.98560000001</v>
      </c>
      <c r="H69" s="117">
        <v>252311.87</v>
      </c>
      <c r="I69" s="125">
        <f t="shared" si="25"/>
        <v>1013972.6764</v>
      </c>
    </row>
    <row r="70" spans="1:9" ht="15" customHeight="1">
      <c r="D70" s="15" t="s">
        <v>92</v>
      </c>
      <c r="E70" s="117">
        <v>227837.5344</v>
      </c>
      <c r="F70" s="117">
        <v>179731.15359999999</v>
      </c>
      <c r="G70" s="117">
        <v>229214.89120000001</v>
      </c>
      <c r="H70" s="117">
        <v>165085.15</v>
      </c>
      <c r="I70" s="125">
        <f t="shared" si="25"/>
        <v>801868.72920000006</v>
      </c>
    </row>
    <row r="71" spans="1:9" ht="15" customHeight="1">
      <c r="D71" s="15" t="s">
        <v>93</v>
      </c>
      <c r="E71" s="117">
        <v>136140.03840000002</v>
      </c>
      <c r="F71" s="117">
        <v>146292.016</v>
      </c>
      <c r="G71" s="117">
        <v>134938.54694560001</v>
      </c>
      <c r="H71" s="117">
        <v>143566.1</v>
      </c>
      <c r="I71" s="125">
        <f t="shared" si="25"/>
        <v>560936.70134560007</v>
      </c>
    </row>
    <row r="72" spans="1:9" ht="15" customHeight="1">
      <c r="D72" s="15" t="s">
        <v>94</v>
      </c>
      <c r="E72" s="117">
        <v>129102.16799999999</v>
      </c>
      <c r="F72" s="117">
        <v>85459.71</v>
      </c>
      <c r="G72" s="117">
        <v>83674.489600000001</v>
      </c>
      <c r="H72" s="117">
        <v>93847.77</v>
      </c>
      <c r="I72" s="125">
        <f t="shared" si="25"/>
        <v>392084.13760000002</v>
      </c>
    </row>
    <row r="73" spans="1:9" ht="15" customHeight="1">
      <c r="D73" s="42"/>
      <c r="I73" s="50"/>
    </row>
    <row r="74" spans="1:9" ht="15" customHeight="1">
      <c r="D74" s="107" t="s">
        <v>45</v>
      </c>
      <c r="E74" s="108">
        <f>SUM(E61:E73)</f>
        <v>2539821.4416</v>
      </c>
      <c r="F74" s="108">
        <f>SUM(F61:F73)</f>
        <v>2666446.1503999997</v>
      </c>
      <c r="G74" s="108">
        <f>SUM(G61:G73)</f>
        <v>2541018.3549456</v>
      </c>
      <c r="H74" s="108">
        <f>SUM(H61:H73)</f>
        <v>2639223.38</v>
      </c>
      <c r="I74" s="126">
        <f>SUM(I61:I73)</f>
        <v>10386509.326945599</v>
      </c>
    </row>
  </sheetData>
  <mergeCells count="78">
    <mergeCell ref="B27:C27"/>
    <mergeCell ref="D27:E27"/>
    <mergeCell ref="B55:C55"/>
    <mergeCell ref="D55:E55"/>
    <mergeCell ref="A58:B58"/>
    <mergeCell ref="D58:G58"/>
    <mergeCell ref="B28:C28"/>
    <mergeCell ref="D28:E28"/>
    <mergeCell ref="B29:C29"/>
    <mergeCell ref="D29:E29"/>
    <mergeCell ref="B30:C30"/>
    <mergeCell ref="D30:E30"/>
    <mergeCell ref="B31:C31"/>
    <mergeCell ref="D31:E31"/>
    <mergeCell ref="B32:C32"/>
    <mergeCell ref="D32:E32"/>
    <mergeCell ref="B24:C24"/>
    <mergeCell ref="D24:E24"/>
    <mergeCell ref="B25:C25"/>
    <mergeCell ref="D25:E25"/>
    <mergeCell ref="B26:C26"/>
    <mergeCell ref="D26:E26"/>
    <mergeCell ref="R6:S6"/>
    <mergeCell ref="A21:P21"/>
    <mergeCell ref="B22:G22"/>
    <mergeCell ref="H22:K22"/>
    <mergeCell ref="B23:C23"/>
    <mergeCell ref="D23:E23"/>
    <mergeCell ref="A1:P1"/>
    <mergeCell ref="A3:H3"/>
    <mergeCell ref="I3:L3"/>
    <mergeCell ref="M3:P3"/>
    <mergeCell ref="B4:C4"/>
    <mergeCell ref="D4:F4"/>
    <mergeCell ref="G4:H4"/>
    <mergeCell ref="B33:C33"/>
    <mergeCell ref="D33:E33"/>
    <mergeCell ref="B34:C34"/>
    <mergeCell ref="D34:E34"/>
    <mergeCell ref="B35:C35"/>
    <mergeCell ref="D35:E35"/>
    <mergeCell ref="B36:C36"/>
    <mergeCell ref="D36:E36"/>
    <mergeCell ref="B37:C37"/>
    <mergeCell ref="D37:E37"/>
    <mergeCell ref="B47:C47"/>
    <mergeCell ref="D47:E47"/>
    <mergeCell ref="B38:C38"/>
    <mergeCell ref="D38:E38"/>
    <mergeCell ref="B39:C39"/>
    <mergeCell ref="D39:E39"/>
    <mergeCell ref="B40:C40"/>
    <mergeCell ref="D40:E40"/>
    <mergeCell ref="B44:C44"/>
    <mergeCell ref="D44:E44"/>
    <mergeCell ref="B45:C45"/>
    <mergeCell ref="D45:E45"/>
    <mergeCell ref="B46:C46"/>
    <mergeCell ref="D46:E46"/>
    <mergeCell ref="B41:C41"/>
    <mergeCell ref="D41:E41"/>
    <mergeCell ref="B42:C42"/>
    <mergeCell ref="D42:E42"/>
    <mergeCell ref="B43:C43"/>
    <mergeCell ref="D43:E43"/>
    <mergeCell ref="B48:C48"/>
    <mergeCell ref="D48:E48"/>
    <mergeCell ref="B49:C49"/>
    <mergeCell ref="D49:E49"/>
    <mergeCell ref="B50:C50"/>
    <mergeCell ref="D50:E50"/>
    <mergeCell ref="A65:B65"/>
    <mergeCell ref="B51:C51"/>
    <mergeCell ref="D51:E51"/>
    <mergeCell ref="B52:C52"/>
    <mergeCell ref="D52:E52"/>
    <mergeCell ref="B53:C53"/>
    <mergeCell ref="D53:E53"/>
  </mergeCells>
  <conditionalFormatting sqref="N28:N52">
    <cfRule type="colorScale" priority="2">
      <colorScale>
        <cfvo type="min"/>
        <cfvo type="max"/>
        <color rgb="FFFCFCFF"/>
        <color rgb="FF63BE7B"/>
      </colorScale>
    </cfRule>
  </conditionalFormatting>
  <conditionalFormatting sqref="N53">
    <cfRule type="colorScale" priority="1">
      <colorScale>
        <cfvo type="min"/>
        <cfvo type="max"/>
        <color rgb="FFFCFCFF"/>
        <color rgb="FF63BE7B"/>
      </colorScale>
    </cfRule>
  </conditionalFormatting>
  <conditionalFormatting sqref="N54:N55 N24:N27">
    <cfRule type="colorScale" priority="28">
      <colorScale>
        <cfvo type="min"/>
        <cfvo type="max"/>
        <color rgb="FFFCFCFF"/>
        <color rgb="FF63BE7B"/>
      </colorScale>
    </cfRule>
  </conditionalFormatting>
  <conditionalFormatting sqref="N56:N57">
    <cfRule type="colorScale" priority="3">
      <colorScale>
        <cfvo type="min"/>
        <cfvo type="max"/>
        <color rgb="FFFCFCFF"/>
        <color rgb="FF63BE7B"/>
      </colorScale>
    </cfRule>
  </conditionalFormatting>
  <pageMargins left="0.7" right="0.7" top="0.75" bottom="0.75" header="0.3" footer="0.3"/>
  <pageSetup paperSize="3" scale="46"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7657E-DD30-4961-8006-3820F5E14432}">
  <sheetPr>
    <pageSetUpPr fitToPage="1"/>
  </sheetPr>
  <dimension ref="A1:AE87"/>
  <sheetViews>
    <sheetView showGridLines="0" topLeftCell="E1" zoomScale="70" zoomScaleNormal="70" workbookViewId="0">
      <selection activeCell="R21" sqref="R21"/>
    </sheetView>
  </sheetViews>
  <sheetFormatPr defaultRowHeight="15"/>
  <cols>
    <col min="1" max="1" width="14.85546875" bestFit="1" customWidth="1"/>
    <col min="2" max="2" width="14.42578125" bestFit="1" customWidth="1"/>
    <col min="3" max="3" width="10.28515625" bestFit="1" customWidth="1"/>
    <col min="4" max="4" width="13.42578125" bestFit="1" customWidth="1"/>
    <col min="5" max="5" width="18.28515625" bestFit="1" customWidth="1"/>
    <col min="6" max="6" width="17.7109375" customWidth="1"/>
    <col min="7" max="7" width="18.5703125" bestFit="1" customWidth="1"/>
    <col min="8" max="8" width="18.7109375" bestFit="1" customWidth="1"/>
    <col min="9" max="9" width="18.85546875" customWidth="1"/>
    <col min="10" max="10" width="21.140625" customWidth="1"/>
    <col min="11" max="11" width="18.28515625" bestFit="1" customWidth="1"/>
    <col min="12" max="12" width="20.28515625" customWidth="1"/>
    <col min="13" max="13" width="35.42578125" bestFit="1" customWidth="1"/>
    <col min="14" max="14" width="18.28515625" bestFit="1" customWidth="1"/>
    <col min="15" max="15" width="11.28515625" customWidth="1"/>
    <col min="16" max="16" width="17.140625" customWidth="1"/>
    <col min="18" max="18" width="13" customWidth="1"/>
    <col min="19" max="19" width="12.28515625" bestFit="1" customWidth="1"/>
    <col min="20" max="20" width="6.42578125" customWidth="1"/>
    <col min="21" max="22" width="4.140625" customWidth="1"/>
    <col min="23" max="23" width="11.42578125" customWidth="1"/>
    <col min="24" max="24" width="12" bestFit="1" customWidth="1"/>
    <col min="25" max="25" width="12.42578125" bestFit="1" customWidth="1"/>
    <col min="26" max="26" width="2" customWidth="1"/>
    <col min="27" max="27" width="15" customWidth="1"/>
    <col min="28" max="28" width="14.28515625" customWidth="1"/>
    <col min="29" max="29" width="10.7109375" bestFit="1" customWidth="1"/>
    <col min="30" max="31" width="10.5703125" bestFit="1" customWidth="1"/>
  </cols>
  <sheetData>
    <row r="1" spans="1:31" ht="32.25">
      <c r="A1" s="269" t="s">
        <v>116</v>
      </c>
      <c r="B1" s="270"/>
      <c r="C1" s="270"/>
      <c r="D1" s="270"/>
      <c r="E1" s="270"/>
      <c r="F1" s="270"/>
      <c r="G1" s="270"/>
      <c r="H1" s="270"/>
      <c r="I1" s="270"/>
      <c r="J1" s="270"/>
      <c r="K1" s="270"/>
      <c r="L1" s="270"/>
      <c r="M1" s="270"/>
      <c r="N1" s="270"/>
      <c r="O1" s="270"/>
      <c r="P1" s="271"/>
    </row>
    <row r="2" spans="1:31" ht="24.75" thickBot="1">
      <c r="A2" s="1"/>
      <c r="B2" s="2"/>
      <c r="C2" s="2"/>
      <c r="D2" s="2"/>
      <c r="E2" s="2"/>
      <c r="F2" s="3"/>
      <c r="G2" s="3"/>
      <c r="H2" s="3"/>
      <c r="I2" s="3"/>
      <c r="J2" s="3"/>
      <c r="K2" s="4"/>
      <c r="L2" s="4"/>
    </row>
    <row r="3" spans="1:31" ht="20.25" thickBot="1">
      <c r="A3" s="272" t="s">
        <v>114</v>
      </c>
      <c r="B3" s="273"/>
      <c r="C3" s="273"/>
      <c r="D3" s="273"/>
      <c r="E3" s="273"/>
      <c r="F3" s="273"/>
      <c r="G3" s="273"/>
      <c r="H3" s="273"/>
      <c r="I3" s="274" t="s">
        <v>2</v>
      </c>
      <c r="J3" s="299"/>
      <c r="K3" s="299"/>
      <c r="L3" s="300"/>
      <c r="M3" s="274" t="s">
        <v>3</v>
      </c>
      <c r="N3" s="299"/>
      <c r="O3" s="299"/>
      <c r="P3" s="301"/>
    </row>
    <row r="4" spans="1:31">
      <c r="A4" s="51"/>
      <c r="B4" s="278" t="s">
        <v>4</v>
      </c>
      <c r="C4" s="279"/>
      <c r="D4" s="278" t="s">
        <v>5</v>
      </c>
      <c r="E4" s="280"/>
      <c r="F4" s="279"/>
      <c r="G4" s="280" t="s">
        <v>11</v>
      </c>
      <c r="H4" s="279"/>
      <c r="I4" s="6"/>
      <c r="J4" s="52"/>
      <c r="K4" s="52"/>
      <c r="L4" s="53"/>
      <c r="M4" s="6"/>
      <c r="N4" s="52"/>
      <c r="O4" s="52"/>
      <c r="P4" s="53"/>
    </row>
    <row r="5" spans="1:31">
      <c r="A5" s="8"/>
      <c r="B5" s="9">
        <v>1</v>
      </c>
      <c r="C5" s="10">
        <v>3</v>
      </c>
      <c r="D5" s="9">
        <v>23</v>
      </c>
      <c r="E5" s="11">
        <v>6</v>
      </c>
      <c r="F5" s="10" t="s">
        <v>7</v>
      </c>
      <c r="G5" s="12" t="s">
        <v>4</v>
      </c>
      <c r="H5" s="13" t="s">
        <v>5</v>
      </c>
      <c r="I5" s="8"/>
      <c r="J5" s="12" t="s">
        <v>4</v>
      </c>
      <c r="K5" s="12" t="s">
        <v>5</v>
      </c>
      <c r="L5" s="14" t="s">
        <v>8</v>
      </c>
      <c r="M5" s="8"/>
      <c r="N5" s="12" t="s">
        <v>9</v>
      </c>
      <c r="O5" s="12" t="s">
        <v>10</v>
      </c>
      <c r="P5" s="14" t="s">
        <v>11</v>
      </c>
      <c r="Q5" s="160">
        <v>20.2</v>
      </c>
      <c r="X5" t="s">
        <v>101</v>
      </c>
      <c r="Y5" t="s">
        <v>102</v>
      </c>
      <c r="AA5" t="s">
        <v>110</v>
      </c>
      <c r="AB5" t="s">
        <v>109</v>
      </c>
    </row>
    <row r="6" spans="1:31" ht="15" customHeight="1">
      <c r="A6" s="15">
        <v>44197</v>
      </c>
      <c r="B6" s="16">
        <v>1546262</v>
      </c>
      <c r="C6" s="16">
        <v>16160</v>
      </c>
      <c r="D6" s="17">
        <v>180096</v>
      </c>
      <c r="E6" s="17">
        <v>218600</v>
      </c>
      <c r="F6" s="17">
        <v>1963400</v>
      </c>
      <c r="G6" s="18">
        <f>B6+C6</f>
        <v>1562422</v>
      </c>
      <c r="H6" s="129">
        <f>D6+E6+F6</f>
        <v>2362096</v>
      </c>
      <c r="I6" s="15">
        <v>44197</v>
      </c>
      <c r="J6" s="20">
        <f t="shared" ref="J6:J17" si="0">G6*0.06525</f>
        <v>101948.0355</v>
      </c>
      <c r="K6" s="21">
        <f t="shared" ref="K6:K17" si="1">H6*0.06225</f>
        <v>147040.476</v>
      </c>
      <c r="L6" s="22">
        <f>SUM(J6:K6)</f>
        <v>248988.51149999999</v>
      </c>
      <c r="M6" s="15">
        <v>44197</v>
      </c>
      <c r="N6" s="23">
        <v>1963410.0240000002</v>
      </c>
      <c r="O6" s="23">
        <v>407934.73900000006</v>
      </c>
      <c r="P6" s="24">
        <f>SUM(N6:O6)</f>
        <v>2371344.7630000003</v>
      </c>
      <c r="Q6" s="175">
        <f>P6/'2020 Dashboard'!P6</f>
        <v>1.0625170883109645</v>
      </c>
      <c r="R6" s="295" t="s">
        <v>106</v>
      </c>
      <c r="S6" s="302"/>
      <c r="X6" s="155">
        <f>(H6+G6)</f>
        <v>3924518</v>
      </c>
      <c r="Y6" s="155">
        <f>P6</f>
        <v>2371344.7630000003</v>
      </c>
      <c r="AA6" s="155">
        <f>X6</f>
        <v>3924518</v>
      </c>
      <c r="AB6" s="155">
        <f>Y6</f>
        <v>2371344.7630000003</v>
      </c>
      <c r="AD6" s="155"/>
      <c r="AE6" s="155"/>
    </row>
    <row r="7" spans="1:31">
      <c r="A7" s="15">
        <v>44228</v>
      </c>
      <c r="B7" s="16">
        <v>1461036</v>
      </c>
      <c r="C7" s="16">
        <v>13553</v>
      </c>
      <c r="D7" s="17">
        <v>187012</v>
      </c>
      <c r="E7" s="17">
        <v>177000</v>
      </c>
      <c r="F7" s="17">
        <v>2757400</v>
      </c>
      <c r="G7" s="18">
        <f>B7+C7</f>
        <v>1474589</v>
      </c>
      <c r="H7" s="129">
        <f>D7+E7+F7</f>
        <v>3121412</v>
      </c>
      <c r="I7" s="15">
        <v>44228</v>
      </c>
      <c r="J7" s="20">
        <f t="shared" si="0"/>
        <v>96216.932249999998</v>
      </c>
      <c r="K7" s="21">
        <f t="shared" si="1"/>
        <v>194307.897</v>
      </c>
      <c r="L7" s="22">
        <f t="shared" ref="L7:L17" si="2">SUM(J7:K7)</f>
        <v>290524.82925000001</v>
      </c>
      <c r="M7" s="15">
        <v>44228</v>
      </c>
      <c r="N7" s="23">
        <v>2035321.5920000011</v>
      </c>
      <c r="O7" s="23">
        <v>430020.03900000005</v>
      </c>
      <c r="P7" s="24">
        <f>SUM(N7:O7)</f>
        <v>2465341.631000001</v>
      </c>
      <c r="Q7" s="175">
        <f>P7/'2020 Dashboard'!P7</f>
        <v>0.74388309015398235</v>
      </c>
      <c r="X7" s="155">
        <f>(H7+G7)</f>
        <v>4596001</v>
      </c>
      <c r="Y7" s="155">
        <f>P7</f>
        <v>2465341.631000001</v>
      </c>
      <c r="AA7" s="155">
        <f t="shared" ref="AA7:AA12" si="3">X7+AA6</f>
        <v>8520519</v>
      </c>
      <c r="AB7" s="155">
        <f t="shared" ref="AB7:AB12" si="4">AB6+Y7</f>
        <v>4836686.3940000013</v>
      </c>
      <c r="AD7" s="155"/>
      <c r="AE7" s="155"/>
    </row>
    <row r="8" spans="1:31">
      <c r="A8" s="15">
        <v>44256</v>
      </c>
      <c r="B8" s="16">
        <v>1480987</v>
      </c>
      <c r="C8" s="16">
        <v>12628</v>
      </c>
      <c r="D8" s="17">
        <v>145470</v>
      </c>
      <c r="E8" s="17">
        <v>117400</v>
      </c>
      <c r="F8" s="17">
        <v>2342200</v>
      </c>
      <c r="G8" s="18">
        <f>B8+C8</f>
        <v>1493615</v>
      </c>
      <c r="H8" s="129">
        <f>D8+E8+F8</f>
        <v>2605070</v>
      </c>
      <c r="I8" s="15">
        <v>44256</v>
      </c>
      <c r="J8" s="20">
        <f t="shared" si="0"/>
        <v>97458.378750000003</v>
      </c>
      <c r="K8" s="21">
        <f t="shared" si="1"/>
        <v>162165.60750000001</v>
      </c>
      <c r="L8" s="22">
        <f t="shared" si="2"/>
        <v>259623.98625000002</v>
      </c>
      <c r="M8" s="15">
        <v>44256</v>
      </c>
      <c r="N8" s="23">
        <v>3052915.987999998</v>
      </c>
      <c r="O8" s="23">
        <v>409189.065</v>
      </c>
      <c r="P8" s="24">
        <f>SUM(N8:O8)</f>
        <v>3462105.052999998</v>
      </c>
      <c r="Q8" s="175">
        <f>P8/'2020 Dashboard'!P8</f>
        <v>0.86712002986489112</v>
      </c>
      <c r="R8" t="s">
        <v>103</v>
      </c>
      <c r="X8" s="155">
        <f>(H8+G8)</f>
        <v>4098685</v>
      </c>
      <c r="Y8" s="155">
        <f>P8</f>
        <v>3462105.052999998</v>
      </c>
      <c r="AA8" s="155">
        <f t="shared" si="3"/>
        <v>12619204</v>
      </c>
      <c r="AB8" s="155">
        <f t="shared" si="4"/>
        <v>8298791.4469999988</v>
      </c>
      <c r="AC8" s="155"/>
      <c r="AD8" s="155"/>
      <c r="AE8" s="155"/>
    </row>
    <row r="9" spans="1:31">
      <c r="A9" s="15">
        <v>44287</v>
      </c>
      <c r="B9" s="16">
        <v>1277028</v>
      </c>
      <c r="C9" s="16">
        <v>11602</v>
      </c>
      <c r="D9" s="17">
        <v>186367</v>
      </c>
      <c r="E9" s="17">
        <v>218600</v>
      </c>
      <c r="F9" s="17">
        <v>1738400</v>
      </c>
      <c r="G9" s="18">
        <f>B9+C9</f>
        <v>1288630</v>
      </c>
      <c r="H9" s="129">
        <f>D9+E9+F9</f>
        <v>2143367</v>
      </c>
      <c r="I9" s="15">
        <v>44287</v>
      </c>
      <c r="J9" s="20">
        <f t="shared" si="0"/>
        <v>84083.107499999998</v>
      </c>
      <c r="K9" s="21">
        <f t="shared" si="1"/>
        <v>133424.59575000001</v>
      </c>
      <c r="L9" s="22">
        <f t="shared" si="2"/>
        <v>217507.70325000002</v>
      </c>
      <c r="M9" s="15">
        <v>44287</v>
      </c>
      <c r="N9" s="23">
        <v>4347025.4910000041</v>
      </c>
      <c r="O9" s="23">
        <v>716440.59600000025</v>
      </c>
      <c r="P9" s="24">
        <f t="shared" ref="P9:P17" si="5">SUM(N9:O9)</f>
        <v>5063466.087000004</v>
      </c>
      <c r="Q9" s="175">
        <f>P9/'2020 Dashboard'!P9</f>
        <v>1.0123605557213908</v>
      </c>
      <c r="R9" t="s">
        <v>101</v>
      </c>
      <c r="S9" s="157">
        <f>SUM(G6:H17)</f>
        <v>47361700</v>
      </c>
      <c r="X9" s="155">
        <f>(H9+G9)</f>
        <v>3431997</v>
      </c>
      <c r="Y9" s="155">
        <f>P9</f>
        <v>5063466.087000004</v>
      </c>
      <c r="AA9" s="155">
        <f t="shared" si="3"/>
        <v>16051201</v>
      </c>
      <c r="AB9" s="155">
        <f t="shared" si="4"/>
        <v>13362257.534000002</v>
      </c>
      <c r="AC9" s="155"/>
      <c r="AD9" s="155"/>
      <c r="AE9" s="155"/>
    </row>
    <row r="10" spans="1:31">
      <c r="A10" s="15">
        <v>44317</v>
      </c>
      <c r="B10" s="16">
        <v>1425253</v>
      </c>
      <c r="C10" s="16">
        <v>12871</v>
      </c>
      <c r="D10" s="17">
        <v>173145</v>
      </c>
      <c r="E10" s="17">
        <v>37200</v>
      </c>
      <c r="F10" s="17">
        <v>2689000</v>
      </c>
      <c r="G10" s="18">
        <f>B10+C10</f>
        <v>1438124</v>
      </c>
      <c r="H10" s="129">
        <f t="shared" ref="H10:H17" si="6">D10+E10+F10</f>
        <v>2899345</v>
      </c>
      <c r="I10" s="15">
        <v>44317</v>
      </c>
      <c r="J10" s="20">
        <f t="shared" si="0"/>
        <v>93837.591</v>
      </c>
      <c r="K10" s="21">
        <f t="shared" si="1"/>
        <v>180484.22625000001</v>
      </c>
      <c r="L10" s="22">
        <f t="shared" si="2"/>
        <v>274321.81725000002</v>
      </c>
      <c r="M10" s="15">
        <v>44317</v>
      </c>
      <c r="N10" s="23">
        <v>4871240.2050000047</v>
      </c>
      <c r="O10" s="23">
        <v>1029558.6000000001</v>
      </c>
      <c r="P10" s="24">
        <f t="shared" si="5"/>
        <v>5900798.8050000053</v>
      </c>
      <c r="Q10" s="175">
        <f>P10/'2020 Dashboard'!P10</f>
        <v>1.0484263912931746</v>
      </c>
      <c r="R10" t="s">
        <v>102</v>
      </c>
      <c r="S10" s="157">
        <f>SUM(P6:P17)</f>
        <v>48263411.613000013</v>
      </c>
      <c r="X10" s="155">
        <f>(H10+G10)</f>
        <v>4337469</v>
      </c>
      <c r="Y10" s="155">
        <f>P10</f>
        <v>5900798.8050000053</v>
      </c>
      <c r="AA10" s="155">
        <f t="shared" si="3"/>
        <v>20388670</v>
      </c>
      <c r="AB10" s="155">
        <f t="shared" si="4"/>
        <v>19263056.339000009</v>
      </c>
    </row>
    <row r="11" spans="1:31">
      <c r="A11" s="15">
        <v>44348</v>
      </c>
      <c r="B11" s="16">
        <v>1454141</v>
      </c>
      <c r="C11" s="16">
        <v>15374</v>
      </c>
      <c r="D11" s="17">
        <v>188406</v>
      </c>
      <c r="E11" s="17">
        <v>289760</v>
      </c>
      <c r="F11" s="17">
        <v>2157200</v>
      </c>
      <c r="G11" s="18">
        <f t="shared" ref="G11:G17" si="7">B11+C11</f>
        <v>1469515</v>
      </c>
      <c r="H11" s="129">
        <f t="shared" si="6"/>
        <v>2635366</v>
      </c>
      <c r="I11" s="15">
        <v>44348</v>
      </c>
      <c r="J11" s="20">
        <f t="shared" si="0"/>
        <v>95885.853750000009</v>
      </c>
      <c r="K11" s="21">
        <f t="shared" si="1"/>
        <v>164051.53349999999</v>
      </c>
      <c r="L11" s="22">
        <f t="shared" si="2"/>
        <v>259937.38725</v>
      </c>
      <c r="M11" s="15">
        <v>44348</v>
      </c>
      <c r="N11" s="23">
        <v>5093768.4010000052</v>
      </c>
      <c r="O11" s="23">
        <v>909458.17299999984</v>
      </c>
      <c r="P11" s="24">
        <f t="shared" si="5"/>
        <v>6003226.5740000047</v>
      </c>
      <c r="Q11" s="175">
        <f>P11/'2020 Dashboard'!P11</f>
        <v>1.0643153657978381</v>
      </c>
      <c r="R11" s="150" t="s">
        <v>97</v>
      </c>
      <c r="X11" s="155">
        <v>4104881</v>
      </c>
      <c r="Y11" s="155">
        <v>6003226.5740000047</v>
      </c>
      <c r="AA11" s="155">
        <f t="shared" si="3"/>
        <v>24493551</v>
      </c>
      <c r="AB11" s="155">
        <f t="shared" si="4"/>
        <v>25266282.913000014</v>
      </c>
    </row>
    <row r="12" spans="1:31">
      <c r="A12" s="15">
        <v>44378</v>
      </c>
      <c r="B12" s="16">
        <v>1535212</v>
      </c>
      <c r="C12" s="16">
        <v>18430</v>
      </c>
      <c r="D12" s="17">
        <v>211007</v>
      </c>
      <c r="E12" s="17">
        <v>185000</v>
      </c>
      <c r="F12" s="17">
        <v>1534200</v>
      </c>
      <c r="G12" s="18">
        <f t="shared" si="7"/>
        <v>1553642</v>
      </c>
      <c r="H12" s="129">
        <f t="shared" si="6"/>
        <v>1930207</v>
      </c>
      <c r="I12" s="15">
        <v>44378</v>
      </c>
      <c r="J12" s="20">
        <f t="shared" si="0"/>
        <v>101375.14050000001</v>
      </c>
      <c r="K12" s="21">
        <f t="shared" si="1"/>
        <v>120155.38575</v>
      </c>
      <c r="L12" s="22">
        <f t="shared" si="2"/>
        <v>221530.52625</v>
      </c>
      <c r="M12" s="15">
        <v>44378</v>
      </c>
      <c r="N12" s="23">
        <v>4185049.4429999981</v>
      </c>
      <c r="O12" s="23">
        <v>854541.4739999997</v>
      </c>
      <c r="P12" s="24">
        <f t="shared" si="5"/>
        <v>5039590.9169999976</v>
      </c>
      <c r="Q12" s="175">
        <f>P12/'2020 Dashboard'!P12</f>
        <v>0.84198486473474599</v>
      </c>
      <c r="R12" s="150" t="s">
        <v>104</v>
      </c>
      <c r="S12" s="155">
        <f>S10-S9</f>
        <v>901711.61300001293</v>
      </c>
      <c r="X12" s="155">
        <v>3483849</v>
      </c>
      <c r="Y12" s="155">
        <v>5039590.9169999976</v>
      </c>
      <c r="AA12" s="155">
        <f t="shared" si="3"/>
        <v>27977400</v>
      </c>
      <c r="AB12" s="155">
        <f t="shared" si="4"/>
        <v>30305873.830000013</v>
      </c>
    </row>
    <row r="13" spans="1:31">
      <c r="A13" s="15">
        <v>44409</v>
      </c>
      <c r="B13" s="16">
        <v>1653580</v>
      </c>
      <c r="C13" s="16">
        <v>18111</v>
      </c>
      <c r="D13" s="17">
        <v>266676</v>
      </c>
      <c r="E13" s="17">
        <v>177600</v>
      </c>
      <c r="F13" s="17">
        <v>2348800</v>
      </c>
      <c r="G13" s="18">
        <f t="shared" si="7"/>
        <v>1671691</v>
      </c>
      <c r="H13" s="129">
        <f t="shared" si="6"/>
        <v>2793076</v>
      </c>
      <c r="I13" s="15">
        <v>44409</v>
      </c>
      <c r="J13" s="20">
        <f t="shared" si="0"/>
        <v>109077.83775000001</v>
      </c>
      <c r="K13" s="21">
        <f t="shared" si="1"/>
        <v>173868.981</v>
      </c>
      <c r="L13" s="22">
        <f t="shared" si="2"/>
        <v>282946.81874999998</v>
      </c>
      <c r="M13" s="15">
        <v>44409</v>
      </c>
      <c r="N13" s="23">
        <v>4320661.3729999997</v>
      </c>
      <c r="O13" s="23">
        <v>839975.86600000004</v>
      </c>
      <c r="P13" s="24">
        <f t="shared" si="5"/>
        <v>5160637.2390000001</v>
      </c>
      <c r="Q13" s="175">
        <f>P13/'2020 Dashboard'!P13</f>
        <v>0.89061251644544692</v>
      </c>
      <c r="X13" s="155">
        <v>4464767</v>
      </c>
      <c r="Y13" s="155">
        <v>5160637.2390000001</v>
      </c>
      <c r="AA13" s="155">
        <f t="shared" ref="AA13" si="8">X13+AA12</f>
        <v>32442167</v>
      </c>
      <c r="AB13" s="155">
        <f t="shared" ref="AB13" si="9">AB12+Y13</f>
        <v>35466511.069000013</v>
      </c>
    </row>
    <row r="14" spans="1:31">
      <c r="A14" s="15">
        <v>44440</v>
      </c>
      <c r="B14" s="16">
        <v>1417028</v>
      </c>
      <c r="C14" s="16">
        <v>15387</v>
      </c>
      <c r="D14" s="17">
        <v>218610</v>
      </c>
      <c r="E14" s="17">
        <v>177600</v>
      </c>
      <c r="F14" s="17">
        <v>1805200</v>
      </c>
      <c r="G14" s="18">
        <f t="shared" si="7"/>
        <v>1432415</v>
      </c>
      <c r="H14" s="129">
        <f t="shared" si="6"/>
        <v>2201410</v>
      </c>
      <c r="I14" s="15">
        <v>44440</v>
      </c>
      <c r="J14" s="20">
        <f t="shared" si="0"/>
        <v>93465.078750000001</v>
      </c>
      <c r="K14" s="21">
        <f t="shared" si="1"/>
        <v>137037.77249999999</v>
      </c>
      <c r="L14" s="22">
        <f t="shared" si="2"/>
        <v>230502.85125000001</v>
      </c>
      <c r="M14" s="15">
        <v>44440</v>
      </c>
      <c r="N14" s="23">
        <v>3932476.8220000016</v>
      </c>
      <c r="O14" s="23">
        <v>867450.85899999994</v>
      </c>
      <c r="P14" s="24">
        <f t="shared" si="5"/>
        <v>4799927.6810000017</v>
      </c>
      <c r="Q14" s="175">
        <f>P14/'2020 Dashboard'!P14</f>
        <v>1.0043294594063434</v>
      </c>
      <c r="X14" s="155">
        <v>3633825</v>
      </c>
      <c r="Y14" s="155">
        <v>4799927.6810000017</v>
      </c>
      <c r="AA14" s="155">
        <f t="shared" ref="AA14" si="10">X14+AA13</f>
        <v>36075992</v>
      </c>
      <c r="AB14" s="155">
        <f t="shared" ref="AB14" si="11">AB13+Y14</f>
        <v>40266438.750000015</v>
      </c>
    </row>
    <row r="15" spans="1:31">
      <c r="A15" s="15">
        <v>44470</v>
      </c>
      <c r="B15" s="16">
        <v>1376605</v>
      </c>
      <c r="C15" s="16">
        <v>12656</v>
      </c>
      <c r="D15" s="17">
        <v>236202</v>
      </c>
      <c r="E15" s="17">
        <v>177200</v>
      </c>
      <c r="F15" s="17">
        <v>1903800</v>
      </c>
      <c r="G15" s="18">
        <f t="shared" si="7"/>
        <v>1389261</v>
      </c>
      <c r="H15" s="129">
        <f t="shared" si="6"/>
        <v>2317202</v>
      </c>
      <c r="I15" s="15">
        <v>44470</v>
      </c>
      <c r="J15" s="20">
        <f t="shared" si="0"/>
        <v>90649.280249999996</v>
      </c>
      <c r="K15" s="21">
        <f t="shared" si="1"/>
        <v>144245.82449999999</v>
      </c>
      <c r="L15" s="22">
        <f t="shared" si="2"/>
        <v>234895.10475</v>
      </c>
      <c r="M15" s="15">
        <v>44470</v>
      </c>
      <c r="N15" s="23">
        <v>2536075.5890000011</v>
      </c>
      <c r="O15" s="23">
        <v>608177.25099999993</v>
      </c>
      <c r="P15" s="24">
        <f t="shared" si="5"/>
        <v>3144252.8400000008</v>
      </c>
      <c r="Q15" s="175">
        <f>P15/'2020 Dashboard'!P15</f>
        <v>1.0054482824491806</v>
      </c>
      <c r="X15" s="155">
        <v>3706463</v>
      </c>
      <c r="Y15" s="155">
        <v>3144252.8400000008</v>
      </c>
      <c r="AA15" s="155">
        <f t="shared" ref="AA15" si="12">X15+AA14</f>
        <v>39782455</v>
      </c>
      <c r="AB15" s="155">
        <f t="shared" ref="AB15" si="13">AB14+Y15</f>
        <v>43410691.590000018</v>
      </c>
    </row>
    <row r="16" spans="1:31">
      <c r="A16" s="15">
        <v>44501</v>
      </c>
      <c r="B16" s="16">
        <v>1387964</v>
      </c>
      <c r="C16" s="16">
        <v>11948</v>
      </c>
      <c r="D16" s="17">
        <v>237611</v>
      </c>
      <c r="E16" s="17">
        <v>220400</v>
      </c>
      <c r="F16" s="17">
        <v>1902600</v>
      </c>
      <c r="G16" s="18">
        <f t="shared" si="7"/>
        <v>1399912</v>
      </c>
      <c r="H16" s="129">
        <f t="shared" si="6"/>
        <v>2360611</v>
      </c>
      <c r="I16" s="15">
        <v>44501</v>
      </c>
      <c r="J16" s="20">
        <f t="shared" si="0"/>
        <v>91344.258000000002</v>
      </c>
      <c r="K16" s="21">
        <f t="shared" si="1"/>
        <v>146948.03474999999</v>
      </c>
      <c r="L16" s="22">
        <f t="shared" si="2"/>
        <v>238292.29274999999</v>
      </c>
      <c r="M16" s="15">
        <v>44501</v>
      </c>
      <c r="N16" s="23">
        <v>2321794.9459999991</v>
      </c>
      <c r="O16" s="23">
        <v>541718.99300000002</v>
      </c>
      <c r="P16" s="24">
        <f t="shared" si="5"/>
        <v>2863513.9389999993</v>
      </c>
      <c r="Q16" s="175">
        <f>P16/'2020 Dashboard'!P16</f>
        <v>1.0528951737200167</v>
      </c>
      <c r="X16" s="155">
        <v>3760523</v>
      </c>
      <c r="Y16" s="155">
        <v>2863513.9389999993</v>
      </c>
      <c r="AA16" s="155">
        <f t="shared" ref="AA16" si="14">X16+AA15</f>
        <v>43542978</v>
      </c>
      <c r="AB16" s="155">
        <f t="shared" ref="AB16" si="15">AB15+Y16</f>
        <v>46274205.529000014</v>
      </c>
    </row>
    <row r="17" spans="1:29">
      <c r="A17" s="15">
        <v>44531</v>
      </c>
      <c r="B17" s="16">
        <v>1505378</v>
      </c>
      <c r="C17" s="16">
        <v>13883</v>
      </c>
      <c r="D17" s="17">
        <v>219861</v>
      </c>
      <c r="E17" s="17">
        <v>47400</v>
      </c>
      <c r="F17" s="17">
        <v>2032200</v>
      </c>
      <c r="G17" s="18">
        <f t="shared" si="7"/>
        <v>1519261</v>
      </c>
      <c r="H17" s="129">
        <f t="shared" si="6"/>
        <v>2299461</v>
      </c>
      <c r="I17" s="15">
        <v>44531</v>
      </c>
      <c r="J17" s="20">
        <f t="shared" si="0"/>
        <v>99131.780250000011</v>
      </c>
      <c r="K17" s="21">
        <f t="shared" si="1"/>
        <v>143141.44725</v>
      </c>
      <c r="L17" s="22">
        <f t="shared" si="2"/>
        <v>242273.22750000001</v>
      </c>
      <c r="M17" s="15">
        <v>44531</v>
      </c>
      <c r="N17" s="23">
        <v>1550809.0979999993</v>
      </c>
      <c r="O17" s="23">
        <v>438396.98599999986</v>
      </c>
      <c r="P17" s="24">
        <f t="shared" si="5"/>
        <v>1989206.0839999991</v>
      </c>
      <c r="Q17" s="175">
        <f>P17/'2020 Dashboard'!P17</f>
        <v>1.1187745833329101</v>
      </c>
      <c r="R17" s="149" t="s">
        <v>105</v>
      </c>
      <c r="X17" s="155">
        <v>3818722</v>
      </c>
      <c r="Y17" s="155">
        <v>1989206.0839999991</v>
      </c>
      <c r="AA17" s="155">
        <f t="shared" ref="AA17" si="16">X17+AA16</f>
        <v>47361700</v>
      </c>
      <c r="AB17" s="155">
        <f t="shared" ref="AB17" si="17">AB16+Y17</f>
        <v>48263411.613000013</v>
      </c>
      <c r="AC17" s="155"/>
    </row>
    <row r="18" spans="1:29">
      <c r="A18" s="26"/>
      <c r="B18" s="27"/>
      <c r="C18" s="27"/>
      <c r="D18" s="27"/>
      <c r="E18" s="27"/>
      <c r="F18" s="27"/>
      <c r="G18" s="27"/>
      <c r="H18" s="130"/>
      <c r="I18" s="28"/>
      <c r="J18" s="29"/>
      <c r="K18" s="29"/>
      <c r="L18" s="30"/>
      <c r="M18" s="31"/>
      <c r="N18" s="151"/>
      <c r="O18" s="152"/>
      <c r="P18" s="7"/>
      <c r="R18" s="153" t="s">
        <v>99</v>
      </c>
      <c r="S18" s="153" t="s">
        <v>98</v>
      </c>
      <c r="T18" t="s">
        <v>107</v>
      </c>
      <c r="X18" s="155">
        <f>SUM(X6:X17)</f>
        <v>47361700</v>
      </c>
      <c r="Y18" s="155">
        <f>SUM(Y6:Y17)</f>
        <v>48263411.613000013</v>
      </c>
      <c r="AA18" s="159">
        <f>AA14/AB14</f>
        <v>0.89593202478081047</v>
      </c>
      <c r="AB18" s="155"/>
    </row>
    <row r="19" spans="1:29">
      <c r="A19" s="34" t="s">
        <v>11</v>
      </c>
      <c r="B19" s="35">
        <f t="shared" ref="B19:H19" si="18">SUM(B6:B17)</f>
        <v>17520474</v>
      </c>
      <c r="C19" s="35">
        <f t="shared" si="18"/>
        <v>172603</v>
      </c>
      <c r="D19" s="35">
        <f t="shared" si="18"/>
        <v>2450463</v>
      </c>
      <c r="E19" s="35">
        <f t="shared" si="18"/>
        <v>2043760</v>
      </c>
      <c r="F19" s="35">
        <f t="shared" si="18"/>
        <v>25174400</v>
      </c>
      <c r="G19" s="35">
        <f t="shared" si="18"/>
        <v>17693077</v>
      </c>
      <c r="H19" s="35">
        <f t="shared" si="18"/>
        <v>29668623</v>
      </c>
      <c r="I19" s="37" t="s">
        <v>8</v>
      </c>
      <c r="J19" s="38">
        <f>SUM(J6:J17)</f>
        <v>1154473.2742499998</v>
      </c>
      <c r="K19" s="38">
        <f>SUM(K6:K17)</f>
        <v>1846871.7817499998</v>
      </c>
      <c r="L19" s="39">
        <f>SUM(L6:L17)</f>
        <v>3001345.0559999999</v>
      </c>
      <c r="M19" s="12" t="s">
        <v>11</v>
      </c>
      <c r="N19" s="150">
        <f>SUM(N6:N17)</f>
        <v>40210548.97200001</v>
      </c>
      <c r="O19" s="150">
        <f>SUM(O6:O17)</f>
        <v>8052862.6409999998</v>
      </c>
      <c r="P19" s="41">
        <f>SUM(P6:P17)</f>
        <v>48263411.613000013</v>
      </c>
      <c r="R19" s="154">
        <f>P19-H20</f>
        <v>901711.61300001293</v>
      </c>
      <c r="S19" s="183">
        <f>R19/200</f>
        <v>4508.5580650000647</v>
      </c>
      <c r="T19">
        <f>S19/2</f>
        <v>2254.2790325000324</v>
      </c>
      <c r="W19" t="s">
        <v>108</v>
      </c>
      <c r="X19" s="155">
        <f>X18/12</f>
        <v>3946808.3333333335</v>
      </c>
      <c r="Y19" s="155">
        <f>Y18/12</f>
        <v>4021950.9677500012</v>
      </c>
    </row>
    <row r="20" spans="1:29" ht="15.75" thickBot="1">
      <c r="A20" s="42"/>
      <c r="C20" s="43"/>
      <c r="D20" s="44"/>
      <c r="E20" s="29"/>
      <c r="F20" s="45"/>
      <c r="G20" s="46" t="s">
        <v>13</v>
      </c>
      <c r="H20" s="47">
        <f>G19+H19</f>
        <v>47361700</v>
      </c>
      <c r="I20" s="48"/>
      <c r="J20" s="49"/>
      <c r="K20" s="33"/>
      <c r="L20" s="33"/>
      <c r="M20" s="31"/>
      <c r="N20" s="32"/>
      <c r="O20" s="33"/>
      <c r="P20" s="50"/>
      <c r="T20">
        <f>S19/12</f>
        <v>375.71317208333875</v>
      </c>
    </row>
    <row r="21" spans="1:29" ht="20.25" thickBot="1">
      <c r="A21" s="281" t="s">
        <v>75</v>
      </c>
      <c r="B21" s="282"/>
      <c r="C21" s="283"/>
      <c r="D21" s="283"/>
      <c r="E21" s="283"/>
      <c r="F21" s="283"/>
      <c r="G21" s="283"/>
      <c r="H21" s="283"/>
      <c r="I21" s="283"/>
      <c r="J21" s="283"/>
      <c r="K21" s="283"/>
      <c r="L21" s="283"/>
      <c r="M21" s="283"/>
      <c r="N21" s="283"/>
      <c r="O21" s="283"/>
      <c r="P21" s="284"/>
      <c r="Y21" s="155">
        <f>SUM(Y18-X18)</f>
        <v>901711.61300001293</v>
      </c>
      <c r="Z21" t="s">
        <v>115</v>
      </c>
    </row>
    <row r="22" spans="1:29">
      <c r="B22" s="256" t="s">
        <v>14</v>
      </c>
      <c r="C22" s="257"/>
      <c r="D22" s="257"/>
      <c r="E22" s="257"/>
      <c r="F22" s="257"/>
      <c r="G22" s="258"/>
      <c r="H22" s="285" t="s">
        <v>15</v>
      </c>
      <c r="I22" s="286"/>
      <c r="J22" s="286"/>
      <c r="K22" s="287"/>
    </row>
    <row r="23" spans="1:29">
      <c r="B23" s="288" t="s">
        <v>16</v>
      </c>
      <c r="C23" s="289"/>
      <c r="D23" s="289" t="s">
        <v>17</v>
      </c>
      <c r="E23" s="289"/>
      <c r="F23" s="68" t="s">
        <v>18</v>
      </c>
      <c r="G23" s="55" t="s">
        <v>19</v>
      </c>
      <c r="H23" s="56" t="s">
        <v>20</v>
      </c>
      <c r="I23" s="56" t="s">
        <v>21</v>
      </c>
      <c r="J23" s="56" t="s">
        <v>22</v>
      </c>
      <c r="K23" s="57" t="s">
        <v>23</v>
      </c>
      <c r="L23" s="93" t="s">
        <v>24</v>
      </c>
      <c r="M23" s="95" t="s">
        <v>26</v>
      </c>
      <c r="N23" s="131" t="s">
        <v>27</v>
      </c>
    </row>
    <row r="24" spans="1:29">
      <c r="A24" s="58">
        <v>2015</v>
      </c>
      <c r="B24" s="265">
        <v>14403.35</v>
      </c>
      <c r="C24" s="265"/>
      <c r="D24" s="265"/>
      <c r="E24" s="265"/>
      <c r="F24" s="59"/>
      <c r="G24" s="69">
        <f>B24+E24+F24</f>
        <v>14403.35</v>
      </c>
      <c r="H24" s="60"/>
      <c r="I24" s="60">
        <v>7279.47</v>
      </c>
      <c r="J24" s="60"/>
      <c r="K24" s="77">
        <f>H24+I24+J24</f>
        <v>7279.47</v>
      </c>
      <c r="L24" s="92">
        <f>K24+G24</f>
        <v>21682.82</v>
      </c>
      <c r="M24" s="94">
        <v>48000</v>
      </c>
      <c r="N24" s="132">
        <f>M24-L24</f>
        <v>26317.18</v>
      </c>
    </row>
    <row r="25" spans="1:2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32">
        <v>273572.71999999997</v>
      </c>
    </row>
    <row r="26" spans="1:2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32">
        <v>310176.08</v>
      </c>
    </row>
    <row r="27" spans="1:29">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32">
        <v>441013.52</v>
      </c>
    </row>
    <row r="28" spans="1:29" hidden="1">
      <c r="A28" s="15">
        <v>43466</v>
      </c>
      <c r="B28" s="263">
        <v>1930</v>
      </c>
      <c r="C28" s="263"/>
      <c r="D28" s="263">
        <v>0</v>
      </c>
      <c r="E28" s="263"/>
      <c r="F28" s="62">
        <v>0</v>
      </c>
      <c r="G28" s="115">
        <f t="shared" ref="G28:G39" si="19">B28+D28+F28</f>
        <v>1930</v>
      </c>
      <c r="H28" s="29">
        <v>0</v>
      </c>
      <c r="I28" s="62">
        <v>0</v>
      </c>
      <c r="J28" s="62">
        <v>2040</v>
      </c>
      <c r="K28" s="80">
        <f t="shared" ref="K28:K39" si="20">H28+I28+J28</f>
        <v>2040</v>
      </c>
      <c r="L28" s="74">
        <f t="shared" ref="L28:L65" si="21">K28+G28</f>
        <v>3970</v>
      </c>
      <c r="M28" s="89">
        <v>16580</v>
      </c>
      <c r="N28" s="89">
        <f>M28-L28</f>
        <v>12610</v>
      </c>
    </row>
    <row r="29" spans="1:29" hidden="1">
      <c r="A29" s="15">
        <v>43497</v>
      </c>
      <c r="B29" s="263">
        <v>3985.12</v>
      </c>
      <c r="C29" s="263"/>
      <c r="D29" s="263">
        <v>0</v>
      </c>
      <c r="E29" s="263"/>
      <c r="F29" s="62">
        <v>0</v>
      </c>
      <c r="G29" s="115">
        <f t="shared" si="19"/>
        <v>3985.12</v>
      </c>
      <c r="H29" s="29">
        <v>0</v>
      </c>
      <c r="I29" s="62">
        <v>0</v>
      </c>
      <c r="J29" s="62">
        <v>0</v>
      </c>
      <c r="K29" s="80">
        <f t="shared" si="20"/>
        <v>0</v>
      </c>
      <c r="L29" s="74">
        <f t="shared" si="21"/>
        <v>3985.12</v>
      </c>
      <c r="M29" s="89">
        <v>16580</v>
      </c>
      <c r="N29" s="89">
        <f t="shared" ref="N29:N65" si="22">M29-L29</f>
        <v>12594.880000000001</v>
      </c>
    </row>
    <row r="30" spans="1:29" hidden="1">
      <c r="A30" s="15">
        <v>43525</v>
      </c>
      <c r="B30" s="263">
        <v>3799.53</v>
      </c>
      <c r="C30" s="263"/>
      <c r="D30" s="263">
        <v>0</v>
      </c>
      <c r="E30" s="263"/>
      <c r="F30" s="62">
        <v>0</v>
      </c>
      <c r="G30" s="115">
        <f t="shared" si="19"/>
        <v>3799.53</v>
      </c>
      <c r="H30" s="29">
        <v>9477.06</v>
      </c>
      <c r="I30" s="62">
        <v>0</v>
      </c>
      <c r="J30" s="62">
        <v>0</v>
      </c>
      <c r="K30" s="80">
        <f t="shared" si="20"/>
        <v>9477.06</v>
      </c>
      <c r="L30" s="74">
        <f t="shared" si="21"/>
        <v>13276.59</v>
      </c>
      <c r="M30" s="89">
        <v>16580</v>
      </c>
      <c r="N30" s="89">
        <f t="shared" si="22"/>
        <v>3303.41</v>
      </c>
    </row>
    <row r="31" spans="1:29" hidden="1">
      <c r="A31" s="15">
        <v>43556</v>
      </c>
      <c r="B31" s="263">
        <v>2076</v>
      </c>
      <c r="C31" s="263"/>
      <c r="D31" s="263">
        <v>3126.63</v>
      </c>
      <c r="E31" s="263"/>
      <c r="F31" s="62">
        <v>0</v>
      </c>
      <c r="G31" s="115">
        <f t="shared" si="19"/>
        <v>5202.63</v>
      </c>
      <c r="H31" s="29">
        <v>523.04</v>
      </c>
      <c r="I31" s="62">
        <v>0</v>
      </c>
      <c r="J31" s="62">
        <v>0</v>
      </c>
      <c r="K31" s="80">
        <f t="shared" si="20"/>
        <v>523.04</v>
      </c>
      <c r="L31" s="74">
        <f t="shared" si="21"/>
        <v>5725.67</v>
      </c>
      <c r="M31" s="89">
        <v>16580</v>
      </c>
      <c r="N31" s="89">
        <f t="shared" si="22"/>
        <v>10854.33</v>
      </c>
    </row>
    <row r="32" spans="1:29" hidden="1">
      <c r="A32" s="15">
        <v>43586</v>
      </c>
      <c r="B32" s="263">
        <v>6061.98</v>
      </c>
      <c r="C32" s="263"/>
      <c r="D32" s="263">
        <v>867.86</v>
      </c>
      <c r="E32" s="263"/>
      <c r="F32" s="62">
        <v>0</v>
      </c>
      <c r="G32" s="115">
        <f t="shared" si="19"/>
        <v>6929.8399999999992</v>
      </c>
      <c r="H32" s="29">
        <v>0</v>
      </c>
      <c r="I32" s="62">
        <v>0</v>
      </c>
      <c r="J32" s="62">
        <v>5120</v>
      </c>
      <c r="K32" s="80">
        <f t="shared" si="20"/>
        <v>5120</v>
      </c>
      <c r="L32" s="74">
        <f t="shared" si="21"/>
        <v>12049.84</v>
      </c>
      <c r="M32" s="89">
        <v>16580</v>
      </c>
      <c r="N32" s="89">
        <f t="shared" si="22"/>
        <v>4530.16</v>
      </c>
    </row>
    <row r="33" spans="1:14" hidden="1">
      <c r="A33" s="15">
        <v>43617</v>
      </c>
      <c r="B33" s="263">
        <v>3191</v>
      </c>
      <c r="C33" s="263"/>
      <c r="D33" s="263">
        <v>24.03</v>
      </c>
      <c r="E33" s="263"/>
      <c r="F33" s="62">
        <v>0</v>
      </c>
      <c r="G33" s="115">
        <f t="shared" si="19"/>
        <v>3215.03</v>
      </c>
      <c r="H33" s="29">
        <v>10056.94</v>
      </c>
      <c r="I33" s="62">
        <v>0</v>
      </c>
      <c r="J33" s="62">
        <v>27522.68</v>
      </c>
      <c r="K33" s="80">
        <f t="shared" si="20"/>
        <v>37579.620000000003</v>
      </c>
      <c r="L33" s="74">
        <f t="shared" si="21"/>
        <v>40794.65</v>
      </c>
      <c r="M33" s="89">
        <v>16580</v>
      </c>
      <c r="N33" s="89">
        <f t="shared" si="22"/>
        <v>-24214.65</v>
      </c>
    </row>
    <row r="34" spans="1:14" hidden="1">
      <c r="A34" s="15">
        <v>43647</v>
      </c>
      <c r="B34" s="263">
        <v>5423.72</v>
      </c>
      <c r="C34" s="263"/>
      <c r="D34" s="263">
        <v>0</v>
      </c>
      <c r="E34" s="263"/>
      <c r="F34" s="62">
        <v>0</v>
      </c>
      <c r="G34" s="115">
        <f t="shared" si="19"/>
        <v>5423.72</v>
      </c>
      <c r="H34" s="29">
        <v>0</v>
      </c>
      <c r="I34" s="62">
        <v>0</v>
      </c>
      <c r="J34" s="62">
        <v>1040</v>
      </c>
      <c r="K34" s="80">
        <f t="shared" si="20"/>
        <v>1040</v>
      </c>
      <c r="L34" s="74">
        <f t="shared" si="21"/>
        <v>6463.72</v>
      </c>
      <c r="M34" s="89">
        <v>16580</v>
      </c>
      <c r="N34" s="89">
        <f t="shared" si="22"/>
        <v>10116.279999999999</v>
      </c>
    </row>
    <row r="35" spans="1:14" hidden="1">
      <c r="A35" s="15">
        <v>43678</v>
      </c>
      <c r="B35" s="263">
        <v>3498.19</v>
      </c>
      <c r="C35" s="263"/>
      <c r="D35" s="263">
        <v>0</v>
      </c>
      <c r="E35" s="263"/>
      <c r="F35" s="62">
        <v>0</v>
      </c>
      <c r="G35" s="115">
        <f t="shared" si="19"/>
        <v>3498.19</v>
      </c>
      <c r="H35" s="29">
        <v>0</v>
      </c>
      <c r="I35" s="62">
        <v>0</v>
      </c>
      <c r="J35" s="62">
        <v>0</v>
      </c>
      <c r="K35" s="80">
        <f t="shared" si="20"/>
        <v>0</v>
      </c>
      <c r="L35" s="74">
        <f t="shared" si="21"/>
        <v>3498.19</v>
      </c>
      <c r="M35" s="89">
        <v>16580</v>
      </c>
      <c r="N35" s="89">
        <f t="shared" si="22"/>
        <v>13081.81</v>
      </c>
    </row>
    <row r="36" spans="1:14" hidden="1">
      <c r="A36" s="15">
        <v>43709</v>
      </c>
      <c r="B36" s="263">
        <v>4018.21</v>
      </c>
      <c r="C36" s="263"/>
      <c r="D36" s="263">
        <v>0</v>
      </c>
      <c r="E36" s="263"/>
      <c r="F36" s="62">
        <v>0</v>
      </c>
      <c r="G36" s="115">
        <f t="shared" si="19"/>
        <v>4018.21</v>
      </c>
      <c r="H36" s="29">
        <v>0</v>
      </c>
      <c r="I36" s="62">
        <v>0</v>
      </c>
      <c r="J36" s="62">
        <v>2080</v>
      </c>
      <c r="K36" s="80">
        <f t="shared" si="20"/>
        <v>2080</v>
      </c>
      <c r="L36" s="74">
        <f t="shared" si="21"/>
        <v>6098.21</v>
      </c>
      <c r="M36" s="89">
        <v>16580</v>
      </c>
      <c r="N36" s="89">
        <f t="shared" si="22"/>
        <v>10481.790000000001</v>
      </c>
    </row>
    <row r="37" spans="1:14" hidden="1">
      <c r="A37" s="15">
        <v>43739</v>
      </c>
      <c r="B37" s="263">
        <v>1464</v>
      </c>
      <c r="C37" s="263"/>
      <c r="D37" s="263">
        <v>0</v>
      </c>
      <c r="E37" s="263"/>
      <c r="F37" s="62">
        <v>0</v>
      </c>
      <c r="G37" s="115">
        <f t="shared" si="19"/>
        <v>1464</v>
      </c>
      <c r="H37" s="29">
        <v>0</v>
      </c>
      <c r="I37" s="62">
        <v>0</v>
      </c>
      <c r="J37" s="62">
        <v>1040</v>
      </c>
      <c r="K37" s="80">
        <f t="shared" si="20"/>
        <v>1040</v>
      </c>
      <c r="L37" s="74">
        <f t="shared" si="21"/>
        <v>2504</v>
      </c>
      <c r="M37" s="89">
        <v>16580</v>
      </c>
      <c r="N37" s="89">
        <f t="shared" si="22"/>
        <v>14076</v>
      </c>
    </row>
    <row r="38" spans="1:14" hidden="1">
      <c r="A38" s="15">
        <v>43770</v>
      </c>
      <c r="B38" s="263">
        <v>10036</v>
      </c>
      <c r="C38" s="263"/>
      <c r="D38" s="263">
        <v>0</v>
      </c>
      <c r="E38" s="263"/>
      <c r="F38" s="62">
        <v>0</v>
      </c>
      <c r="G38" s="115">
        <f t="shared" si="19"/>
        <v>10036</v>
      </c>
      <c r="H38" s="29">
        <v>0</v>
      </c>
      <c r="I38" s="62">
        <v>0</v>
      </c>
      <c r="J38" s="62">
        <v>1040</v>
      </c>
      <c r="K38" s="80">
        <f t="shared" si="20"/>
        <v>1040</v>
      </c>
      <c r="L38" s="74">
        <f t="shared" si="21"/>
        <v>11076</v>
      </c>
      <c r="M38" s="89">
        <v>16580</v>
      </c>
      <c r="N38" s="89">
        <f t="shared" si="22"/>
        <v>5504</v>
      </c>
    </row>
    <row r="39" spans="1:14" hidden="1">
      <c r="A39" s="15">
        <v>43800</v>
      </c>
      <c r="B39" s="263">
        <v>4542.46</v>
      </c>
      <c r="C39" s="263"/>
      <c r="D39" s="263">
        <v>3731.52</v>
      </c>
      <c r="E39" s="263"/>
      <c r="F39" s="62">
        <v>7880</v>
      </c>
      <c r="G39" s="116">
        <f t="shared" si="19"/>
        <v>16153.98</v>
      </c>
      <c r="H39" s="29">
        <v>0</v>
      </c>
      <c r="I39" s="62">
        <v>0</v>
      </c>
      <c r="J39" s="62">
        <v>1040</v>
      </c>
      <c r="K39" s="80">
        <f t="shared" si="20"/>
        <v>1040</v>
      </c>
      <c r="L39" s="74">
        <f t="shared" si="21"/>
        <v>17193.98</v>
      </c>
      <c r="M39" s="89">
        <v>16580</v>
      </c>
      <c r="N39" s="89">
        <f t="shared" si="22"/>
        <v>-613.97999999999956</v>
      </c>
    </row>
    <row r="40" spans="1:14">
      <c r="A40" s="58">
        <v>2019</v>
      </c>
      <c r="B40" s="265">
        <f>SUM(B28:B39)</f>
        <v>50026.21</v>
      </c>
      <c r="C40" s="265"/>
      <c r="D40" s="265">
        <f>SUM(D28:D39)</f>
        <v>7750.0400000000009</v>
      </c>
      <c r="E40" s="265"/>
      <c r="F40" s="59">
        <f t="shared" ref="F40:K40" si="23">SUM(F28:F39)</f>
        <v>7880</v>
      </c>
      <c r="G40" s="71">
        <f t="shared" si="23"/>
        <v>65656.25</v>
      </c>
      <c r="H40" s="64">
        <f t="shared" si="23"/>
        <v>20057.04</v>
      </c>
      <c r="I40" s="63">
        <f t="shared" si="23"/>
        <v>0</v>
      </c>
      <c r="J40" s="63">
        <f t="shared" si="23"/>
        <v>40922.68</v>
      </c>
      <c r="K40" s="79">
        <f t="shared" si="23"/>
        <v>60979.72</v>
      </c>
      <c r="L40" s="164">
        <f t="shared" si="21"/>
        <v>126635.97</v>
      </c>
      <c r="M40" s="165">
        <f>SUM(M28:M39)</f>
        <v>198960</v>
      </c>
      <c r="N40" s="76">
        <f t="shared" si="22"/>
        <v>72324.03</v>
      </c>
    </row>
    <row r="41" spans="1:14" hidden="1">
      <c r="A41" s="169">
        <v>43831</v>
      </c>
      <c r="B41" s="263">
        <v>4606.24</v>
      </c>
      <c r="C41" s="263"/>
      <c r="D41" s="263">
        <v>0</v>
      </c>
      <c r="E41" s="263"/>
      <c r="F41" s="62">
        <v>31149.68</v>
      </c>
      <c r="G41" s="85">
        <f>B41+D41+F41</f>
        <v>35755.919999999998</v>
      </c>
      <c r="H41" s="62">
        <v>0</v>
      </c>
      <c r="I41" s="62">
        <v>0</v>
      </c>
      <c r="J41" s="62">
        <v>1040</v>
      </c>
      <c r="K41" s="87">
        <f t="shared" ref="K41:K52" si="24">SUM(H41:J41)</f>
        <v>1040</v>
      </c>
      <c r="L41" s="74">
        <f t="shared" si="21"/>
        <v>36795.919999999998</v>
      </c>
      <c r="M41" s="89">
        <v>66250</v>
      </c>
      <c r="N41" s="89">
        <f>M41-L41</f>
        <v>29454.080000000002</v>
      </c>
    </row>
    <row r="42" spans="1:14" hidden="1">
      <c r="A42" s="169">
        <v>43862</v>
      </c>
      <c r="B42" s="263">
        <v>6914.72</v>
      </c>
      <c r="C42" s="263"/>
      <c r="D42" s="263">
        <v>0</v>
      </c>
      <c r="E42" s="263"/>
      <c r="F42" s="62">
        <v>26617.759999999998</v>
      </c>
      <c r="G42" s="85">
        <f t="shared" ref="G42:G52" si="25">B42+D42+F42</f>
        <v>33532.479999999996</v>
      </c>
      <c r="H42" s="62">
        <v>0</v>
      </c>
      <c r="I42" s="62">
        <v>0</v>
      </c>
      <c r="J42" s="62">
        <v>0</v>
      </c>
      <c r="K42" s="87">
        <f t="shared" si="24"/>
        <v>0</v>
      </c>
      <c r="L42" s="74">
        <f t="shared" si="21"/>
        <v>33532.479999999996</v>
      </c>
      <c r="M42" s="89">
        <v>66250</v>
      </c>
      <c r="N42" s="89">
        <f t="shared" si="22"/>
        <v>32717.520000000004</v>
      </c>
    </row>
    <row r="43" spans="1:14" hidden="1">
      <c r="A43" s="169">
        <v>43891</v>
      </c>
      <c r="B43" s="263">
        <v>4282.12</v>
      </c>
      <c r="C43" s="263"/>
      <c r="D43" s="263">
        <v>0</v>
      </c>
      <c r="E43" s="263"/>
      <c r="F43" s="62">
        <v>62064</v>
      </c>
      <c r="G43" s="85">
        <f t="shared" si="25"/>
        <v>66346.12</v>
      </c>
      <c r="H43" s="62">
        <v>0</v>
      </c>
      <c r="I43" s="62">
        <v>0</v>
      </c>
      <c r="J43" s="62">
        <v>0</v>
      </c>
      <c r="K43" s="87">
        <f t="shared" si="24"/>
        <v>0</v>
      </c>
      <c r="L43" s="74">
        <f t="shared" si="21"/>
        <v>66346.12</v>
      </c>
      <c r="M43" s="89">
        <v>66250</v>
      </c>
      <c r="N43" s="89">
        <f t="shared" si="22"/>
        <v>-96.119999999995343</v>
      </c>
    </row>
    <row r="44" spans="1:14" hidden="1">
      <c r="A44" s="169">
        <v>43922</v>
      </c>
      <c r="B44" s="263">
        <v>5582.21</v>
      </c>
      <c r="C44" s="263"/>
      <c r="D44" s="263">
        <v>608.66</v>
      </c>
      <c r="E44" s="263"/>
      <c r="F44" s="62">
        <v>35039.839999999997</v>
      </c>
      <c r="G44" s="85">
        <f t="shared" si="25"/>
        <v>41230.71</v>
      </c>
      <c r="H44" s="62">
        <v>0</v>
      </c>
      <c r="I44" s="62">
        <v>0</v>
      </c>
      <c r="J44" s="62">
        <v>0</v>
      </c>
      <c r="K44" s="87">
        <f t="shared" si="24"/>
        <v>0</v>
      </c>
      <c r="L44" s="74">
        <f t="shared" si="21"/>
        <v>41230.71</v>
      </c>
      <c r="M44" s="89">
        <v>66250</v>
      </c>
      <c r="N44" s="89">
        <f t="shared" si="22"/>
        <v>25019.29</v>
      </c>
    </row>
    <row r="45" spans="1:14" hidden="1">
      <c r="A45" s="169">
        <v>43952</v>
      </c>
      <c r="B45" s="263">
        <v>5719.88</v>
      </c>
      <c r="C45" s="263"/>
      <c r="D45" s="263">
        <v>0</v>
      </c>
      <c r="E45" s="263"/>
      <c r="F45" s="62">
        <v>12520.96</v>
      </c>
      <c r="G45" s="85">
        <f t="shared" si="25"/>
        <v>18240.84</v>
      </c>
      <c r="H45" s="62">
        <v>2050</v>
      </c>
      <c r="I45" s="62">
        <v>0</v>
      </c>
      <c r="J45" s="62">
        <v>0</v>
      </c>
      <c r="K45" s="87">
        <f t="shared" si="24"/>
        <v>2050</v>
      </c>
      <c r="L45" s="74">
        <f t="shared" si="21"/>
        <v>20290.84</v>
      </c>
      <c r="M45" s="89">
        <v>66250</v>
      </c>
      <c r="N45" s="89">
        <f t="shared" si="22"/>
        <v>45959.16</v>
      </c>
    </row>
    <row r="46" spans="1:14" hidden="1">
      <c r="A46" s="169">
        <v>43983</v>
      </c>
      <c r="B46" s="263">
        <v>6685.66</v>
      </c>
      <c r="C46" s="263"/>
      <c r="D46" s="263">
        <v>0</v>
      </c>
      <c r="E46" s="263"/>
      <c r="F46" s="62">
        <v>29811.4</v>
      </c>
      <c r="G46" s="85">
        <f t="shared" si="25"/>
        <v>36497.06</v>
      </c>
      <c r="H46" s="62">
        <v>0</v>
      </c>
      <c r="I46" s="62">
        <v>0</v>
      </c>
      <c r="J46" s="62">
        <v>0</v>
      </c>
      <c r="K46" s="87">
        <f t="shared" si="24"/>
        <v>0</v>
      </c>
      <c r="L46" s="74">
        <f t="shared" si="21"/>
        <v>36497.06</v>
      </c>
      <c r="M46" s="89">
        <v>66250</v>
      </c>
      <c r="N46" s="89">
        <f t="shared" si="22"/>
        <v>29752.940000000002</v>
      </c>
    </row>
    <row r="47" spans="1:14" hidden="1">
      <c r="A47" s="169">
        <v>44013</v>
      </c>
      <c r="B47" s="263">
        <v>5148</v>
      </c>
      <c r="C47" s="263"/>
      <c r="D47" s="263">
        <v>1264.1400000000001</v>
      </c>
      <c r="E47" s="263"/>
      <c r="F47" s="62">
        <v>374.56</v>
      </c>
      <c r="G47" s="85">
        <f t="shared" si="25"/>
        <v>6786.7000000000007</v>
      </c>
      <c r="H47" s="62">
        <v>4398.75</v>
      </c>
      <c r="I47" s="62">
        <v>0</v>
      </c>
      <c r="J47" s="62">
        <v>0</v>
      </c>
      <c r="K47" s="87">
        <f t="shared" si="24"/>
        <v>4398.75</v>
      </c>
      <c r="L47" s="74">
        <f t="shared" si="21"/>
        <v>11185.45</v>
      </c>
      <c r="M47" s="89">
        <v>66250</v>
      </c>
      <c r="N47" s="89">
        <f t="shared" si="22"/>
        <v>55064.55</v>
      </c>
    </row>
    <row r="48" spans="1:14" hidden="1">
      <c r="A48" s="169">
        <v>44044</v>
      </c>
      <c r="B48" s="263">
        <v>5948.88</v>
      </c>
      <c r="C48" s="263"/>
      <c r="D48" s="263">
        <v>0</v>
      </c>
      <c r="E48" s="263"/>
      <c r="F48" s="62">
        <v>-1500</v>
      </c>
      <c r="G48" s="85">
        <f t="shared" si="25"/>
        <v>4448.88</v>
      </c>
      <c r="H48" s="62">
        <v>16844</v>
      </c>
      <c r="I48" s="62">
        <v>12438</v>
      </c>
      <c r="J48" s="62">
        <v>0</v>
      </c>
      <c r="K48" s="87">
        <f t="shared" si="24"/>
        <v>29282</v>
      </c>
      <c r="L48" s="74">
        <f t="shared" si="21"/>
        <v>33730.879999999997</v>
      </c>
      <c r="M48" s="89">
        <v>66250</v>
      </c>
      <c r="N48" s="89">
        <f t="shared" si="22"/>
        <v>32519.120000000003</v>
      </c>
    </row>
    <row r="49" spans="1:14" hidden="1">
      <c r="A49" s="169">
        <v>44075</v>
      </c>
      <c r="B49" s="263">
        <v>3090</v>
      </c>
      <c r="C49" s="263"/>
      <c r="D49" s="263">
        <v>0</v>
      </c>
      <c r="E49" s="263"/>
      <c r="F49" s="62">
        <v>0</v>
      </c>
      <c r="G49" s="85">
        <f t="shared" si="25"/>
        <v>3090</v>
      </c>
      <c r="H49" s="62">
        <v>0</v>
      </c>
      <c r="I49" s="62">
        <v>0</v>
      </c>
      <c r="J49" s="62">
        <v>0</v>
      </c>
      <c r="K49" s="87">
        <f t="shared" si="24"/>
        <v>0</v>
      </c>
      <c r="L49" s="74">
        <f t="shared" si="21"/>
        <v>3090</v>
      </c>
      <c r="M49" s="89">
        <v>66250</v>
      </c>
      <c r="N49" s="89">
        <f t="shared" si="22"/>
        <v>63160</v>
      </c>
    </row>
    <row r="50" spans="1:14" hidden="1">
      <c r="A50" s="169">
        <v>44105</v>
      </c>
      <c r="B50" s="263">
        <v>5253</v>
      </c>
      <c r="C50" s="263"/>
      <c r="D50" s="263">
        <v>1439.72</v>
      </c>
      <c r="E50" s="263"/>
      <c r="F50" s="62">
        <v>0</v>
      </c>
      <c r="G50" s="85">
        <f t="shared" si="25"/>
        <v>6692.72</v>
      </c>
      <c r="H50" s="62">
        <v>0</v>
      </c>
      <c r="I50" s="62">
        <v>0</v>
      </c>
      <c r="J50" s="62">
        <v>0</v>
      </c>
      <c r="K50" s="87">
        <f t="shared" si="24"/>
        <v>0</v>
      </c>
      <c r="L50" s="74">
        <f t="shared" si="21"/>
        <v>6692.72</v>
      </c>
      <c r="M50" s="89">
        <v>66250</v>
      </c>
      <c r="N50" s="89">
        <f t="shared" si="22"/>
        <v>59557.279999999999</v>
      </c>
    </row>
    <row r="51" spans="1:14" hidden="1">
      <c r="A51" s="169">
        <v>44136</v>
      </c>
      <c r="B51" s="263">
        <v>4326</v>
      </c>
      <c r="C51" s="263"/>
      <c r="D51" s="263">
        <v>0</v>
      </c>
      <c r="E51" s="263"/>
      <c r="F51" s="62">
        <v>0</v>
      </c>
      <c r="G51" s="85">
        <f t="shared" si="25"/>
        <v>4326</v>
      </c>
      <c r="H51" s="62">
        <v>0</v>
      </c>
      <c r="I51" s="62">
        <v>0</v>
      </c>
      <c r="J51" s="62">
        <v>0</v>
      </c>
      <c r="K51" s="87">
        <f t="shared" si="24"/>
        <v>0</v>
      </c>
      <c r="L51" s="74">
        <f t="shared" si="21"/>
        <v>4326</v>
      </c>
      <c r="M51" s="89">
        <v>66250</v>
      </c>
      <c r="N51" s="89">
        <f t="shared" si="22"/>
        <v>61924</v>
      </c>
    </row>
    <row r="52" spans="1:14" hidden="1">
      <c r="A52" s="169">
        <v>44166</v>
      </c>
      <c r="B52" s="263">
        <v>3502</v>
      </c>
      <c r="C52" s="263"/>
      <c r="D52" s="263">
        <v>234.1</v>
      </c>
      <c r="E52" s="263"/>
      <c r="F52" s="62">
        <v>0</v>
      </c>
      <c r="G52" s="85">
        <f t="shared" si="25"/>
        <v>3736.1</v>
      </c>
      <c r="H52" s="62">
        <v>0</v>
      </c>
      <c r="I52" s="62">
        <v>0</v>
      </c>
      <c r="J52" s="62">
        <v>0</v>
      </c>
      <c r="K52" s="87">
        <f t="shared" si="24"/>
        <v>0</v>
      </c>
      <c r="L52" s="74">
        <f t="shared" si="21"/>
        <v>3736.1</v>
      </c>
      <c r="M52" s="89">
        <v>66250</v>
      </c>
      <c r="N52" s="89">
        <f t="shared" si="22"/>
        <v>62513.9</v>
      </c>
    </row>
    <row r="53" spans="1:14">
      <c r="A53" s="58">
        <v>2020</v>
      </c>
      <c r="B53" s="265">
        <f>SUM(B41:B52)</f>
        <v>61058.71</v>
      </c>
      <c r="C53" s="265"/>
      <c r="D53" s="265">
        <f>SUM(D41:D52)</f>
        <v>3546.6200000000003</v>
      </c>
      <c r="E53" s="265"/>
      <c r="F53" s="59">
        <f t="shared" ref="F53:K53" si="26">SUM(F41:F52)</f>
        <v>196078.19999999998</v>
      </c>
      <c r="G53" s="71">
        <f>SUM(G41:G52)</f>
        <v>260683.53</v>
      </c>
      <c r="H53" s="64">
        <f t="shared" si="26"/>
        <v>23292.75</v>
      </c>
      <c r="I53" s="63">
        <f t="shared" si="26"/>
        <v>12438</v>
      </c>
      <c r="J53" s="63">
        <f t="shared" si="26"/>
        <v>1040</v>
      </c>
      <c r="K53" s="79">
        <f t="shared" si="26"/>
        <v>36770.75</v>
      </c>
      <c r="L53" s="164">
        <f t="shared" si="21"/>
        <v>297454.28000000003</v>
      </c>
      <c r="M53" s="165">
        <f>SUM(M41:M52)</f>
        <v>795000</v>
      </c>
      <c r="N53" s="76">
        <f t="shared" si="22"/>
        <v>497545.72</v>
      </c>
    </row>
    <row r="54" spans="1:14">
      <c r="A54" s="15">
        <v>44197</v>
      </c>
      <c r="B54" s="263">
        <v>8064</v>
      </c>
      <c r="C54" s="263"/>
      <c r="D54" s="263">
        <v>0</v>
      </c>
      <c r="E54" s="263"/>
      <c r="F54" s="62">
        <v>0</v>
      </c>
      <c r="G54" s="85">
        <f>SUM(B54:F54)</f>
        <v>8064</v>
      </c>
      <c r="H54" s="62">
        <v>0</v>
      </c>
      <c r="I54" s="62">
        <v>0</v>
      </c>
      <c r="J54" s="62">
        <v>0</v>
      </c>
      <c r="K54" s="87">
        <f>SUM(H54:J54)</f>
        <v>0</v>
      </c>
      <c r="L54" s="186">
        <f t="shared" si="21"/>
        <v>8064</v>
      </c>
      <c r="M54" s="89">
        <v>45833</v>
      </c>
      <c r="N54" s="89">
        <f>M54-L54</f>
        <v>37769</v>
      </c>
    </row>
    <row r="55" spans="1:14">
      <c r="A55" s="15">
        <v>44228</v>
      </c>
      <c r="B55" s="263">
        <v>5828</v>
      </c>
      <c r="C55" s="263"/>
      <c r="D55" s="263">
        <v>0</v>
      </c>
      <c r="E55" s="263"/>
      <c r="F55" s="62">
        <v>0</v>
      </c>
      <c r="G55" s="85">
        <f t="shared" ref="G55:G65" si="27">SUM(B55:F55)</f>
        <v>5828</v>
      </c>
      <c r="H55" s="62">
        <v>0</v>
      </c>
      <c r="I55" s="62">
        <v>0</v>
      </c>
      <c r="J55" s="62">
        <v>0</v>
      </c>
      <c r="K55" s="87">
        <f t="shared" ref="K55:K65" si="28">SUM(H55:J55)</f>
        <v>0</v>
      </c>
      <c r="L55" s="186">
        <f t="shared" si="21"/>
        <v>5828</v>
      </c>
      <c r="M55" s="89">
        <v>45833</v>
      </c>
      <c r="N55" s="89">
        <f t="shared" si="22"/>
        <v>40005</v>
      </c>
    </row>
    <row r="56" spans="1:14">
      <c r="A56" s="15">
        <v>44256</v>
      </c>
      <c r="B56" s="263">
        <v>7059</v>
      </c>
      <c r="C56" s="263"/>
      <c r="D56" s="263">
        <v>0</v>
      </c>
      <c r="E56" s="263"/>
      <c r="F56" s="62">
        <v>0</v>
      </c>
      <c r="G56" s="85">
        <f t="shared" si="27"/>
        <v>7059</v>
      </c>
      <c r="H56" s="62">
        <v>0</v>
      </c>
      <c r="I56" s="62">
        <v>0</v>
      </c>
      <c r="J56" s="62">
        <v>0</v>
      </c>
      <c r="K56" s="87">
        <f t="shared" si="28"/>
        <v>0</v>
      </c>
      <c r="L56" s="186">
        <f t="shared" si="21"/>
        <v>7059</v>
      </c>
      <c r="M56" s="89">
        <v>45833</v>
      </c>
      <c r="N56" s="89">
        <f t="shared" si="22"/>
        <v>38774</v>
      </c>
    </row>
    <row r="57" spans="1:14">
      <c r="A57" s="15">
        <v>44287</v>
      </c>
      <c r="B57" s="263">
        <v>5413.53</v>
      </c>
      <c r="C57" s="263"/>
      <c r="D57" s="263">
        <v>795.94</v>
      </c>
      <c r="E57" s="263"/>
      <c r="F57" s="62">
        <v>0</v>
      </c>
      <c r="G57" s="85">
        <f t="shared" si="27"/>
        <v>6209.4699999999993</v>
      </c>
      <c r="H57" s="62">
        <v>0</v>
      </c>
      <c r="I57" s="62">
        <v>0</v>
      </c>
      <c r="J57" s="62">
        <v>0</v>
      </c>
      <c r="K57" s="87">
        <f t="shared" si="28"/>
        <v>0</v>
      </c>
      <c r="L57" s="186">
        <f t="shared" si="21"/>
        <v>6209.4699999999993</v>
      </c>
      <c r="M57" s="89">
        <v>45833</v>
      </c>
      <c r="N57" s="89">
        <f t="shared" si="22"/>
        <v>39623.53</v>
      </c>
    </row>
    <row r="58" spans="1:14">
      <c r="A58" s="15">
        <v>44317</v>
      </c>
      <c r="B58" s="263">
        <v>4044.5</v>
      </c>
      <c r="C58" s="263"/>
      <c r="D58" s="263">
        <v>0</v>
      </c>
      <c r="E58" s="263"/>
      <c r="F58" s="62">
        <v>0</v>
      </c>
      <c r="G58" s="85">
        <f t="shared" si="27"/>
        <v>4044.5</v>
      </c>
      <c r="H58" s="62">
        <v>0</v>
      </c>
      <c r="I58" s="62">
        <v>0</v>
      </c>
      <c r="J58" s="62">
        <v>0</v>
      </c>
      <c r="K58" s="87">
        <f t="shared" si="28"/>
        <v>0</v>
      </c>
      <c r="L58" s="186">
        <f t="shared" si="21"/>
        <v>4044.5</v>
      </c>
      <c r="M58" s="89">
        <v>45833</v>
      </c>
      <c r="N58" s="89">
        <f t="shared" si="22"/>
        <v>41788.5</v>
      </c>
    </row>
    <row r="59" spans="1:14">
      <c r="A59" s="15">
        <v>44348</v>
      </c>
      <c r="B59" s="263">
        <v>4678.5</v>
      </c>
      <c r="C59" s="263"/>
      <c r="D59" s="263">
        <v>0</v>
      </c>
      <c r="E59" s="263"/>
      <c r="F59" s="62">
        <v>0</v>
      </c>
      <c r="G59" s="85">
        <f t="shared" si="27"/>
        <v>4678.5</v>
      </c>
      <c r="H59" s="62">
        <v>9880</v>
      </c>
      <c r="I59" s="62">
        <v>0</v>
      </c>
      <c r="J59" s="62">
        <v>0</v>
      </c>
      <c r="K59" s="87">
        <f t="shared" si="28"/>
        <v>9880</v>
      </c>
      <c r="L59" s="186">
        <f t="shared" si="21"/>
        <v>14558.5</v>
      </c>
      <c r="M59" s="89">
        <v>45833</v>
      </c>
      <c r="N59" s="89">
        <f t="shared" si="22"/>
        <v>31274.5</v>
      </c>
    </row>
    <row r="60" spans="1:14">
      <c r="A60" s="15">
        <v>44378</v>
      </c>
      <c r="B60" s="263">
        <v>3708</v>
      </c>
      <c r="C60" s="263"/>
      <c r="D60" s="263">
        <v>0</v>
      </c>
      <c r="E60" s="263"/>
      <c r="F60" s="62">
        <v>0</v>
      </c>
      <c r="G60" s="85">
        <f t="shared" si="27"/>
        <v>3708</v>
      </c>
      <c r="H60" s="62">
        <v>0</v>
      </c>
      <c r="I60" s="62">
        <v>0</v>
      </c>
      <c r="J60" s="62">
        <v>0</v>
      </c>
      <c r="K60" s="87">
        <f t="shared" si="28"/>
        <v>0</v>
      </c>
      <c r="L60" s="186">
        <f t="shared" si="21"/>
        <v>3708</v>
      </c>
      <c r="M60" s="89">
        <v>45833</v>
      </c>
      <c r="N60" s="89">
        <f t="shared" si="22"/>
        <v>42125</v>
      </c>
    </row>
    <row r="61" spans="1:14">
      <c r="A61" s="15">
        <v>44409</v>
      </c>
      <c r="B61" s="263">
        <v>4223</v>
      </c>
      <c r="C61" s="263"/>
      <c r="D61" s="263">
        <v>0</v>
      </c>
      <c r="E61" s="263"/>
      <c r="F61" s="62">
        <v>0</v>
      </c>
      <c r="G61" s="85">
        <f t="shared" si="27"/>
        <v>4223</v>
      </c>
      <c r="H61" s="62">
        <v>33.6</v>
      </c>
      <c r="I61" s="62">
        <v>0</v>
      </c>
      <c r="J61" s="62">
        <v>0</v>
      </c>
      <c r="K61" s="87">
        <f t="shared" si="28"/>
        <v>33.6</v>
      </c>
      <c r="L61" s="186">
        <f t="shared" si="21"/>
        <v>4256.6000000000004</v>
      </c>
      <c r="M61" s="89">
        <v>45833</v>
      </c>
      <c r="N61" s="89">
        <f t="shared" si="22"/>
        <v>41576.400000000001</v>
      </c>
    </row>
    <row r="62" spans="1:14">
      <c r="A62" s="15">
        <v>44440</v>
      </c>
      <c r="B62" s="263">
        <v>4223</v>
      </c>
      <c r="C62" s="263"/>
      <c r="D62" s="263">
        <v>1966.44</v>
      </c>
      <c r="E62" s="263"/>
      <c r="F62" s="62">
        <v>0</v>
      </c>
      <c r="G62" s="85">
        <f t="shared" si="27"/>
        <v>6189.4400000000005</v>
      </c>
      <c r="H62" s="62">
        <v>812.5</v>
      </c>
      <c r="I62" s="62">
        <v>2875.23</v>
      </c>
      <c r="J62" s="62">
        <v>0</v>
      </c>
      <c r="K62" s="87">
        <f t="shared" si="28"/>
        <v>3687.73</v>
      </c>
      <c r="L62" s="186">
        <f t="shared" si="21"/>
        <v>9877.17</v>
      </c>
      <c r="M62" s="89">
        <v>45833</v>
      </c>
      <c r="N62" s="89">
        <f t="shared" si="22"/>
        <v>35955.83</v>
      </c>
    </row>
    <row r="63" spans="1:14">
      <c r="A63" s="15">
        <v>44470</v>
      </c>
      <c r="B63" s="263">
        <v>2575</v>
      </c>
      <c r="C63" s="263"/>
      <c r="D63" s="263">
        <v>0</v>
      </c>
      <c r="E63" s="263"/>
      <c r="F63" s="62">
        <v>0</v>
      </c>
      <c r="G63" s="85">
        <f t="shared" si="27"/>
        <v>2575</v>
      </c>
      <c r="H63" s="62">
        <v>930</v>
      </c>
      <c r="I63" s="62">
        <v>0</v>
      </c>
      <c r="J63" s="62">
        <v>0</v>
      </c>
      <c r="K63" s="87">
        <f t="shared" si="28"/>
        <v>930</v>
      </c>
      <c r="L63" s="186">
        <f t="shared" si="21"/>
        <v>3505</v>
      </c>
      <c r="M63" s="89">
        <v>45833</v>
      </c>
      <c r="N63" s="89">
        <f t="shared" si="22"/>
        <v>42328</v>
      </c>
    </row>
    <row r="64" spans="1:14">
      <c r="A64" s="15">
        <v>44501</v>
      </c>
      <c r="B64" s="263">
        <v>4841</v>
      </c>
      <c r="C64" s="263"/>
      <c r="D64" s="263">
        <v>0</v>
      </c>
      <c r="E64" s="263"/>
      <c r="F64" s="62">
        <v>0</v>
      </c>
      <c r="G64" s="85">
        <f t="shared" si="27"/>
        <v>4841</v>
      </c>
      <c r="H64" s="62">
        <v>0</v>
      </c>
      <c r="I64" s="62">
        <v>0</v>
      </c>
      <c r="J64" s="62">
        <v>0</v>
      </c>
      <c r="K64" s="87">
        <f t="shared" si="28"/>
        <v>0</v>
      </c>
      <c r="L64" s="186">
        <f t="shared" si="21"/>
        <v>4841</v>
      </c>
      <c r="M64" s="89">
        <v>45833</v>
      </c>
      <c r="N64" s="89">
        <f t="shared" si="22"/>
        <v>40992</v>
      </c>
    </row>
    <row r="65" spans="1:14">
      <c r="A65" s="15">
        <v>44531</v>
      </c>
      <c r="B65" s="263">
        <v>4944</v>
      </c>
      <c r="C65" s="263"/>
      <c r="D65" s="263">
        <v>0</v>
      </c>
      <c r="E65" s="263"/>
      <c r="F65" s="62">
        <v>0</v>
      </c>
      <c r="G65" s="85">
        <f t="shared" si="27"/>
        <v>4944</v>
      </c>
      <c r="H65" s="62">
        <v>0</v>
      </c>
      <c r="I65" s="62">
        <v>0</v>
      </c>
      <c r="J65" s="62">
        <v>0</v>
      </c>
      <c r="K65" s="87">
        <f t="shared" si="28"/>
        <v>0</v>
      </c>
      <c r="L65" s="186">
        <f t="shared" si="21"/>
        <v>4944</v>
      </c>
      <c r="M65" s="89">
        <v>45833</v>
      </c>
      <c r="N65" s="89">
        <f t="shared" si="22"/>
        <v>40889</v>
      </c>
    </row>
    <row r="66" spans="1:14">
      <c r="A66" s="58">
        <v>2020</v>
      </c>
      <c r="B66" s="265">
        <f>SUM(B54:B65)</f>
        <v>59601.53</v>
      </c>
      <c r="C66" s="265"/>
      <c r="D66" s="265">
        <f>SUM(D54:D65)</f>
        <v>2762.38</v>
      </c>
      <c r="E66" s="265"/>
      <c r="F66" s="59">
        <f t="shared" ref="F66:K66" si="29">SUM(F54:F65)</f>
        <v>0</v>
      </c>
      <c r="G66" s="71">
        <f>SUM(G54:G65)</f>
        <v>62363.91</v>
      </c>
      <c r="H66" s="64">
        <f t="shared" si="29"/>
        <v>11656.1</v>
      </c>
      <c r="I66" s="63">
        <f t="shared" si="29"/>
        <v>2875.23</v>
      </c>
      <c r="J66" s="63">
        <f t="shared" si="29"/>
        <v>0</v>
      </c>
      <c r="K66" s="79">
        <f t="shared" si="29"/>
        <v>14531.33</v>
      </c>
      <c r="L66" s="164">
        <f>K66+G66</f>
        <v>76895.240000000005</v>
      </c>
      <c r="M66" s="165">
        <f>SUM(M54:M65)</f>
        <v>549996</v>
      </c>
      <c r="N66" s="76">
        <f t="shared" ref="N66" si="30">M66-L66</f>
        <v>473100.76</v>
      </c>
    </row>
    <row r="67" spans="1:14">
      <c r="B67" s="54"/>
      <c r="F67" s="54"/>
      <c r="G67" s="84"/>
      <c r="H67" s="54"/>
      <c r="I67" s="54"/>
      <c r="J67" s="54"/>
      <c r="K67" s="86"/>
      <c r="L67" s="82"/>
      <c r="M67" s="88"/>
      <c r="N67" s="88"/>
    </row>
    <row r="68" spans="1:14">
      <c r="A68" s="66" t="s">
        <v>25</v>
      </c>
      <c r="B68" s="298">
        <f>B24+B25+B26+B27+B40+B53+B66</f>
        <v>451544.37000000011</v>
      </c>
      <c r="C68" s="298"/>
      <c r="D68" s="298">
        <f>D24+D25+D26+D27+D40+D53+D66</f>
        <v>62492</v>
      </c>
      <c r="E68" s="298"/>
      <c r="F68" s="85">
        <f>F26+F25+F24+F27+F40+F53+F66</f>
        <v>1057450.46</v>
      </c>
      <c r="G68" s="85">
        <f>G24+G25+G26+G27+G40+G53+G66</f>
        <v>1571486.8299999998</v>
      </c>
      <c r="H68" s="89">
        <f>H26+H25+H24+H27+H40+H53+H66</f>
        <v>219260.5</v>
      </c>
      <c r="I68" s="89">
        <f>I26+I25+I24+I27+I40+I53+I66</f>
        <v>60888.66</v>
      </c>
      <c r="J68" s="89">
        <f>J26+J25+J24+J27+J40+J53+J66</f>
        <v>390270</v>
      </c>
      <c r="K68" s="89">
        <f>K26+K25+K24+K27+K40+K53+K66</f>
        <v>670419.1599999998</v>
      </c>
      <c r="L68" s="83">
        <f>L24+L25+L26+L27+L40+L53+L66</f>
        <v>2241905.9900000002</v>
      </c>
      <c r="M68" s="89">
        <f>M26+M25+M24+M27+M40+M53+M66</f>
        <v>4335956</v>
      </c>
      <c r="N68" s="89">
        <f>N26+N25+N24+N27+N40+N53+N66</f>
        <v>2094050.01</v>
      </c>
    </row>
    <row r="69" spans="1:14">
      <c r="M69" s="46" t="s">
        <v>50</v>
      </c>
      <c r="N69" s="89">
        <f>N68-B72-B73-B74-B75-B76-B77-B78+B80+B81+B82+B83+B84</f>
        <v>1774842.1800000002</v>
      </c>
    </row>
    <row r="70" spans="1:14">
      <c r="M70" s="46"/>
      <c r="N70" s="89"/>
    </row>
    <row r="71" spans="1:14" ht="15" customHeight="1">
      <c r="A71" s="259" t="s">
        <v>28</v>
      </c>
      <c r="B71" s="260"/>
      <c r="D71" s="291" t="s">
        <v>40</v>
      </c>
      <c r="E71" s="292"/>
      <c r="F71" s="292"/>
      <c r="G71" s="292"/>
      <c r="H71" s="161"/>
    </row>
    <row r="72" spans="1:14" ht="15" customHeight="1">
      <c r="A72" s="97">
        <v>2015</v>
      </c>
      <c r="B72" s="65">
        <v>40.200000000000003</v>
      </c>
      <c r="D72" s="118"/>
      <c r="E72" s="119"/>
      <c r="F72" s="119"/>
      <c r="G72" s="119"/>
      <c r="H72" s="119"/>
      <c r="I72" s="119"/>
      <c r="J72" s="120"/>
    </row>
    <row r="73" spans="1:14" ht="15" customHeight="1">
      <c r="A73" s="109">
        <v>2016</v>
      </c>
      <c r="B73" s="61">
        <v>32832.730000000003</v>
      </c>
      <c r="C73" s="109"/>
      <c r="D73" s="42"/>
      <c r="E73" s="106">
        <v>2017</v>
      </c>
      <c r="F73" s="106">
        <v>2018</v>
      </c>
      <c r="G73" s="106">
        <v>2019</v>
      </c>
      <c r="H73" s="106">
        <v>2020</v>
      </c>
      <c r="I73" s="106">
        <v>2021</v>
      </c>
      <c r="J73" s="124" t="s">
        <v>48</v>
      </c>
    </row>
    <row r="74" spans="1:14" ht="15" customHeight="1">
      <c r="A74" s="109">
        <v>2017</v>
      </c>
      <c r="B74" s="61">
        <v>58533.86</v>
      </c>
      <c r="D74" s="15" t="s">
        <v>83</v>
      </c>
      <c r="E74" s="117">
        <v>71641.881599999993</v>
      </c>
      <c r="F74" s="117">
        <v>133647.984</v>
      </c>
      <c r="G74" s="117">
        <v>117227.62239999999</v>
      </c>
      <c r="H74" s="117">
        <v>117804.99</v>
      </c>
      <c r="I74" s="117">
        <v>125175.2</v>
      </c>
      <c r="J74" s="125">
        <f>SUM(E74:I74)</f>
        <v>565497.67799999996</v>
      </c>
    </row>
    <row r="75" spans="1:14" ht="15" customHeight="1">
      <c r="A75" s="109">
        <v>2018</v>
      </c>
      <c r="B75" s="61">
        <v>66021.39</v>
      </c>
      <c r="D75" s="15" t="s">
        <v>84</v>
      </c>
      <c r="E75" s="117">
        <v>103217.232</v>
      </c>
      <c r="F75" s="117">
        <v>160511.21</v>
      </c>
      <c r="G75" s="117">
        <v>142404.03520000001</v>
      </c>
      <c r="H75" s="117">
        <v>174952.23</v>
      </c>
      <c r="I75" s="117">
        <v>130138.23999999999</v>
      </c>
      <c r="J75" s="125">
        <f t="shared" ref="J75:J85" si="31">SUM(E75:I75)</f>
        <v>711222.94719999994</v>
      </c>
    </row>
    <row r="76" spans="1:14" ht="15" customHeight="1">
      <c r="A76" s="109">
        <v>2019</v>
      </c>
      <c r="B76" s="61">
        <v>72631.259999999995</v>
      </c>
      <c r="D76" s="15" t="s">
        <v>85</v>
      </c>
      <c r="E76" s="117">
        <v>184422.94560000001</v>
      </c>
      <c r="F76" s="117">
        <v>218879.92480000001</v>
      </c>
      <c r="G76" s="117">
        <v>186812.32</v>
      </c>
      <c r="H76" s="117">
        <v>210776.78999999998</v>
      </c>
      <c r="I76" s="117">
        <v>182767.34</v>
      </c>
      <c r="J76" s="125">
        <f t="shared" si="31"/>
        <v>983659.32039999997</v>
      </c>
    </row>
    <row r="77" spans="1:14" ht="15" customHeight="1">
      <c r="A77" s="109">
        <v>2020</v>
      </c>
      <c r="B77" s="61">
        <v>75195.7</v>
      </c>
      <c r="D77" s="15" t="s">
        <v>86</v>
      </c>
      <c r="E77" s="117">
        <v>240114.48480000001</v>
      </c>
      <c r="F77" s="117">
        <v>245234.62239999999</v>
      </c>
      <c r="G77" s="117">
        <v>221598.6496</v>
      </c>
      <c r="H77" s="117">
        <v>264051.7</v>
      </c>
      <c r="I77" s="117">
        <v>267319.21000000002</v>
      </c>
      <c r="J77" s="125">
        <f t="shared" si="31"/>
        <v>1238318.6668</v>
      </c>
    </row>
    <row r="78" spans="1:14" ht="15" customHeight="1">
      <c r="A78" s="109">
        <v>2021</v>
      </c>
      <c r="B78" s="61">
        <v>62802.69</v>
      </c>
      <c r="D78" s="15" t="s">
        <v>87</v>
      </c>
      <c r="E78" s="117">
        <v>307594.83840000001</v>
      </c>
      <c r="F78" s="117">
        <v>289271.40639999998</v>
      </c>
      <c r="G78" s="117">
        <v>257961.05919999999</v>
      </c>
      <c r="H78" s="117">
        <v>297136.25</v>
      </c>
      <c r="I78" s="117">
        <v>311530.37</v>
      </c>
      <c r="J78" s="125">
        <f t="shared" si="31"/>
        <v>1463493.9240000001</v>
      </c>
    </row>
    <row r="79" spans="1:14" ht="15" customHeight="1" thickBot="1">
      <c r="A79" s="296" t="s">
        <v>29</v>
      </c>
      <c r="B79" s="297"/>
      <c r="D79" s="15" t="s">
        <v>88</v>
      </c>
      <c r="E79" s="117">
        <v>343369.848</v>
      </c>
      <c r="F79" s="117">
        <v>357936.80320000002</v>
      </c>
      <c r="G79" s="117">
        <v>299351.77119999996</v>
      </c>
      <c r="H79" s="117">
        <v>297781.21000000002</v>
      </c>
      <c r="I79" s="117">
        <v>316938.55999999994</v>
      </c>
      <c r="J79" s="125">
        <f t="shared" si="31"/>
        <v>1615378.1924000001</v>
      </c>
    </row>
    <row r="80" spans="1:14" ht="15" customHeight="1">
      <c r="A80" s="170">
        <v>2017</v>
      </c>
      <c r="B80" s="171">
        <v>16050</v>
      </c>
      <c r="D80" s="15" t="s">
        <v>89</v>
      </c>
      <c r="E80" s="117">
        <v>294802.82400000002</v>
      </c>
      <c r="F80" s="117">
        <v>296439.69280000002</v>
      </c>
      <c r="G80" s="117">
        <v>297071.33919999999</v>
      </c>
      <c r="H80" s="117">
        <v>315992.53000000003</v>
      </c>
      <c r="I80" s="117">
        <v>266058.59999999998</v>
      </c>
      <c r="J80" s="125">
        <f t="shared" si="31"/>
        <v>1470364.986</v>
      </c>
    </row>
    <row r="81" spans="1:10" ht="15" customHeight="1">
      <c r="A81" s="172">
        <v>2018</v>
      </c>
      <c r="B81" s="173">
        <v>17550</v>
      </c>
      <c r="D81" s="15" t="s">
        <v>90</v>
      </c>
      <c r="E81" s="117">
        <v>276616.23360000004</v>
      </c>
      <c r="F81" s="117">
        <v>274808.21919999999</v>
      </c>
      <c r="G81" s="117">
        <v>312297.64480000001</v>
      </c>
      <c r="H81" s="117">
        <v>305916.78999999998</v>
      </c>
      <c r="I81" s="117">
        <v>272449.84999999998</v>
      </c>
      <c r="J81" s="125">
        <f t="shared" si="31"/>
        <v>1442088.7376000001</v>
      </c>
    </row>
    <row r="82" spans="1:10" ht="15" customHeight="1">
      <c r="A82" s="172">
        <v>2019</v>
      </c>
      <c r="B82" s="173">
        <v>12300</v>
      </c>
      <c r="D82" s="15" t="s">
        <v>91</v>
      </c>
      <c r="E82" s="117">
        <v>224961.41279999999</v>
      </c>
      <c r="F82" s="117">
        <v>278233.408</v>
      </c>
      <c r="G82" s="117">
        <v>258465.98560000001</v>
      </c>
      <c r="H82" s="117">
        <v>252311.87</v>
      </c>
      <c r="I82" s="117">
        <v>253404.39</v>
      </c>
      <c r="J82" s="125">
        <f t="shared" si="31"/>
        <v>1267377.0663999999</v>
      </c>
    </row>
    <row r="83" spans="1:10" ht="15" customHeight="1">
      <c r="A83" s="172">
        <v>2020</v>
      </c>
      <c r="B83" s="173">
        <v>1900</v>
      </c>
      <c r="D83" s="15" t="s">
        <v>92</v>
      </c>
      <c r="E83" s="117">
        <v>227837.5344</v>
      </c>
      <c r="F83" s="117">
        <v>179731.15359999999</v>
      </c>
      <c r="G83" s="117">
        <v>229214.89120000001</v>
      </c>
      <c r="H83" s="117">
        <v>165085.15</v>
      </c>
      <c r="I83" s="117">
        <v>165984.75</v>
      </c>
      <c r="J83" s="125">
        <f t="shared" si="31"/>
        <v>967853.47920000006</v>
      </c>
    </row>
    <row r="84" spans="1:10" ht="15" customHeight="1" thickBot="1">
      <c r="A84" s="174">
        <v>2021</v>
      </c>
      <c r="B84" s="185">
        <v>1050</v>
      </c>
      <c r="D84" s="15" t="s">
        <v>93</v>
      </c>
      <c r="E84" s="117">
        <v>136140.03840000002</v>
      </c>
      <c r="F84" s="117">
        <v>146292.016</v>
      </c>
      <c r="G84" s="117">
        <v>134938.54694560001</v>
      </c>
      <c r="H84" s="117">
        <v>143566.1</v>
      </c>
      <c r="I84" s="117">
        <v>151161.73000000001</v>
      </c>
      <c r="J84" s="125">
        <f t="shared" si="31"/>
        <v>712098.43134560005</v>
      </c>
    </row>
    <row r="85" spans="1:10" ht="15" customHeight="1">
      <c r="D85" s="15" t="s">
        <v>94</v>
      </c>
      <c r="E85" s="117">
        <v>129102.16799999999</v>
      </c>
      <c r="F85" s="117">
        <v>85459.71</v>
      </c>
      <c r="G85" s="117">
        <v>83674.489600000001</v>
      </c>
      <c r="H85" s="117">
        <v>93847.77</v>
      </c>
      <c r="I85" s="117">
        <v>109998.28</v>
      </c>
      <c r="J85" s="125">
        <f t="shared" si="31"/>
        <v>502082.41760000004</v>
      </c>
    </row>
    <row r="86" spans="1:10" ht="15" customHeight="1">
      <c r="D86" s="42"/>
      <c r="J86" s="50"/>
    </row>
    <row r="87" spans="1:10" ht="15" customHeight="1">
      <c r="D87" s="107" t="s">
        <v>45</v>
      </c>
      <c r="E87" s="108">
        <f t="shared" ref="E87:J87" si="32">SUM(E72:E86)</f>
        <v>2541838.4416</v>
      </c>
      <c r="F87" s="108">
        <f t="shared" si="32"/>
        <v>2668464.1503999997</v>
      </c>
      <c r="G87" s="108">
        <f t="shared" si="32"/>
        <v>2543037.3549456</v>
      </c>
      <c r="H87" s="108">
        <f t="shared" si="32"/>
        <v>2641243.38</v>
      </c>
      <c r="I87" s="108">
        <f t="shared" si="32"/>
        <v>2554947.52</v>
      </c>
      <c r="J87" s="126">
        <f t="shared" si="32"/>
        <v>12939435.846945602</v>
      </c>
    </row>
  </sheetData>
  <mergeCells count="104">
    <mergeCell ref="D68:E68"/>
    <mergeCell ref="A71:B71"/>
    <mergeCell ref="D71:G71"/>
    <mergeCell ref="B64:C64"/>
    <mergeCell ref="D64:E64"/>
    <mergeCell ref="B65:C65"/>
    <mergeCell ref="D65:E65"/>
    <mergeCell ref="B61:C61"/>
    <mergeCell ref="D61:E61"/>
    <mergeCell ref="B62:C62"/>
    <mergeCell ref="D62:E62"/>
    <mergeCell ref="B63:C63"/>
    <mergeCell ref="D63:E63"/>
    <mergeCell ref="A79:B79"/>
    <mergeCell ref="B66:C66"/>
    <mergeCell ref="D66:E66"/>
    <mergeCell ref="B51:C51"/>
    <mergeCell ref="D51:E51"/>
    <mergeCell ref="B52:C52"/>
    <mergeCell ref="D52:E52"/>
    <mergeCell ref="B53:C53"/>
    <mergeCell ref="D53:E53"/>
    <mergeCell ref="B54:C54"/>
    <mergeCell ref="D54:E54"/>
    <mergeCell ref="B55:C55"/>
    <mergeCell ref="D55:E55"/>
    <mergeCell ref="B56:C56"/>
    <mergeCell ref="D56:E56"/>
    <mergeCell ref="B57:C57"/>
    <mergeCell ref="D57:E57"/>
    <mergeCell ref="B58:C58"/>
    <mergeCell ref="D58:E58"/>
    <mergeCell ref="B59:C59"/>
    <mergeCell ref="D59:E59"/>
    <mergeCell ref="B60:C60"/>
    <mergeCell ref="D60:E60"/>
    <mergeCell ref="B68:C68"/>
    <mergeCell ref="B48:C48"/>
    <mergeCell ref="D48:E48"/>
    <mergeCell ref="B49:C49"/>
    <mergeCell ref="D49:E49"/>
    <mergeCell ref="B50:C50"/>
    <mergeCell ref="D50:E50"/>
    <mergeCell ref="B45:C45"/>
    <mergeCell ref="D45:E45"/>
    <mergeCell ref="B46:C46"/>
    <mergeCell ref="D46:E46"/>
    <mergeCell ref="B47:C47"/>
    <mergeCell ref="D47:E47"/>
    <mergeCell ref="B42:C42"/>
    <mergeCell ref="D42:E42"/>
    <mergeCell ref="B43:C43"/>
    <mergeCell ref="D43:E43"/>
    <mergeCell ref="B44:C44"/>
    <mergeCell ref="D44:E44"/>
    <mergeCell ref="B39:C39"/>
    <mergeCell ref="D39:E39"/>
    <mergeCell ref="B40:C40"/>
    <mergeCell ref="D40:E40"/>
    <mergeCell ref="B41:C41"/>
    <mergeCell ref="D41:E41"/>
    <mergeCell ref="B36:C36"/>
    <mergeCell ref="D36:E36"/>
    <mergeCell ref="B37:C37"/>
    <mergeCell ref="D37:E37"/>
    <mergeCell ref="B38:C38"/>
    <mergeCell ref="D38:E38"/>
    <mergeCell ref="B33:C33"/>
    <mergeCell ref="D33:E33"/>
    <mergeCell ref="B34:C34"/>
    <mergeCell ref="D34:E34"/>
    <mergeCell ref="B35:C35"/>
    <mergeCell ref="D35:E35"/>
    <mergeCell ref="B30:C30"/>
    <mergeCell ref="D30:E30"/>
    <mergeCell ref="B31:C31"/>
    <mergeCell ref="D31:E31"/>
    <mergeCell ref="B32:C32"/>
    <mergeCell ref="D32:E32"/>
    <mergeCell ref="B27:C27"/>
    <mergeCell ref="D27:E27"/>
    <mergeCell ref="B28:C28"/>
    <mergeCell ref="D28:E28"/>
    <mergeCell ref="B29:C29"/>
    <mergeCell ref="D29:E29"/>
    <mergeCell ref="B25:C25"/>
    <mergeCell ref="D25:E25"/>
    <mergeCell ref="B26:C26"/>
    <mergeCell ref="D26:E26"/>
    <mergeCell ref="R6:S6"/>
    <mergeCell ref="A21:P21"/>
    <mergeCell ref="B22:G22"/>
    <mergeCell ref="H22:K22"/>
    <mergeCell ref="B23:C23"/>
    <mergeCell ref="D23:E23"/>
    <mergeCell ref="A1:P1"/>
    <mergeCell ref="A3:H3"/>
    <mergeCell ref="I3:L3"/>
    <mergeCell ref="M3:P3"/>
    <mergeCell ref="B4:C4"/>
    <mergeCell ref="D4:F4"/>
    <mergeCell ref="G4:H4"/>
    <mergeCell ref="B24:C24"/>
    <mergeCell ref="D24:E24"/>
  </mergeCells>
  <conditionalFormatting sqref="N28:N52">
    <cfRule type="colorScale" priority="4">
      <colorScale>
        <cfvo type="min"/>
        <cfvo type="max"/>
        <color rgb="FFFCFCFF"/>
        <color rgb="FF63BE7B"/>
      </colorScale>
    </cfRule>
  </conditionalFormatting>
  <conditionalFormatting sqref="N53">
    <cfRule type="colorScale" priority="29">
      <colorScale>
        <cfvo type="min"/>
        <cfvo type="max"/>
        <color rgb="FFFCFCFF"/>
        <color rgb="FF63BE7B"/>
      </colorScale>
    </cfRule>
  </conditionalFormatting>
  <conditionalFormatting sqref="N54:N65">
    <cfRule type="colorScale" priority="1">
      <colorScale>
        <cfvo type="min"/>
        <cfvo type="max"/>
        <color rgb="FFFCFCFF"/>
        <color rgb="FF63BE7B"/>
      </colorScale>
    </cfRule>
  </conditionalFormatting>
  <conditionalFormatting sqref="N66">
    <cfRule type="colorScale" priority="2">
      <colorScale>
        <cfvo type="min"/>
        <cfvo type="max"/>
        <color rgb="FFFCFCFF"/>
        <color rgb="FF63BE7B"/>
      </colorScale>
    </cfRule>
  </conditionalFormatting>
  <conditionalFormatting sqref="N67:N68 N24:N27">
    <cfRule type="colorScale" priority="6">
      <colorScale>
        <cfvo type="min"/>
        <cfvo type="max"/>
        <color rgb="FFFCFCFF"/>
        <color rgb="FF63BE7B"/>
      </colorScale>
    </cfRule>
  </conditionalFormatting>
  <conditionalFormatting sqref="N69:N70">
    <cfRule type="colorScale" priority="5">
      <colorScale>
        <cfvo type="min"/>
        <cfvo type="max"/>
        <color rgb="FFFCFCFF"/>
        <color rgb="FF63BE7B"/>
      </colorScale>
    </cfRule>
  </conditionalFormatting>
  <pageMargins left="0.7" right="0.7" top="0.75" bottom="0.75" header="0.3" footer="0.3"/>
  <pageSetup paperSize="3" scale="46"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FEEC-0B4D-450F-8140-B3DA753DAEB2}">
  <dimension ref="A1:AE100"/>
  <sheetViews>
    <sheetView showGridLines="0" zoomScale="90" zoomScaleNormal="90" workbookViewId="0">
      <selection activeCell="A21" sqref="A21:W21"/>
    </sheetView>
  </sheetViews>
  <sheetFormatPr defaultRowHeight="15"/>
  <cols>
    <col min="1" max="1" width="14.85546875" bestFit="1" customWidth="1"/>
    <col min="2" max="2" width="14.42578125" bestFit="1" customWidth="1"/>
    <col min="3" max="3" width="10.28515625" bestFit="1" customWidth="1"/>
    <col min="4" max="4" width="13.42578125" bestFit="1" customWidth="1"/>
    <col min="5" max="5" width="15.5703125" customWidth="1"/>
    <col min="6" max="6" width="15.42578125" customWidth="1"/>
    <col min="7" max="7" width="17" customWidth="1"/>
    <col min="8" max="8" width="17.42578125" customWidth="1"/>
    <col min="9" max="9" width="14.42578125" customWidth="1"/>
    <col min="10" max="10" width="16.85546875" customWidth="1"/>
    <col min="11" max="11" width="17.140625" customWidth="1"/>
    <col min="12" max="12" width="20.28515625" customWidth="1"/>
    <col min="13" max="13" width="15.28515625" customWidth="1"/>
    <col min="14" max="14" width="18.28515625" bestFit="1" customWidth="1"/>
    <col min="15" max="15" width="11.28515625" customWidth="1"/>
    <col min="16" max="16" width="17.140625" customWidth="1"/>
    <col min="18" max="18" width="13" customWidth="1"/>
    <col min="19" max="19" width="12.28515625" bestFit="1" customWidth="1"/>
    <col min="20" max="20" width="6.42578125" customWidth="1"/>
    <col min="21" max="22" width="4.140625" customWidth="1"/>
    <col min="23" max="23" width="11.42578125" customWidth="1"/>
    <col min="24" max="24" width="12" bestFit="1" customWidth="1"/>
    <col min="25" max="25" width="12.42578125" bestFit="1" customWidth="1"/>
    <col min="26" max="26" width="2" customWidth="1"/>
    <col min="27" max="27" width="15" customWidth="1"/>
    <col min="28" max="28" width="14.28515625" customWidth="1"/>
    <col min="29" max="29" width="10.7109375" bestFit="1" customWidth="1"/>
    <col min="30" max="31" width="10.5703125" bestFit="1" customWidth="1"/>
  </cols>
  <sheetData>
    <row r="1" spans="1:31" ht="32.25">
      <c r="A1" s="269" t="s">
        <v>117</v>
      </c>
      <c r="B1" s="270"/>
      <c r="C1" s="270"/>
      <c r="D1" s="270"/>
      <c r="E1" s="270"/>
      <c r="F1" s="270"/>
      <c r="G1" s="270"/>
      <c r="H1" s="270"/>
      <c r="I1" s="270"/>
      <c r="J1" s="270"/>
      <c r="K1" s="270"/>
      <c r="L1" s="270"/>
      <c r="M1" s="270"/>
      <c r="N1" s="270"/>
      <c r="O1" s="270"/>
      <c r="P1" s="271"/>
    </row>
    <row r="2" spans="1:31" ht="24.75" thickBot="1">
      <c r="A2" s="1"/>
      <c r="B2" s="2"/>
      <c r="C2" s="2"/>
      <c r="D2" s="2"/>
      <c r="E2" s="2"/>
      <c r="F2" s="3"/>
      <c r="G2" s="3"/>
      <c r="H2" s="3"/>
      <c r="I2" s="3"/>
      <c r="J2" s="3"/>
      <c r="K2" s="4"/>
      <c r="L2" s="4"/>
      <c r="R2" s="236"/>
      <c r="S2" s="236"/>
      <c r="T2" s="236"/>
      <c r="U2" s="236"/>
      <c r="V2" s="236"/>
      <c r="W2" s="236"/>
    </row>
    <row r="3" spans="1:31" ht="20.25" thickBot="1">
      <c r="A3" s="272" t="s">
        <v>114</v>
      </c>
      <c r="B3" s="273"/>
      <c r="C3" s="273"/>
      <c r="D3" s="273"/>
      <c r="E3" s="273"/>
      <c r="F3" s="273"/>
      <c r="G3" s="273"/>
      <c r="H3" s="273"/>
      <c r="I3" s="274" t="s">
        <v>2</v>
      </c>
      <c r="J3" s="299"/>
      <c r="K3" s="299"/>
      <c r="L3" s="300"/>
      <c r="M3" s="274" t="s">
        <v>3</v>
      </c>
      <c r="N3" s="299"/>
      <c r="O3" s="299"/>
      <c r="P3" s="301"/>
      <c r="R3" s="236"/>
      <c r="S3" s="236"/>
      <c r="T3" s="236"/>
      <c r="U3" s="236"/>
      <c r="V3" s="236"/>
      <c r="W3" s="236"/>
    </row>
    <row r="4" spans="1:31">
      <c r="A4" s="51"/>
      <c r="B4" s="278" t="s">
        <v>4</v>
      </c>
      <c r="C4" s="279"/>
      <c r="D4" s="278" t="s">
        <v>5</v>
      </c>
      <c r="E4" s="280"/>
      <c r="F4" s="279"/>
      <c r="G4" s="280" t="s">
        <v>11</v>
      </c>
      <c r="H4" s="279"/>
      <c r="I4" s="6"/>
      <c r="J4" s="52"/>
      <c r="K4" s="52"/>
      <c r="L4" s="53"/>
      <c r="M4" s="6"/>
      <c r="N4" s="52"/>
      <c r="O4" s="52"/>
      <c r="P4" s="53"/>
      <c r="R4" s="236"/>
      <c r="S4" s="236"/>
      <c r="T4" s="236"/>
      <c r="U4" s="236"/>
      <c r="V4" s="236"/>
      <c r="W4" s="236"/>
    </row>
    <row r="5" spans="1:31">
      <c r="A5" s="8"/>
      <c r="B5" s="9">
        <v>1</v>
      </c>
      <c r="C5" s="10">
        <v>3</v>
      </c>
      <c r="D5" s="9">
        <v>23</v>
      </c>
      <c r="E5" s="11">
        <v>6</v>
      </c>
      <c r="F5" s="10" t="s">
        <v>7</v>
      </c>
      <c r="G5" s="12" t="s">
        <v>4</v>
      </c>
      <c r="H5" s="13" t="s">
        <v>5</v>
      </c>
      <c r="I5" s="8"/>
      <c r="J5" s="12" t="s">
        <v>4</v>
      </c>
      <c r="K5" s="12" t="s">
        <v>5</v>
      </c>
      <c r="L5" s="14" t="s">
        <v>8</v>
      </c>
      <c r="M5" s="8"/>
      <c r="N5" s="12" t="s">
        <v>9</v>
      </c>
      <c r="O5" s="12" t="s">
        <v>10</v>
      </c>
      <c r="P5" s="14" t="s">
        <v>11</v>
      </c>
      <c r="Q5" s="235"/>
      <c r="R5" s="236"/>
      <c r="S5" s="236"/>
      <c r="T5" s="236"/>
      <c r="U5" s="236"/>
      <c r="V5" s="236"/>
      <c r="W5" s="236"/>
    </row>
    <row r="6" spans="1:31" ht="15" customHeight="1">
      <c r="A6" s="15">
        <v>44562</v>
      </c>
      <c r="B6" s="16">
        <v>1651166</v>
      </c>
      <c r="C6" s="16">
        <v>14451</v>
      </c>
      <c r="D6" s="17">
        <v>323858</v>
      </c>
      <c r="E6" s="17">
        <v>327000</v>
      </c>
      <c r="F6" s="17">
        <v>2636000</v>
      </c>
      <c r="G6" s="18">
        <f t="shared" ref="G6:G17" si="0">B6+C6</f>
        <v>1665617</v>
      </c>
      <c r="H6" s="129">
        <f t="shared" ref="H6:H17" si="1">D6+E6+F6</f>
        <v>3286858</v>
      </c>
      <c r="I6" s="15">
        <v>44562</v>
      </c>
      <c r="J6" s="20">
        <f t="shared" ref="J6:J17" si="2">G6*0.06525</f>
        <v>108681.50925</v>
      </c>
      <c r="K6" s="21">
        <f t="shared" ref="K6:K17" si="3">H6*0.06225</f>
        <v>204606.9105</v>
      </c>
      <c r="L6" s="22">
        <f t="shared" ref="L6:L17" si="4">SUM(J6:K6)</f>
        <v>313288.41975</v>
      </c>
      <c r="M6" s="15">
        <v>44562</v>
      </c>
      <c r="N6" s="23">
        <v>2137193.7060000002</v>
      </c>
      <c r="O6" s="23">
        <v>668717.15500000014</v>
      </c>
      <c r="P6" s="24">
        <f t="shared" ref="P6:P17" si="5">SUM(N6:O6)</f>
        <v>2805910.8610000005</v>
      </c>
      <c r="Q6" s="175"/>
      <c r="R6" s="303"/>
      <c r="S6" s="303"/>
      <c r="T6" s="236"/>
      <c r="U6" s="236"/>
      <c r="V6" s="236"/>
      <c r="W6" s="236"/>
      <c r="X6" s="155"/>
      <c r="Y6" s="155"/>
      <c r="AA6" s="155"/>
      <c r="AB6" s="155"/>
      <c r="AD6" s="155"/>
      <c r="AE6" s="155"/>
    </row>
    <row r="7" spans="1:31">
      <c r="A7" s="15">
        <v>44593</v>
      </c>
      <c r="B7" s="16">
        <v>1435538</v>
      </c>
      <c r="C7" s="16">
        <v>15716</v>
      </c>
      <c r="D7" s="17">
        <v>195364</v>
      </c>
      <c r="E7" s="17">
        <v>204000</v>
      </c>
      <c r="F7" s="17">
        <v>1966600</v>
      </c>
      <c r="G7" s="18">
        <f t="shared" si="0"/>
        <v>1451254</v>
      </c>
      <c r="H7" s="129">
        <f t="shared" si="1"/>
        <v>2365964</v>
      </c>
      <c r="I7" s="15">
        <v>44593</v>
      </c>
      <c r="J7" s="20">
        <f t="shared" si="2"/>
        <v>94694.323499999999</v>
      </c>
      <c r="K7" s="21">
        <f t="shared" si="3"/>
        <v>147281.25899999999</v>
      </c>
      <c r="L7" s="22">
        <f t="shared" si="4"/>
        <v>241975.58249999999</v>
      </c>
      <c r="M7" s="15">
        <v>44593</v>
      </c>
      <c r="N7" s="23">
        <v>2681551.5400000024</v>
      </c>
      <c r="O7" s="23">
        <v>514733.26199999987</v>
      </c>
      <c r="P7" s="24">
        <f t="shared" si="5"/>
        <v>3196284.802000002</v>
      </c>
      <c r="Q7" s="175"/>
      <c r="R7" s="236"/>
      <c r="S7" s="236"/>
      <c r="T7" s="236"/>
      <c r="U7" s="236"/>
      <c r="V7" s="236"/>
      <c r="W7" s="236"/>
      <c r="X7" s="155"/>
      <c r="Y7" s="155"/>
      <c r="AA7" s="155"/>
      <c r="AB7" s="155"/>
      <c r="AD7" s="155"/>
      <c r="AE7" s="155"/>
    </row>
    <row r="8" spans="1:31">
      <c r="A8" s="15">
        <v>44621</v>
      </c>
      <c r="B8" s="16">
        <v>1450805</v>
      </c>
      <c r="C8" s="16">
        <v>15432</v>
      </c>
      <c r="D8" s="17">
        <v>269099</v>
      </c>
      <c r="E8" s="17">
        <v>205400</v>
      </c>
      <c r="F8" s="17">
        <v>2000800</v>
      </c>
      <c r="G8" s="18">
        <f t="shared" si="0"/>
        <v>1466237</v>
      </c>
      <c r="H8" s="129">
        <f t="shared" si="1"/>
        <v>2475299</v>
      </c>
      <c r="I8" s="15">
        <v>44621</v>
      </c>
      <c r="J8" s="20">
        <f t="shared" si="2"/>
        <v>95671.964250000005</v>
      </c>
      <c r="K8" s="21">
        <f t="shared" si="3"/>
        <v>154087.36275</v>
      </c>
      <c r="L8" s="22">
        <f t="shared" si="4"/>
        <v>249759.32699999999</v>
      </c>
      <c r="M8" s="15">
        <v>44621</v>
      </c>
      <c r="N8" s="23">
        <v>3825121.2559999987</v>
      </c>
      <c r="O8" s="23">
        <v>343355.984</v>
      </c>
      <c r="P8" s="24">
        <f t="shared" si="5"/>
        <v>4168477.2399999988</v>
      </c>
      <c r="Q8" s="175"/>
      <c r="R8" s="236"/>
      <c r="S8" s="236"/>
      <c r="T8" s="236"/>
      <c r="U8" s="236"/>
      <c r="V8" s="236"/>
      <c r="W8" s="236"/>
      <c r="X8" s="155"/>
      <c r="Y8" s="155"/>
      <c r="AA8" s="155"/>
      <c r="AB8" s="155"/>
      <c r="AC8" s="155"/>
      <c r="AD8" s="155"/>
      <c r="AE8" s="155"/>
    </row>
    <row r="9" spans="1:31">
      <c r="A9" s="15">
        <v>44652</v>
      </c>
      <c r="B9" s="16">
        <v>1363525</v>
      </c>
      <c r="C9" s="16">
        <v>13409</v>
      </c>
      <c r="D9" s="17">
        <v>185433</v>
      </c>
      <c r="E9" s="17">
        <v>65200</v>
      </c>
      <c r="F9" s="17">
        <v>2057200</v>
      </c>
      <c r="G9" s="18">
        <f t="shared" si="0"/>
        <v>1376934</v>
      </c>
      <c r="H9" s="129">
        <f t="shared" si="1"/>
        <v>2307833</v>
      </c>
      <c r="I9" s="15">
        <v>44652</v>
      </c>
      <c r="J9" s="20">
        <f t="shared" si="2"/>
        <v>89844.943500000008</v>
      </c>
      <c r="K9" s="21">
        <f t="shared" si="3"/>
        <v>143662.60425</v>
      </c>
      <c r="L9" s="22">
        <f t="shared" si="4"/>
        <v>233507.54775000003</v>
      </c>
      <c r="M9" s="15">
        <v>44652</v>
      </c>
      <c r="N9" s="23">
        <v>4095162.2099999995</v>
      </c>
      <c r="O9" s="23">
        <v>693859.12699999986</v>
      </c>
      <c r="P9" s="24">
        <f t="shared" si="5"/>
        <v>4789021.3369999994</v>
      </c>
      <c r="Q9" s="175"/>
      <c r="R9" s="236"/>
      <c r="S9" s="237"/>
      <c r="T9" s="236"/>
      <c r="U9" s="236"/>
      <c r="V9" s="236"/>
      <c r="W9" s="236"/>
      <c r="X9" s="155"/>
      <c r="Y9" s="155"/>
      <c r="AA9" s="155"/>
      <c r="AB9" s="155"/>
      <c r="AC9" s="155"/>
      <c r="AD9" s="155"/>
      <c r="AE9" s="155"/>
    </row>
    <row r="10" spans="1:31">
      <c r="A10" s="15">
        <v>44682</v>
      </c>
      <c r="B10" s="16">
        <v>1328176</v>
      </c>
      <c r="C10" s="16">
        <v>12429</v>
      </c>
      <c r="D10" s="17">
        <v>247936</v>
      </c>
      <c r="E10" s="17">
        <v>284400</v>
      </c>
      <c r="F10" s="17">
        <v>2442000</v>
      </c>
      <c r="G10" s="18">
        <f t="shared" si="0"/>
        <v>1340605</v>
      </c>
      <c r="H10" s="129">
        <f t="shared" si="1"/>
        <v>2974336</v>
      </c>
      <c r="I10" s="15">
        <v>44682</v>
      </c>
      <c r="J10" s="20">
        <f t="shared" si="2"/>
        <v>87474.476250000007</v>
      </c>
      <c r="K10" s="21">
        <f t="shared" si="3"/>
        <v>185152.416</v>
      </c>
      <c r="L10" s="22">
        <f t="shared" si="4"/>
        <v>272626.89225000003</v>
      </c>
      <c r="M10" s="15">
        <v>44682</v>
      </c>
      <c r="N10" s="23">
        <v>4461276.5829999978</v>
      </c>
      <c r="O10" s="23">
        <v>954224.41200000048</v>
      </c>
      <c r="P10" s="24">
        <f t="shared" si="5"/>
        <v>5415500.9949999982</v>
      </c>
      <c r="Q10" s="175"/>
      <c r="R10" s="236"/>
      <c r="S10" s="237"/>
      <c r="T10" s="236"/>
      <c r="U10" s="236"/>
      <c r="V10" s="236"/>
      <c r="W10" s="236"/>
      <c r="X10" s="155"/>
      <c r="Y10" s="155"/>
      <c r="AA10" s="155"/>
      <c r="AB10" s="155"/>
    </row>
    <row r="11" spans="1:31">
      <c r="A11" s="15">
        <v>44713</v>
      </c>
      <c r="B11" s="16">
        <v>1409406</v>
      </c>
      <c r="C11" s="16">
        <v>13660</v>
      </c>
      <c r="D11" s="17">
        <v>238826</v>
      </c>
      <c r="E11" s="17">
        <v>261400</v>
      </c>
      <c r="F11" s="17">
        <v>2088000</v>
      </c>
      <c r="G11" s="18">
        <f t="shared" si="0"/>
        <v>1423066</v>
      </c>
      <c r="H11" s="129">
        <f t="shared" si="1"/>
        <v>2588226</v>
      </c>
      <c r="I11" s="15">
        <v>44713</v>
      </c>
      <c r="J11" s="20">
        <f t="shared" si="2"/>
        <v>92855.056500000006</v>
      </c>
      <c r="K11" s="21">
        <f t="shared" si="3"/>
        <v>161117.06849999999</v>
      </c>
      <c r="L11" s="22">
        <f t="shared" si="4"/>
        <v>253972.125</v>
      </c>
      <c r="M11" s="15">
        <v>44713</v>
      </c>
      <c r="N11" s="23">
        <v>4329426.284</v>
      </c>
      <c r="O11" s="23">
        <v>683843.90500000014</v>
      </c>
      <c r="P11" s="24">
        <f t="shared" si="5"/>
        <v>5013270.1890000002</v>
      </c>
      <c r="Q11" s="175"/>
      <c r="R11" s="238"/>
      <c r="S11" s="236"/>
      <c r="T11" s="236"/>
      <c r="U11" s="236"/>
      <c r="V11" s="236"/>
      <c r="W11" s="236"/>
      <c r="X11" s="155"/>
      <c r="Y11" s="155"/>
      <c r="AA11" s="155"/>
      <c r="AB11" s="155"/>
    </row>
    <row r="12" spans="1:31">
      <c r="A12" s="15">
        <v>44743</v>
      </c>
      <c r="B12" s="16">
        <v>1543267</v>
      </c>
      <c r="C12" s="16">
        <v>17502</v>
      </c>
      <c r="D12" s="17">
        <v>223519</v>
      </c>
      <c r="E12" s="17">
        <v>55200</v>
      </c>
      <c r="F12" s="17">
        <v>2144200</v>
      </c>
      <c r="G12" s="18">
        <f t="shared" si="0"/>
        <v>1560769</v>
      </c>
      <c r="H12" s="129">
        <f t="shared" si="1"/>
        <v>2422919</v>
      </c>
      <c r="I12" s="15">
        <v>44743</v>
      </c>
      <c r="J12" s="20">
        <f t="shared" si="2"/>
        <v>101840.17725000001</v>
      </c>
      <c r="K12" s="21">
        <f t="shared" si="3"/>
        <v>150826.70775</v>
      </c>
      <c r="L12" s="22">
        <f t="shared" si="4"/>
        <v>252666.88500000001</v>
      </c>
      <c r="M12" s="15">
        <v>44743</v>
      </c>
      <c r="N12" s="23">
        <v>4116189.3870000006</v>
      </c>
      <c r="O12" s="23">
        <v>846186.57799999986</v>
      </c>
      <c r="P12" s="24">
        <f t="shared" si="5"/>
        <v>4962375.9650000008</v>
      </c>
      <c r="Q12" s="175"/>
      <c r="R12" s="238"/>
      <c r="S12" s="237"/>
      <c r="T12" s="236"/>
      <c r="U12" s="236"/>
      <c r="V12" s="236"/>
      <c r="W12" s="236"/>
      <c r="X12" s="155"/>
      <c r="Y12" s="155"/>
      <c r="AA12" s="155"/>
      <c r="AB12" s="155"/>
    </row>
    <row r="13" spans="1:31">
      <c r="A13" s="15">
        <v>44774</v>
      </c>
      <c r="B13" s="16">
        <v>1564244</v>
      </c>
      <c r="C13" s="16">
        <v>18080</v>
      </c>
      <c r="D13" s="17">
        <v>282664</v>
      </c>
      <c r="E13" s="17">
        <v>260400</v>
      </c>
      <c r="F13" s="17">
        <v>2462400</v>
      </c>
      <c r="G13" s="18">
        <f t="shared" si="0"/>
        <v>1582324</v>
      </c>
      <c r="H13" s="129">
        <f t="shared" si="1"/>
        <v>3005464</v>
      </c>
      <c r="I13" s="15">
        <v>44774</v>
      </c>
      <c r="J13" s="20">
        <f t="shared" si="2"/>
        <v>103246.641</v>
      </c>
      <c r="K13" s="21">
        <f t="shared" si="3"/>
        <v>187090.13399999999</v>
      </c>
      <c r="L13" s="22">
        <f t="shared" si="4"/>
        <v>290336.77500000002</v>
      </c>
      <c r="M13" s="15">
        <v>44774</v>
      </c>
      <c r="N13" s="23">
        <v>3765314.2790000029</v>
      </c>
      <c r="O13" s="23">
        <v>730947.50899999985</v>
      </c>
      <c r="P13" s="24">
        <f t="shared" si="5"/>
        <v>4496261.7880000025</v>
      </c>
      <c r="Q13" s="175"/>
      <c r="R13" s="236"/>
      <c r="S13" s="236"/>
      <c r="T13" s="236"/>
      <c r="U13" s="236"/>
      <c r="V13" s="236"/>
      <c r="W13" s="236"/>
      <c r="X13" s="155"/>
      <c r="Y13" s="155"/>
      <c r="AA13" s="155"/>
      <c r="AB13" s="155"/>
    </row>
    <row r="14" spans="1:31">
      <c r="A14" s="15">
        <v>44805</v>
      </c>
      <c r="B14" s="16">
        <v>1460201</v>
      </c>
      <c r="C14" s="16">
        <v>17035</v>
      </c>
      <c r="D14" s="17">
        <v>234241</v>
      </c>
      <c r="E14" s="17">
        <v>159000</v>
      </c>
      <c r="F14" s="17">
        <v>1776200</v>
      </c>
      <c r="G14" s="18">
        <f t="shared" si="0"/>
        <v>1477236</v>
      </c>
      <c r="H14" s="129">
        <f t="shared" si="1"/>
        <v>2169441</v>
      </c>
      <c r="I14" s="15">
        <v>44805</v>
      </c>
      <c r="J14" s="20">
        <f t="shared" si="2"/>
        <v>96389.649000000005</v>
      </c>
      <c r="K14" s="21">
        <f t="shared" si="3"/>
        <v>135047.70225</v>
      </c>
      <c r="L14" s="22">
        <f t="shared" si="4"/>
        <v>231437.35125000001</v>
      </c>
      <c r="M14" s="15">
        <v>44805</v>
      </c>
      <c r="N14" s="23">
        <v>3407923.9649999994</v>
      </c>
      <c r="O14" s="23">
        <v>795250.20199999993</v>
      </c>
      <c r="P14" s="24">
        <f t="shared" si="5"/>
        <v>4203174.1669999994</v>
      </c>
      <c r="Q14" s="175"/>
      <c r="R14" s="236"/>
      <c r="S14" s="236"/>
      <c r="T14" s="236"/>
      <c r="U14" s="236"/>
      <c r="V14" s="236"/>
      <c r="W14" s="236"/>
      <c r="X14" s="155"/>
      <c r="Y14" s="155"/>
      <c r="AA14" s="155"/>
      <c r="AB14" s="155"/>
    </row>
    <row r="15" spans="1:31">
      <c r="A15" s="15">
        <v>44835</v>
      </c>
      <c r="B15" s="16">
        <v>1252739</v>
      </c>
      <c r="C15" s="16">
        <v>14003</v>
      </c>
      <c r="D15" s="17">
        <v>221560</v>
      </c>
      <c r="E15" s="17">
        <v>303200</v>
      </c>
      <c r="F15" s="17">
        <v>2022000</v>
      </c>
      <c r="G15" s="18">
        <f t="shared" si="0"/>
        <v>1266742</v>
      </c>
      <c r="H15" s="129">
        <f t="shared" si="1"/>
        <v>2546760</v>
      </c>
      <c r="I15" s="15">
        <v>44835</v>
      </c>
      <c r="J15" s="20">
        <f t="shared" si="2"/>
        <v>82654.915500000003</v>
      </c>
      <c r="K15" s="21">
        <f t="shared" si="3"/>
        <v>158535.81</v>
      </c>
      <c r="L15" s="22">
        <f t="shared" si="4"/>
        <v>241190.7255</v>
      </c>
      <c r="M15" s="15">
        <v>44835</v>
      </c>
      <c r="N15" s="23">
        <v>2935637.6819999982</v>
      </c>
      <c r="O15" s="23">
        <v>508766.62699999998</v>
      </c>
      <c r="P15" s="24">
        <f t="shared" si="5"/>
        <v>3444404.308999998</v>
      </c>
      <c r="Q15" s="175"/>
      <c r="R15" s="236"/>
      <c r="S15" s="236"/>
      <c r="T15" s="236"/>
      <c r="U15" s="236"/>
      <c r="V15" s="236"/>
      <c r="W15" s="236"/>
      <c r="X15" s="155"/>
      <c r="Y15" s="155"/>
      <c r="AA15" s="155"/>
      <c r="AB15" s="155"/>
    </row>
    <row r="16" spans="1:31">
      <c r="A16" s="15">
        <v>44866</v>
      </c>
      <c r="B16" s="16">
        <v>1421118</v>
      </c>
      <c r="C16" s="16">
        <v>15413</v>
      </c>
      <c r="D16" s="17">
        <v>238729</v>
      </c>
      <c r="E16" s="17">
        <v>202600</v>
      </c>
      <c r="F16" s="17">
        <v>2515600</v>
      </c>
      <c r="G16" s="18">
        <f t="shared" si="0"/>
        <v>1436531</v>
      </c>
      <c r="H16" s="129">
        <f t="shared" si="1"/>
        <v>2956929</v>
      </c>
      <c r="I16" s="15">
        <v>44866</v>
      </c>
      <c r="J16" s="20">
        <f t="shared" si="2"/>
        <v>93733.647750000004</v>
      </c>
      <c r="K16" s="21">
        <f t="shared" si="3"/>
        <v>184068.83025</v>
      </c>
      <c r="L16" s="22">
        <f t="shared" si="4"/>
        <v>277802.478</v>
      </c>
      <c r="M16" s="15">
        <v>44866</v>
      </c>
      <c r="N16" s="23">
        <v>1746233.3269999996</v>
      </c>
      <c r="O16" s="23">
        <v>327543.07799999998</v>
      </c>
      <c r="P16" s="24">
        <f t="shared" si="5"/>
        <v>2073776.4049999996</v>
      </c>
      <c r="Q16" s="175"/>
      <c r="R16" s="236"/>
      <c r="S16" s="236"/>
      <c r="T16" s="236"/>
      <c r="U16" s="236"/>
      <c r="V16" s="236"/>
      <c r="W16" s="236"/>
      <c r="X16" s="155"/>
      <c r="Y16" s="155"/>
      <c r="AA16" s="155"/>
      <c r="AB16" s="155"/>
    </row>
    <row r="17" spans="1:29">
      <c r="A17" s="15">
        <v>44896</v>
      </c>
      <c r="B17" s="16">
        <v>1413308</v>
      </c>
      <c r="C17" s="16">
        <v>16682</v>
      </c>
      <c r="D17" s="17">
        <v>248061</v>
      </c>
      <c r="E17" s="17">
        <v>68600</v>
      </c>
      <c r="F17" s="17">
        <v>2122400</v>
      </c>
      <c r="G17" s="18">
        <f t="shared" si="0"/>
        <v>1429990</v>
      </c>
      <c r="H17" s="129">
        <f t="shared" si="1"/>
        <v>2439061</v>
      </c>
      <c r="I17" s="15">
        <v>44896</v>
      </c>
      <c r="J17" s="20">
        <f t="shared" si="2"/>
        <v>93306.847500000003</v>
      </c>
      <c r="K17" s="21">
        <f t="shared" si="3"/>
        <v>151831.54725</v>
      </c>
      <c r="L17" s="22">
        <f t="shared" si="4"/>
        <v>245138.39475000001</v>
      </c>
      <c r="M17" s="15">
        <v>44896</v>
      </c>
      <c r="N17" s="23">
        <v>1153544.3019999994</v>
      </c>
      <c r="O17" s="23">
        <v>318085.43800000008</v>
      </c>
      <c r="P17" s="24">
        <f t="shared" si="5"/>
        <v>1471629.7399999995</v>
      </c>
      <c r="Q17" s="175"/>
      <c r="R17" s="236"/>
      <c r="S17" s="236"/>
      <c r="T17" s="236"/>
      <c r="U17" s="236"/>
      <c r="V17" s="236"/>
      <c r="W17" s="236"/>
      <c r="X17" s="155"/>
      <c r="Y17" s="155"/>
      <c r="AA17" s="155"/>
      <c r="AB17" s="155"/>
      <c r="AC17" s="155"/>
    </row>
    <row r="18" spans="1:29">
      <c r="A18" s="26"/>
      <c r="B18" s="27"/>
      <c r="C18" s="27"/>
      <c r="D18" s="27"/>
      <c r="E18" s="27"/>
      <c r="F18" s="27"/>
      <c r="G18" s="27"/>
      <c r="H18" s="130"/>
      <c r="I18" s="28"/>
      <c r="J18" s="29"/>
      <c r="K18" s="29"/>
      <c r="L18" s="30"/>
      <c r="M18" s="31"/>
      <c r="N18" s="151"/>
      <c r="O18" s="152"/>
      <c r="P18" s="7"/>
      <c r="R18" s="236"/>
      <c r="S18" s="236"/>
      <c r="T18" s="236"/>
      <c r="U18" s="236"/>
      <c r="V18" s="236"/>
      <c r="W18" s="236"/>
      <c r="X18" s="155"/>
      <c r="Y18" s="155"/>
      <c r="AA18" s="159"/>
      <c r="AB18" s="155"/>
    </row>
    <row r="19" spans="1:29">
      <c r="A19" s="34" t="s">
        <v>11</v>
      </c>
      <c r="B19" s="35">
        <f t="shared" ref="B19:H19" si="6">SUM(B6:B17)</f>
        <v>17293493</v>
      </c>
      <c r="C19" s="35">
        <f t="shared" si="6"/>
        <v>183812</v>
      </c>
      <c r="D19" s="35">
        <f t="shared" si="6"/>
        <v>2909290</v>
      </c>
      <c r="E19" s="35">
        <f t="shared" si="6"/>
        <v>2396400</v>
      </c>
      <c r="F19" s="35">
        <f t="shared" si="6"/>
        <v>26233400</v>
      </c>
      <c r="G19" s="35">
        <f t="shared" si="6"/>
        <v>17477305</v>
      </c>
      <c r="H19" s="35">
        <f t="shared" si="6"/>
        <v>31539090</v>
      </c>
      <c r="I19" s="37" t="s">
        <v>8</v>
      </c>
      <c r="J19" s="38">
        <f>SUM(J6:J17)</f>
        <v>1140394.1512500001</v>
      </c>
      <c r="K19" s="38">
        <f>SUM(K6:K17)</f>
        <v>1963308.3525000003</v>
      </c>
      <c r="L19" s="39">
        <f>SUM(L6:L17)</f>
        <v>3103702.5037500001</v>
      </c>
      <c r="M19" s="12" t="s">
        <v>11</v>
      </c>
      <c r="N19" s="150">
        <f>SUM(N6:N17)</f>
        <v>38654574.520999998</v>
      </c>
      <c r="O19" s="150">
        <f>SUM(O6:O17)</f>
        <v>7385513.2769999998</v>
      </c>
      <c r="P19" s="41">
        <f>SUM(P6:P17)</f>
        <v>46040087.798</v>
      </c>
      <c r="R19" s="237"/>
      <c r="S19" s="239"/>
      <c r="T19" s="236"/>
      <c r="U19" s="236"/>
      <c r="V19" s="236"/>
      <c r="W19" s="236"/>
      <c r="X19" s="155"/>
      <c r="Y19" s="155"/>
    </row>
    <row r="20" spans="1:29" ht="15.75" thickBot="1">
      <c r="A20" s="42"/>
      <c r="C20" s="43"/>
      <c r="D20" s="44"/>
      <c r="E20" s="29"/>
      <c r="F20" s="45"/>
      <c r="G20" s="46" t="s">
        <v>13</v>
      </c>
      <c r="H20" s="47">
        <f>G19+H19</f>
        <v>49016395</v>
      </c>
      <c r="I20" s="48"/>
      <c r="J20" s="49"/>
      <c r="K20" s="33"/>
      <c r="L20" s="33"/>
      <c r="M20" s="31"/>
      <c r="N20" s="32"/>
      <c r="O20" s="33"/>
      <c r="P20" s="50"/>
      <c r="R20" s="236"/>
      <c r="S20" s="236"/>
      <c r="T20" s="236"/>
      <c r="U20" s="236"/>
      <c r="V20" s="236"/>
      <c r="W20" s="236"/>
    </row>
    <row r="21" spans="1:29" ht="20.25" thickBot="1">
      <c r="A21" s="281" t="s">
        <v>75</v>
      </c>
      <c r="B21" s="282"/>
      <c r="C21" s="283"/>
      <c r="D21" s="283"/>
      <c r="E21" s="283"/>
      <c r="F21" s="283"/>
      <c r="G21" s="283"/>
      <c r="H21" s="283"/>
      <c r="I21" s="283"/>
      <c r="J21" s="283"/>
      <c r="K21" s="283"/>
      <c r="L21" s="283"/>
      <c r="M21" s="283"/>
      <c r="N21" s="283"/>
      <c r="O21" s="283"/>
      <c r="P21" s="284"/>
      <c r="R21" s="236"/>
      <c r="S21" s="236"/>
      <c r="T21" s="236"/>
      <c r="U21" s="236"/>
      <c r="V21" s="236"/>
      <c r="W21" s="236"/>
      <c r="Y21" s="155"/>
    </row>
    <row r="22" spans="1:29">
      <c r="B22" s="256" t="s">
        <v>14</v>
      </c>
      <c r="C22" s="257"/>
      <c r="D22" s="257"/>
      <c r="E22" s="257"/>
      <c r="F22" s="257"/>
      <c r="G22" s="258"/>
      <c r="H22" s="285" t="s">
        <v>15</v>
      </c>
      <c r="I22" s="286"/>
      <c r="J22" s="286"/>
      <c r="K22" s="287"/>
      <c r="R22" s="236"/>
      <c r="S22" s="236"/>
      <c r="T22" s="236"/>
      <c r="U22" s="236"/>
      <c r="V22" s="236"/>
      <c r="W22" s="236"/>
    </row>
    <row r="23" spans="1:29">
      <c r="B23" s="288" t="s">
        <v>16</v>
      </c>
      <c r="C23" s="289"/>
      <c r="D23" s="289" t="s">
        <v>17</v>
      </c>
      <c r="E23" s="289"/>
      <c r="F23" s="68" t="s">
        <v>18</v>
      </c>
      <c r="G23" s="55" t="s">
        <v>19</v>
      </c>
      <c r="H23" s="56" t="s">
        <v>20</v>
      </c>
      <c r="I23" s="56" t="s">
        <v>21</v>
      </c>
      <c r="J23" s="56" t="s">
        <v>22</v>
      </c>
      <c r="K23" s="57" t="s">
        <v>23</v>
      </c>
      <c r="L23" s="93" t="s">
        <v>24</v>
      </c>
      <c r="M23" s="95" t="s">
        <v>26</v>
      </c>
      <c r="N23" s="131" t="s">
        <v>27</v>
      </c>
    </row>
    <row r="24" spans="1:29">
      <c r="A24" s="58">
        <v>2015</v>
      </c>
      <c r="B24" s="265">
        <v>14403.35</v>
      </c>
      <c r="C24" s="265"/>
      <c r="D24" s="265"/>
      <c r="E24" s="265"/>
      <c r="F24" s="59"/>
      <c r="G24" s="69">
        <f>B24+E24+F24</f>
        <v>14403.35</v>
      </c>
      <c r="H24" s="60"/>
      <c r="I24" s="60">
        <v>7279.47</v>
      </c>
      <c r="J24" s="60"/>
      <c r="K24" s="77">
        <f>H24+I24+J24</f>
        <v>7279.47</v>
      </c>
      <c r="L24" s="92">
        <f>K24+G24</f>
        <v>21682.82</v>
      </c>
      <c r="M24" s="94">
        <v>48000</v>
      </c>
      <c r="N24" s="190">
        <f>M24-L24</f>
        <v>26317.18</v>
      </c>
    </row>
    <row r="25" spans="1:2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90">
        <f t="shared" ref="N25:N66" si="7">M25-L25</f>
        <v>273572.71999999997</v>
      </c>
    </row>
    <row r="26" spans="1:2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90">
        <f t="shared" si="7"/>
        <v>310176.08</v>
      </c>
    </row>
    <row r="27" spans="1:29">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90">
        <f t="shared" si="7"/>
        <v>441013.52</v>
      </c>
    </row>
    <row r="28" spans="1:29" hidden="1">
      <c r="A28" s="15">
        <v>43466</v>
      </c>
      <c r="B28" s="263">
        <v>1930</v>
      </c>
      <c r="C28" s="263"/>
      <c r="D28" s="263">
        <v>0</v>
      </c>
      <c r="E28" s="263"/>
      <c r="F28" s="62">
        <v>0</v>
      </c>
      <c r="G28" s="115">
        <f t="shared" ref="G28:G39" si="8">B28+D28+F28</f>
        <v>1930</v>
      </c>
      <c r="H28" s="29">
        <v>0</v>
      </c>
      <c r="I28" s="62">
        <v>0</v>
      </c>
      <c r="J28" s="62">
        <v>2040</v>
      </c>
      <c r="K28" s="80">
        <f t="shared" ref="K28:K39" si="9">H28+I28+J28</f>
        <v>2040</v>
      </c>
      <c r="L28" s="74">
        <f t="shared" ref="L28:L68" si="10">K28+G28</f>
        <v>3970</v>
      </c>
      <c r="M28" s="89">
        <v>16580</v>
      </c>
      <c r="N28" s="190">
        <f t="shared" si="7"/>
        <v>12610</v>
      </c>
    </row>
    <row r="29" spans="1:29" hidden="1">
      <c r="A29" s="15">
        <v>43497</v>
      </c>
      <c r="B29" s="263">
        <v>3985.12</v>
      </c>
      <c r="C29" s="263"/>
      <c r="D29" s="263">
        <v>0</v>
      </c>
      <c r="E29" s="263"/>
      <c r="F29" s="62">
        <v>0</v>
      </c>
      <c r="G29" s="115">
        <f t="shared" si="8"/>
        <v>3985.12</v>
      </c>
      <c r="H29" s="29">
        <v>0</v>
      </c>
      <c r="I29" s="62">
        <v>0</v>
      </c>
      <c r="J29" s="62">
        <v>0</v>
      </c>
      <c r="K29" s="80">
        <f t="shared" si="9"/>
        <v>0</v>
      </c>
      <c r="L29" s="74">
        <f t="shared" si="10"/>
        <v>3985.12</v>
      </c>
      <c r="M29" s="89">
        <v>16580</v>
      </c>
      <c r="N29" s="190">
        <f t="shared" si="7"/>
        <v>12594.880000000001</v>
      </c>
    </row>
    <row r="30" spans="1:29" hidden="1">
      <c r="A30" s="15">
        <v>43525</v>
      </c>
      <c r="B30" s="263">
        <v>3799.53</v>
      </c>
      <c r="C30" s="263"/>
      <c r="D30" s="263">
        <v>0</v>
      </c>
      <c r="E30" s="263"/>
      <c r="F30" s="62">
        <v>0</v>
      </c>
      <c r="G30" s="115">
        <f t="shared" si="8"/>
        <v>3799.53</v>
      </c>
      <c r="H30" s="29">
        <v>9477.06</v>
      </c>
      <c r="I30" s="62">
        <v>0</v>
      </c>
      <c r="J30" s="62">
        <v>0</v>
      </c>
      <c r="K30" s="80">
        <f t="shared" si="9"/>
        <v>9477.06</v>
      </c>
      <c r="L30" s="74">
        <f t="shared" si="10"/>
        <v>13276.59</v>
      </c>
      <c r="M30" s="89">
        <v>16580</v>
      </c>
      <c r="N30" s="190">
        <f t="shared" si="7"/>
        <v>3303.41</v>
      </c>
    </row>
    <row r="31" spans="1:29" hidden="1">
      <c r="A31" s="15">
        <v>43556</v>
      </c>
      <c r="B31" s="263">
        <v>2076</v>
      </c>
      <c r="C31" s="263"/>
      <c r="D31" s="263">
        <v>3126.63</v>
      </c>
      <c r="E31" s="263"/>
      <c r="F31" s="62">
        <v>0</v>
      </c>
      <c r="G31" s="115">
        <f t="shared" si="8"/>
        <v>5202.63</v>
      </c>
      <c r="H31" s="29">
        <v>523.04</v>
      </c>
      <c r="I31" s="62">
        <v>0</v>
      </c>
      <c r="J31" s="62">
        <v>0</v>
      </c>
      <c r="K31" s="80">
        <f t="shared" si="9"/>
        <v>523.04</v>
      </c>
      <c r="L31" s="74">
        <f t="shared" si="10"/>
        <v>5725.67</v>
      </c>
      <c r="M31" s="89">
        <v>16580</v>
      </c>
      <c r="N31" s="190">
        <f t="shared" si="7"/>
        <v>10854.33</v>
      </c>
    </row>
    <row r="32" spans="1:29" hidden="1">
      <c r="A32" s="15">
        <v>43586</v>
      </c>
      <c r="B32" s="263">
        <v>6061.98</v>
      </c>
      <c r="C32" s="263"/>
      <c r="D32" s="263">
        <v>867.86</v>
      </c>
      <c r="E32" s="263"/>
      <c r="F32" s="62">
        <v>0</v>
      </c>
      <c r="G32" s="115">
        <f t="shared" si="8"/>
        <v>6929.8399999999992</v>
      </c>
      <c r="H32" s="29">
        <v>0</v>
      </c>
      <c r="I32" s="62">
        <v>0</v>
      </c>
      <c r="J32" s="62">
        <v>5120</v>
      </c>
      <c r="K32" s="80">
        <f t="shared" si="9"/>
        <v>5120</v>
      </c>
      <c r="L32" s="74">
        <f t="shared" si="10"/>
        <v>12049.84</v>
      </c>
      <c r="M32" s="89">
        <v>16580</v>
      </c>
      <c r="N32" s="190">
        <f t="shared" si="7"/>
        <v>4530.16</v>
      </c>
    </row>
    <row r="33" spans="1:14" hidden="1">
      <c r="A33" s="15">
        <v>43617</v>
      </c>
      <c r="B33" s="263">
        <v>3191</v>
      </c>
      <c r="C33" s="263"/>
      <c r="D33" s="263">
        <v>24.03</v>
      </c>
      <c r="E33" s="263"/>
      <c r="F33" s="62">
        <v>0</v>
      </c>
      <c r="G33" s="115">
        <f t="shared" si="8"/>
        <v>3215.03</v>
      </c>
      <c r="H33" s="29">
        <v>10056.94</v>
      </c>
      <c r="I33" s="62">
        <v>0</v>
      </c>
      <c r="J33" s="62">
        <v>27522.68</v>
      </c>
      <c r="K33" s="80">
        <f t="shared" si="9"/>
        <v>37579.620000000003</v>
      </c>
      <c r="L33" s="74">
        <f t="shared" si="10"/>
        <v>40794.65</v>
      </c>
      <c r="M33" s="89">
        <v>16580</v>
      </c>
      <c r="N33" s="190">
        <f t="shared" si="7"/>
        <v>-24214.65</v>
      </c>
    </row>
    <row r="34" spans="1:14" hidden="1">
      <c r="A34" s="15">
        <v>43647</v>
      </c>
      <c r="B34" s="263">
        <v>5423.72</v>
      </c>
      <c r="C34" s="263"/>
      <c r="D34" s="263">
        <v>0</v>
      </c>
      <c r="E34" s="263"/>
      <c r="F34" s="62">
        <v>0</v>
      </c>
      <c r="G34" s="115">
        <f t="shared" si="8"/>
        <v>5423.72</v>
      </c>
      <c r="H34" s="29">
        <v>0</v>
      </c>
      <c r="I34" s="62">
        <v>0</v>
      </c>
      <c r="J34" s="62">
        <v>1040</v>
      </c>
      <c r="K34" s="80">
        <f t="shared" si="9"/>
        <v>1040</v>
      </c>
      <c r="L34" s="74">
        <f t="shared" si="10"/>
        <v>6463.72</v>
      </c>
      <c r="M34" s="89">
        <v>16580</v>
      </c>
      <c r="N34" s="190">
        <f t="shared" si="7"/>
        <v>10116.279999999999</v>
      </c>
    </row>
    <row r="35" spans="1:14" hidden="1">
      <c r="A35" s="15">
        <v>43678</v>
      </c>
      <c r="B35" s="263">
        <v>3498.19</v>
      </c>
      <c r="C35" s="263"/>
      <c r="D35" s="263">
        <v>0</v>
      </c>
      <c r="E35" s="263"/>
      <c r="F35" s="62">
        <v>0</v>
      </c>
      <c r="G35" s="115">
        <f t="shared" si="8"/>
        <v>3498.19</v>
      </c>
      <c r="H35" s="29">
        <v>0</v>
      </c>
      <c r="I35" s="62">
        <v>0</v>
      </c>
      <c r="J35" s="62">
        <v>0</v>
      </c>
      <c r="K35" s="80">
        <f t="shared" si="9"/>
        <v>0</v>
      </c>
      <c r="L35" s="74">
        <f t="shared" si="10"/>
        <v>3498.19</v>
      </c>
      <c r="M35" s="89">
        <v>16580</v>
      </c>
      <c r="N35" s="190">
        <f t="shared" si="7"/>
        <v>13081.81</v>
      </c>
    </row>
    <row r="36" spans="1:14" hidden="1">
      <c r="A36" s="15">
        <v>43709</v>
      </c>
      <c r="B36" s="263">
        <v>4018.21</v>
      </c>
      <c r="C36" s="263"/>
      <c r="D36" s="263">
        <v>0</v>
      </c>
      <c r="E36" s="263"/>
      <c r="F36" s="62">
        <v>0</v>
      </c>
      <c r="G36" s="115">
        <f t="shared" si="8"/>
        <v>4018.21</v>
      </c>
      <c r="H36" s="29">
        <v>0</v>
      </c>
      <c r="I36" s="62">
        <v>0</v>
      </c>
      <c r="J36" s="62">
        <v>2080</v>
      </c>
      <c r="K36" s="80">
        <f t="shared" si="9"/>
        <v>2080</v>
      </c>
      <c r="L36" s="74">
        <f t="shared" si="10"/>
        <v>6098.21</v>
      </c>
      <c r="M36" s="89">
        <v>16580</v>
      </c>
      <c r="N36" s="190">
        <f t="shared" si="7"/>
        <v>10481.790000000001</v>
      </c>
    </row>
    <row r="37" spans="1:14" hidden="1">
      <c r="A37" s="15">
        <v>43739</v>
      </c>
      <c r="B37" s="263">
        <v>1464</v>
      </c>
      <c r="C37" s="263"/>
      <c r="D37" s="263">
        <v>0</v>
      </c>
      <c r="E37" s="263"/>
      <c r="F37" s="62">
        <v>0</v>
      </c>
      <c r="G37" s="115">
        <f t="shared" si="8"/>
        <v>1464</v>
      </c>
      <c r="H37" s="29">
        <v>0</v>
      </c>
      <c r="I37" s="62">
        <v>0</v>
      </c>
      <c r="J37" s="62">
        <v>1040</v>
      </c>
      <c r="K37" s="80">
        <f t="shared" si="9"/>
        <v>1040</v>
      </c>
      <c r="L37" s="74">
        <f t="shared" si="10"/>
        <v>2504</v>
      </c>
      <c r="M37" s="89">
        <v>16580</v>
      </c>
      <c r="N37" s="190">
        <f t="shared" si="7"/>
        <v>14076</v>
      </c>
    </row>
    <row r="38" spans="1:14" hidden="1">
      <c r="A38" s="15">
        <v>43770</v>
      </c>
      <c r="B38" s="263">
        <v>10036</v>
      </c>
      <c r="C38" s="263"/>
      <c r="D38" s="263">
        <v>0</v>
      </c>
      <c r="E38" s="263"/>
      <c r="F38" s="62">
        <v>0</v>
      </c>
      <c r="G38" s="115">
        <f t="shared" si="8"/>
        <v>10036</v>
      </c>
      <c r="H38" s="29">
        <v>0</v>
      </c>
      <c r="I38" s="62">
        <v>0</v>
      </c>
      <c r="J38" s="62">
        <v>1040</v>
      </c>
      <c r="K38" s="80">
        <f t="shared" si="9"/>
        <v>1040</v>
      </c>
      <c r="L38" s="74">
        <f t="shared" si="10"/>
        <v>11076</v>
      </c>
      <c r="M38" s="89">
        <v>16580</v>
      </c>
      <c r="N38" s="190">
        <f t="shared" si="7"/>
        <v>5504</v>
      </c>
    </row>
    <row r="39" spans="1:14" hidden="1">
      <c r="A39" s="15">
        <v>43800</v>
      </c>
      <c r="B39" s="263">
        <v>4542.46</v>
      </c>
      <c r="C39" s="263"/>
      <c r="D39" s="263">
        <v>3731.52</v>
      </c>
      <c r="E39" s="263"/>
      <c r="F39" s="62">
        <v>7880</v>
      </c>
      <c r="G39" s="116">
        <f t="shared" si="8"/>
        <v>16153.98</v>
      </c>
      <c r="H39" s="29">
        <v>0</v>
      </c>
      <c r="I39" s="62">
        <v>0</v>
      </c>
      <c r="J39" s="62">
        <v>1040</v>
      </c>
      <c r="K39" s="80">
        <f t="shared" si="9"/>
        <v>1040</v>
      </c>
      <c r="L39" s="74">
        <f t="shared" si="10"/>
        <v>17193.98</v>
      </c>
      <c r="M39" s="89">
        <v>16580</v>
      </c>
      <c r="N39" s="190">
        <f t="shared" si="7"/>
        <v>-613.97999999999956</v>
      </c>
    </row>
    <row r="40" spans="1:14">
      <c r="A40" s="58">
        <v>2019</v>
      </c>
      <c r="B40" s="265">
        <f>SUM(B28:B39)</f>
        <v>50026.21</v>
      </c>
      <c r="C40" s="265"/>
      <c r="D40" s="265">
        <f>SUM(D28:D39)</f>
        <v>7750.0400000000009</v>
      </c>
      <c r="E40" s="265"/>
      <c r="F40" s="59">
        <f t="shared" ref="F40:K40" si="11">SUM(F28:F39)</f>
        <v>7880</v>
      </c>
      <c r="G40" s="71">
        <f t="shared" si="11"/>
        <v>65656.25</v>
      </c>
      <c r="H40" s="64">
        <f t="shared" si="11"/>
        <v>20057.04</v>
      </c>
      <c r="I40" s="63">
        <f t="shared" si="11"/>
        <v>0</v>
      </c>
      <c r="J40" s="63">
        <f t="shared" si="11"/>
        <v>40922.68</v>
      </c>
      <c r="K40" s="79">
        <f t="shared" si="11"/>
        <v>60979.72</v>
      </c>
      <c r="L40" s="164">
        <f t="shared" si="10"/>
        <v>126635.97</v>
      </c>
      <c r="M40" s="165">
        <f>SUM(M28:M39)</f>
        <v>198960</v>
      </c>
      <c r="N40" s="190">
        <f t="shared" si="7"/>
        <v>72324.03</v>
      </c>
    </row>
    <row r="41" spans="1:14" hidden="1">
      <c r="A41" s="169">
        <v>43831</v>
      </c>
      <c r="B41" s="263">
        <v>4606.24</v>
      </c>
      <c r="C41" s="263"/>
      <c r="D41" s="263">
        <v>0</v>
      </c>
      <c r="E41" s="263"/>
      <c r="F41" s="62">
        <v>31149.68</v>
      </c>
      <c r="G41" s="85">
        <f t="shared" ref="G41:G52" si="12">B41+D41+F41</f>
        <v>35755.919999999998</v>
      </c>
      <c r="H41" s="62">
        <v>0</v>
      </c>
      <c r="I41" s="62">
        <v>0</v>
      </c>
      <c r="J41" s="62">
        <v>1040</v>
      </c>
      <c r="K41" s="87">
        <f t="shared" ref="K41:K52" si="13">SUM(H41:J41)</f>
        <v>1040</v>
      </c>
      <c r="L41" s="74">
        <f t="shared" si="10"/>
        <v>36795.919999999998</v>
      </c>
      <c r="M41" s="89">
        <v>66250</v>
      </c>
      <c r="N41" s="190">
        <f t="shared" si="7"/>
        <v>29454.080000000002</v>
      </c>
    </row>
    <row r="42" spans="1:14" hidden="1">
      <c r="A42" s="169">
        <v>43862</v>
      </c>
      <c r="B42" s="263">
        <v>6914.72</v>
      </c>
      <c r="C42" s="263"/>
      <c r="D42" s="263">
        <v>0</v>
      </c>
      <c r="E42" s="263"/>
      <c r="F42" s="62">
        <v>26617.759999999998</v>
      </c>
      <c r="G42" s="85">
        <f t="shared" si="12"/>
        <v>33532.479999999996</v>
      </c>
      <c r="H42" s="62">
        <v>0</v>
      </c>
      <c r="I42" s="62">
        <v>0</v>
      </c>
      <c r="J42" s="62">
        <v>0</v>
      </c>
      <c r="K42" s="87">
        <f t="shared" si="13"/>
        <v>0</v>
      </c>
      <c r="L42" s="74">
        <f t="shared" si="10"/>
        <v>33532.479999999996</v>
      </c>
      <c r="M42" s="89">
        <v>66250</v>
      </c>
      <c r="N42" s="190">
        <f t="shared" si="7"/>
        <v>32717.520000000004</v>
      </c>
    </row>
    <row r="43" spans="1:14" hidden="1">
      <c r="A43" s="169">
        <v>43891</v>
      </c>
      <c r="B43" s="263">
        <v>4282.12</v>
      </c>
      <c r="C43" s="263"/>
      <c r="D43" s="263">
        <v>0</v>
      </c>
      <c r="E43" s="263"/>
      <c r="F43" s="62">
        <v>62064</v>
      </c>
      <c r="G43" s="85">
        <f t="shared" si="12"/>
        <v>66346.12</v>
      </c>
      <c r="H43" s="62">
        <v>0</v>
      </c>
      <c r="I43" s="62">
        <v>0</v>
      </c>
      <c r="J43" s="62">
        <v>0</v>
      </c>
      <c r="K43" s="87">
        <f t="shared" si="13"/>
        <v>0</v>
      </c>
      <c r="L43" s="74">
        <f t="shared" si="10"/>
        <v>66346.12</v>
      </c>
      <c r="M43" s="89">
        <v>66250</v>
      </c>
      <c r="N43" s="190">
        <f t="shared" si="7"/>
        <v>-96.119999999995343</v>
      </c>
    </row>
    <row r="44" spans="1:14" hidden="1">
      <c r="A44" s="169">
        <v>43922</v>
      </c>
      <c r="B44" s="263">
        <v>5582.21</v>
      </c>
      <c r="C44" s="263"/>
      <c r="D44" s="263">
        <v>608.66</v>
      </c>
      <c r="E44" s="263"/>
      <c r="F44" s="62">
        <v>35039.839999999997</v>
      </c>
      <c r="G44" s="85">
        <f t="shared" si="12"/>
        <v>41230.71</v>
      </c>
      <c r="H44" s="62">
        <v>0</v>
      </c>
      <c r="I44" s="62">
        <v>0</v>
      </c>
      <c r="J44" s="62">
        <v>0</v>
      </c>
      <c r="K44" s="87">
        <f t="shared" si="13"/>
        <v>0</v>
      </c>
      <c r="L44" s="74">
        <f t="shared" si="10"/>
        <v>41230.71</v>
      </c>
      <c r="M44" s="89">
        <v>66250</v>
      </c>
      <c r="N44" s="190">
        <f t="shared" si="7"/>
        <v>25019.29</v>
      </c>
    </row>
    <row r="45" spans="1:14" hidden="1">
      <c r="A45" s="169">
        <v>43952</v>
      </c>
      <c r="B45" s="263">
        <v>5719.88</v>
      </c>
      <c r="C45" s="263"/>
      <c r="D45" s="263">
        <v>0</v>
      </c>
      <c r="E45" s="263"/>
      <c r="F45" s="62">
        <v>12520.96</v>
      </c>
      <c r="G45" s="85">
        <f t="shared" si="12"/>
        <v>18240.84</v>
      </c>
      <c r="H45" s="62">
        <v>2050</v>
      </c>
      <c r="I45" s="62">
        <v>0</v>
      </c>
      <c r="J45" s="62">
        <v>0</v>
      </c>
      <c r="K45" s="87">
        <f t="shared" si="13"/>
        <v>2050</v>
      </c>
      <c r="L45" s="74">
        <f t="shared" si="10"/>
        <v>20290.84</v>
      </c>
      <c r="M45" s="89">
        <v>66250</v>
      </c>
      <c r="N45" s="190">
        <f t="shared" si="7"/>
        <v>45959.16</v>
      </c>
    </row>
    <row r="46" spans="1:14" hidden="1">
      <c r="A46" s="169">
        <v>43983</v>
      </c>
      <c r="B46" s="263">
        <v>6685.66</v>
      </c>
      <c r="C46" s="263"/>
      <c r="D46" s="263">
        <v>0</v>
      </c>
      <c r="E46" s="263"/>
      <c r="F46" s="62">
        <v>29811.4</v>
      </c>
      <c r="G46" s="85">
        <f t="shared" si="12"/>
        <v>36497.06</v>
      </c>
      <c r="H46" s="62">
        <v>0</v>
      </c>
      <c r="I46" s="62">
        <v>0</v>
      </c>
      <c r="J46" s="62">
        <v>0</v>
      </c>
      <c r="K46" s="87">
        <f t="shared" si="13"/>
        <v>0</v>
      </c>
      <c r="L46" s="74">
        <f t="shared" si="10"/>
        <v>36497.06</v>
      </c>
      <c r="M46" s="89">
        <v>66250</v>
      </c>
      <c r="N46" s="190">
        <f t="shared" si="7"/>
        <v>29752.940000000002</v>
      </c>
    </row>
    <row r="47" spans="1:14" hidden="1">
      <c r="A47" s="169">
        <v>44013</v>
      </c>
      <c r="B47" s="263">
        <v>5148</v>
      </c>
      <c r="C47" s="263"/>
      <c r="D47" s="263">
        <v>1264.1400000000001</v>
      </c>
      <c r="E47" s="263"/>
      <c r="F47" s="62">
        <v>374.56</v>
      </c>
      <c r="G47" s="85">
        <f t="shared" si="12"/>
        <v>6786.7000000000007</v>
      </c>
      <c r="H47" s="62">
        <v>4398.75</v>
      </c>
      <c r="I47" s="62">
        <v>0</v>
      </c>
      <c r="J47" s="62">
        <v>0</v>
      </c>
      <c r="K47" s="87">
        <f t="shared" si="13"/>
        <v>4398.75</v>
      </c>
      <c r="L47" s="74">
        <f t="shared" si="10"/>
        <v>11185.45</v>
      </c>
      <c r="M47" s="89">
        <v>66250</v>
      </c>
      <c r="N47" s="190">
        <f t="shared" si="7"/>
        <v>55064.55</v>
      </c>
    </row>
    <row r="48" spans="1:14" hidden="1">
      <c r="A48" s="169">
        <v>44044</v>
      </c>
      <c r="B48" s="263">
        <v>5948.88</v>
      </c>
      <c r="C48" s="263"/>
      <c r="D48" s="263">
        <v>0</v>
      </c>
      <c r="E48" s="263"/>
      <c r="F48" s="62">
        <v>-1500</v>
      </c>
      <c r="G48" s="85">
        <f t="shared" si="12"/>
        <v>4448.88</v>
      </c>
      <c r="H48" s="62">
        <v>16844</v>
      </c>
      <c r="I48" s="62">
        <v>12438</v>
      </c>
      <c r="J48" s="62">
        <v>0</v>
      </c>
      <c r="K48" s="87">
        <f t="shared" si="13"/>
        <v>29282</v>
      </c>
      <c r="L48" s="74">
        <f t="shared" si="10"/>
        <v>33730.879999999997</v>
      </c>
      <c r="M48" s="89">
        <v>66250</v>
      </c>
      <c r="N48" s="190">
        <f t="shared" si="7"/>
        <v>32519.120000000003</v>
      </c>
    </row>
    <row r="49" spans="1:14" hidden="1">
      <c r="A49" s="169">
        <v>44075</v>
      </c>
      <c r="B49" s="263">
        <v>3090</v>
      </c>
      <c r="C49" s="263"/>
      <c r="D49" s="263">
        <v>0</v>
      </c>
      <c r="E49" s="263"/>
      <c r="F49" s="62">
        <v>0</v>
      </c>
      <c r="G49" s="85">
        <f t="shared" si="12"/>
        <v>3090</v>
      </c>
      <c r="H49" s="62">
        <v>0</v>
      </c>
      <c r="I49" s="62">
        <v>0</v>
      </c>
      <c r="J49" s="62">
        <v>0</v>
      </c>
      <c r="K49" s="87">
        <f t="shared" si="13"/>
        <v>0</v>
      </c>
      <c r="L49" s="74">
        <f t="shared" si="10"/>
        <v>3090</v>
      </c>
      <c r="M49" s="89">
        <v>66250</v>
      </c>
      <c r="N49" s="190">
        <f t="shared" si="7"/>
        <v>63160</v>
      </c>
    </row>
    <row r="50" spans="1:14" hidden="1">
      <c r="A50" s="169">
        <v>44105</v>
      </c>
      <c r="B50" s="263">
        <v>5253</v>
      </c>
      <c r="C50" s="263"/>
      <c r="D50" s="263">
        <v>1439.72</v>
      </c>
      <c r="E50" s="263"/>
      <c r="F50" s="62">
        <v>0</v>
      </c>
      <c r="G50" s="85">
        <f t="shared" si="12"/>
        <v>6692.72</v>
      </c>
      <c r="H50" s="62">
        <v>0</v>
      </c>
      <c r="I50" s="62">
        <v>0</v>
      </c>
      <c r="J50" s="62">
        <v>0</v>
      </c>
      <c r="K50" s="87">
        <f t="shared" si="13"/>
        <v>0</v>
      </c>
      <c r="L50" s="74">
        <f t="shared" si="10"/>
        <v>6692.72</v>
      </c>
      <c r="M50" s="89">
        <v>66250</v>
      </c>
      <c r="N50" s="190">
        <f t="shared" si="7"/>
        <v>59557.279999999999</v>
      </c>
    </row>
    <row r="51" spans="1:14" hidden="1">
      <c r="A51" s="169">
        <v>44136</v>
      </c>
      <c r="B51" s="263">
        <v>4326</v>
      </c>
      <c r="C51" s="263"/>
      <c r="D51" s="263">
        <v>0</v>
      </c>
      <c r="E51" s="263"/>
      <c r="F51" s="62">
        <v>0</v>
      </c>
      <c r="G51" s="85">
        <f t="shared" si="12"/>
        <v>4326</v>
      </c>
      <c r="H51" s="62">
        <v>0</v>
      </c>
      <c r="I51" s="62">
        <v>0</v>
      </c>
      <c r="J51" s="62">
        <v>0</v>
      </c>
      <c r="K51" s="87">
        <f t="shared" si="13"/>
        <v>0</v>
      </c>
      <c r="L51" s="74">
        <f t="shared" si="10"/>
        <v>4326</v>
      </c>
      <c r="M51" s="89">
        <v>66250</v>
      </c>
      <c r="N51" s="190">
        <f t="shared" si="7"/>
        <v>61924</v>
      </c>
    </row>
    <row r="52" spans="1:14" hidden="1">
      <c r="A52" s="169">
        <v>44166</v>
      </c>
      <c r="B52" s="263">
        <v>3502</v>
      </c>
      <c r="C52" s="263"/>
      <c r="D52" s="263">
        <v>234.1</v>
      </c>
      <c r="E52" s="263"/>
      <c r="F52" s="62">
        <v>0</v>
      </c>
      <c r="G52" s="85">
        <f t="shared" si="12"/>
        <v>3736.1</v>
      </c>
      <c r="H52" s="62">
        <v>0</v>
      </c>
      <c r="I52" s="62">
        <v>0</v>
      </c>
      <c r="J52" s="62">
        <v>0</v>
      </c>
      <c r="K52" s="87">
        <f t="shared" si="13"/>
        <v>0</v>
      </c>
      <c r="L52" s="74">
        <f t="shared" si="10"/>
        <v>3736.1</v>
      </c>
      <c r="M52" s="89">
        <v>66250</v>
      </c>
      <c r="N52" s="190">
        <f t="shared" si="7"/>
        <v>62513.9</v>
      </c>
    </row>
    <row r="53" spans="1:14">
      <c r="A53" s="58">
        <v>2020</v>
      </c>
      <c r="B53" s="265">
        <f>SUM(B41:B52)</f>
        <v>61058.71</v>
      </c>
      <c r="C53" s="265"/>
      <c r="D53" s="265">
        <f>SUM(D41:D52)</f>
        <v>3546.6200000000003</v>
      </c>
      <c r="E53" s="265"/>
      <c r="F53" s="59">
        <f t="shared" ref="F53:K53" si="14">SUM(F41:F52)</f>
        <v>196078.19999999998</v>
      </c>
      <c r="G53" s="71">
        <f t="shared" si="14"/>
        <v>260683.53</v>
      </c>
      <c r="H53" s="64">
        <f t="shared" si="14"/>
        <v>23292.75</v>
      </c>
      <c r="I53" s="63">
        <f t="shared" si="14"/>
        <v>12438</v>
      </c>
      <c r="J53" s="63">
        <f t="shared" si="14"/>
        <v>1040</v>
      </c>
      <c r="K53" s="79">
        <f t="shared" si="14"/>
        <v>36770.75</v>
      </c>
      <c r="L53" s="164">
        <f t="shared" si="10"/>
        <v>297454.28000000003</v>
      </c>
      <c r="M53" s="165">
        <f>SUM(M41:M52)</f>
        <v>795000</v>
      </c>
      <c r="N53" s="190">
        <f t="shared" si="7"/>
        <v>497545.72</v>
      </c>
    </row>
    <row r="54" spans="1:14" hidden="1">
      <c r="A54" s="15">
        <v>44197</v>
      </c>
      <c r="B54" s="263">
        <v>8064</v>
      </c>
      <c r="C54" s="263"/>
      <c r="D54" s="263">
        <v>0</v>
      </c>
      <c r="E54" s="263"/>
      <c r="F54" s="62">
        <v>0</v>
      </c>
      <c r="G54" s="85">
        <f t="shared" ref="G54:G65" si="15">SUM(B54:F54)</f>
        <v>8064</v>
      </c>
      <c r="H54" s="62">
        <v>0</v>
      </c>
      <c r="I54" s="62">
        <v>0</v>
      </c>
      <c r="J54" s="62">
        <v>0</v>
      </c>
      <c r="K54" s="87">
        <f t="shared" ref="K54:K65" si="16">SUM(H54:J54)</f>
        <v>0</v>
      </c>
      <c r="L54" s="186">
        <f t="shared" si="10"/>
        <v>8064</v>
      </c>
      <c r="M54" s="89">
        <v>46666</v>
      </c>
      <c r="N54" s="190">
        <f t="shared" si="7"/>
        <v>38602</v>
      </c>
    </row>
    <row r="55" spans="1:14" hidden="1">
      <c r="A55" s="15">
        <v>44228</v>
      </c>
      <c r="B55" s="263">
        <v>5828</v>
      </c>
      <c r="C55" s="263"/>
      <c r="D55" s="263">
        <v>0</v>
      </c>
      <c r="E55" s="263"/>
      <c r="F55" s="62">
        <v>0</v>
      </c>
      <c r="G55" s="85">
        <f t="shared" si="15"/>
        <v>5828</v>
      </c>
      <c r="H55" s="62">
        <v>0</v>
      </c>
      <c r="I55" s="62">
        <v>0</v>
      </c>
      <c r="J55" s="62">
        <v>0</v>
      </c>
      <c r="K55" s="87">
        <f t="shared" si="16"/>
        <v>0</v>
      </c>
      <c r="L55" s="186">
        <f t="shared" si="10"/>
        <v>5828</v>
      </c>
      <c r="M55" s="89">
        <v>46666</v>
      </c>
      <c r="N55" s="190">
        <f t="shared" si="7"/>
        <v>40838</v>
      </c>
    </row>
    <row r="56" spans="1:14" hidden="1">
      <c r="A56" s="15">
        <v>44256</v>
      </c>
      <c r="B56" s="263">
        <v>7059</v>
      </c>
      <c r="C56" s="263"/>
      <c r="D56" s="263">
        <v>0</v>
      </c>
      <c r="E56" s="263"/>
      <c r="F56" s="62">
        <v>0</v>
      </c>
      <c r="G56" s="85">
        <f t="shared" si="15"/>
        <v>7059</v>
      </c>
      <c r="H56" s="62">
        <v>0</v>
      </c>
      <c r="I56" s="62">
        <v>0</v>
      </c>
      <c r="J56" s="62">
        <v>0</v>
      </c>
      <c r="K56" s="87">
        <f t="shared" si="16"/>
        <v>0</v>
      </c>
      <c r="L56" s="186">
        <f t="shared" si="10"/>
        <v>7059</v>
      </c>
      <c r="M56" s="89">
        <v>46666</v>
      </c>
      <c r="N56" s="190">
        <f t="shared" si="7"/>
        <v>39607</v>
      </c>
    </row>
    <row r="57" spans="1:14" hidden="1">
      <c r="A57" s="15">
        <v>44287</v>
      </c>
      <c r="B57" s="263">
        <v>5413.53</v>
      </c>
      <c r="C57" s="263"/>
      <c r="D57" s="263">
        <v>795.94</v>
      </c>
      <c r="E57" s="263"/>
      <c r="F57" s="62">
        <v>0</v>
      </c>
      <c r="G57" s="85">
        <f t="shared" si="15"/>
        <v>6209.4699999999993</v>
      </c>
      <c r="H57" s="62">
        <v>0</v>
      </c>
      <c r="I57" s="62">
        <v>0</v>
      </c>
      <c r="J57" s="62">
        <v>0</v>
      </c>
      <c r="K57" s="87">
        <f t="shared" si="16"/>
        <v>0</v>
      </c>
      <c r="L57" s="186">
        <f t="shared" si="10"/>
        <v>6209.4699999999993</v>
      </c>
      <c r="M57" s="89">
        <v>46666</v>
      </c>
      <c r="N57" s="190">
        <f t="shared" si="7"/>
        <v>40456.53</v>
      </c>
    </row>
    <row r="58" spans="1:14" hidden="1">
      <c r="A58" s="15">
        <v>44317</v>
      </c>
      <c r="B58" s="263">
        <v>4044.5</v>
      </c>
      <c r="C58" s="263"/>
      <c r="D58" s="263">
        <v>0</v>
      </c>
      <c r="E58" s="263"/>
      <c r="F58" s="62">
        <v>0</v>
      </c>
      <c r="G58" s="85">
        <f t="shared" si="15"/>
        <v>4044.5</v>
      </c>
      <c r="H58" s="62">
        <v>0</v>
      </c>
      <c r="I58" s="62">
        <v>0</v>
      </c>
      <c r="J58" s="62">
        <v>0</v>
      </c>
      <c r="K58" s="87">
        <f t="shared" si="16"/>
        <v>0</v>
      </c>
      <c r="L58" s="186">
        <f t="shared" si="10"/>
        <v>4044.5</v>
      </c>
      <c r="M58" s="89">
        <v>46666</v>
      </c>
      <c r="N58" s="190">
        <f t="shared" si="7"/>
        <v>42621.5</v>
      </c>
    </row>
    <row r="59" spans="1:14" hidden="1">
      <c r="A59" s="15">
        <v>44348</v>
      </c>
      <c r="B59" s="263">
        <v>4678.5</v>
      </c>
      <c r="C59" s="263"/>
      <c r="D59" s="263">
        <v>0</v>
      </c>
      <c r="E59" s="263"/>
      <c r="F59" s="62">
        <v>0</v>
      </c>
      <c r="G59" s="85">
        <f t="shared" si="15"/>
        <v>4678.5</v>
      </c>
      <c r="H59" s="62">
        <v>9880</v>
      </c>
      <c r="I59" s="62">
        <v>0</v>
      </c>
      <c r="J59" s="62">
        <v>0</v>
      </c>
      <c r="K59" s="87">
        <f t="shared" si="16"/>
        <v>9880</v>
      </c>
      <c r="L59" s="186">
        <f t="shared" si="10"/>
        <v>14558.5</v>
      </c>
      <c r="M59" s="89">
        <v>46666</v>
      </c>
      <c r="N59" s="190">
        <f t="shared" si="7"/>
        <v>32107.5</v>
      </c>
    </row>
    <row r="60" spans="1:14" hidden="1">
      <c r="A60" s="15">
        <v>44378</v>
      </c>
      <c r="B60" s="263">
        <v>3708</v>
      </c>
      <c r="C60" s="263"/>
      <c r="D60" s="263">
        <v>0</v>
      </c>
      <c r="E60" s="263"/>
      <c r="F60" s="62">
        <v>0</v>
      </c>
      <c r="G60" s="85">
        <f t="shared" si="15"/>
        <v>3708</v>
      </c>
      <c r="H60" s="62">
        <v>0</v>
      </c>
      <c r="I60" s="62">
        <v>0</v>
      </c>
      <c r="J60" s="62">
        <v>0</v>
      </c>
      <c r="K60" s="87">
        <f t="shared" si="16"/>
        <v>0</v>
      </c>
      <c r="L60" s="186">
        <f t="shared" si="10"/>
        <v>3708</v>
      </c>
      <c r="M60" s="89">
        <v>46666</v>
      </c>
      <c r="N60" s="190">
        <f t="shared" si="7"/>
        <v>42958</v>
      </c>
    </row>
    <row r="61" spans="1:14" hidden="1">
      <c r="A61" s="15">
        <v>44409</v>
      </c>
      <c r="B61" s="263">
        <v>4223</v>
      </c>
      <c r="C61" s="263"/>
      <c r="D61" s="263">
        <v>0</v>
      </c>
      <c r="E61" s="263"/>
      <c r="F61" s="62">
        <v>0</v>
      </c>
      <c r="G61" s="85">
        <f t="shared" si="15"/>
        <v>4223</v>
      </c>
      <c r="H61" s="62">
        <v>33.6</v>
      </c>
      <c r="I61" s="62">
        <v>0</v>
      </c>
      <c r="J61" s="62">
        <v>0</v>
      </c>
      <c r="K61" s="87">
        <f t="shared" si="16"/>
        <v>33.6</v>
      </c>
      <c r="L61" s="186">
        <f t="shared" si="10"/>
        <v>4256.6000000000004</v>
      </c>
      <c r="M61" s="89">
        <v>46666</v>
      </c>
      <c r="N61" s="190">
        <f t="shared" si="7"/>
        <v>42409.4</v>
      </c>
    </row>
    <row r="62" spans="1:14" hidden="1">
      <c r="A62" s="15">
        <v>44440</v>
      </c>
      <c r="B62" s="263">
        <v>4223</v>
      </c>
      <c r="C62" s="263"/>
      <c r="D62" s="263">
        <v>1966.44</v>
      </c>
      <c r="E62" s="263"/>
      <c r="F62" s="62">
        <v>0</v>
      </c>
      <c r="G62" s="85">
        <f t="shared" si="15"/>
        <v>6189.4400000000005</v>
      </c>
      <c r="H62" s="62">
        <v>812.5</v>
      </c>
      <c r="I62" s="62">
        <v>2875.23</v>
      </c>
      <c r="J62" s="62">
        <v>0</v>
      </c>
      <c r="K62" s="87">
        <f t="shared" si="16"/>
        <v>3687.73</v>
      </c>
      <c r="L62" s="186">
        <f t="shared" si="10"/>
        <v>9877.17</v>
      </c>
      <c r="M62" s="89">
        <v>46666</v>
      </c>
      <c r="N62" s="190">
        <f t="shared" si="7"/>
        <v>36788.83</v>
      </c>
    </row>
    <row r="63" spans="1:14" hidden="1">
      <c r="A63" s="15">
        <v>44470</v>
      </c>
      <c r="B63" s="263">
        <v>2575</v>
      </c>
      <c r="C63" s="263"/>
      <c r="D63" s="263">
        <v>0</v>
      </c>
      <c r="E63" s="263"/>
      <c r="F63" s="62">
        <v>0</v>
      </c>
      <c r="G63" s="85">
        <f t="shared" si="15"/>
        <v>2575</v>
      </c>
      <c r="H63" s="62">
        <v>930</v>
      </c>
      <c r="I63" s="62">
        <v>0</v>
      </c>
      <c r="J63" s="62">
        <v>0</v>
      </c>
      <c r="K63" s="87">
        <f t="shared" si="16"/>
        <v>930</v>
      </c>
      <c r="L63" s="186">
        <f t="shared" si="10"/>
        <v>3505</v>
      </c>
      <c r="M63" s="89">
        <v>46666</v>
      </c>
      <c r="N63" s="190">
        <f t="shared" si="7"/>
        <v>43161</v>
      </c>
    </row>
    <row r="64" spans="1:14" hidden="1">
      <c r="A64" s="15">
        <v>44501</v>
      </c>
      <c r="B64" s="263">
        <v>4841</v>
      </c>
      <c r="C64" s="263"/>
      <c r="D64" s="263">
        <v>0</v>
      </c>
      <c r="E64" s="263"/>
      <c r="F64" s="62">
        <v>0</v>
      </c>
      <c r="G64" s="85">
        <f t="shared" si="15"/>
        <v>4841</v>
      </c>
      <c r="H64" s="62">
        <v>0</v>
      </c>
      <c r="I64" s="62">
        <v>0</v>
      </c>
      <c r="J64" s="62">
        <v>0</v>
      </c>
      <c r="K64" s="87">
        <f t="shared" si="16"/>
        <v>0</v>
      </c>
      <c r="L64" s="186">
        <f t="shared" si="10"/>
        <v>4841</v>
      </c>
      <c r="M64" s="89">
        <v>46666</v>
      </c>
      <c r="N64" s="190">
        <f t="shared" si="7"/>
        <v>41825</v>
      </c>
    </row>
    <row r="65" spans="1:14" hidden="1">
      <c r="A65" s="15">
        <v>44531</v>
      </c>
      <c r="B65" s="263">
        <v>4944</v>
      </c>
      <c r="C65" s="263"/>
      <c r="D65" s="263">
        <v>0</v>
      </c>
      <c r="E65" s="263"/>
      <c r="F65" s="62">
        <v>0</v>
      </c>
      <c r="G65" s="85">
        <f t="shared" si="15"/>
        <v>4944</v>
      </c>
      <c r="H65" s="62">
        <v>0</v>
      </c>
      <c r="I65" s="62">
        <v>0</v>
      </c>
      <c r="J65" s="62">
        <v>0</v>
      </c>
      <c r="K65" s="87">
        <f t="shared" si="16"/>
        <v>0</v>
      </c>
      <c r="L65" s="186">
        <f t="shared" si="10"/>
        <v>4944</v>
      </c>
      <c r="M65" s="89">
        <v>46666</v>
      </c>
      <c r="N65" s="190">
        <f t="shared" si="7"/>
        <v>41722</v>
      </c>
    </row>
    <row r="66" spans="1:14">
      <c r="A66" s="58">
        <v>2021</v>
      </c>
      <c r="B66" s="265">
        <f>SUM(B54:B65)</f>
        <v>59601.53</v>
      </c>
      <c r="C66" s="265"/>
      <c r="D66" s="265">
        <f>SUM(D54:D65)</f>
        <v>2762.38</v>
      </c>
      <c r="E66" s="265"/>
      <c r="F66" s="59">
        <f t="shared" ref="F66:K66" si="17">SUM(F54:F65)</f>
        <v>0</v>
      </c>
      <c r="G66" s="71">
        <f t="shared" si="17"/>
        <v>62363.91</v>
      </c>
      <c r="H66" s="64">
        <f t="shared" si="17"/>
        <v>11656.1</v>
      </c>
      <c r="I66" s="63">
        <f t="shared" si="17"/>
        <v>2875.23</v>
      </c>
      <c r="J66" s="63">
        <f t="shared" si="17"/>
        <v>0</v>
      </c>
      <c r="K66" s="79">
        <f t="shared" si="17"/>
        <v>14531.33</v>
      </c>
      <c r="L66" s="164">
        <f t="shared" si="10"/>
        <v>76895.240000000005</v>
      </c>
      <c r="M66" s="165">
        <f>SUM(M54:M65)</f>
        <v>559992</v>
      </c>
      <c r="N66" s="190">
        <f t="shared" si="7"/>
        <v>483096.76</v>
      </c>
    </row>
    <row r="67" spans="1:14">
      <c r="A67" s="169">
        <v>44562</v>
      </c>
      <c r="B67" s="263">
        <v>6798</v>
      </c>
      <c r="C67" s="263"/>
      <c r="D67" s="263">
        <v>0</v>
      </c>
      <c r="E67" s="263"/>
      <c r="F67" s="62">
        <v>0</v>
      </c>
      <c r="G67" s="85">
        <f>SUM(B67:F67)</f>
        <v>6798</v>
      </c>
      <c r="H67" s="62">
        <v>0</v>
      </c>
      <c r="I67" s="62">
        <v>0</v>
      </c>
      <c r="J67" s="62">
        <v>0</v>
      </c>
      <c r="K67" s="87">
        <f t="shared" ref="K67:K78" si="18">SUM(H67:J67)</f>
        <v>0</v>
      </c>
      <c r="L67" s="186">
        <f t="shared" si="10"/>
        <v>6798</v>
      </c>
      <c r="M67" s="89">
        <v>40000</v>
      </c>
      <c r="N67" s="189">
        <f t="shared" ref="N67:N78" si="19">M67-L67</f>
        <v>33202</v>
      </c>
    </row>
    <row r="68" spans="1:14">
      <c r="A68" s="169">
        <v>44593</v>
      </c>
      <c r="B68" s="263">
        <v>3456</v>
      </c>
      <c r="C68" s="263"/>
      <c r="D68" s="263">
        <v>0</v>
      </c>
      <c r="E68" s="263"/>
      <c r="F68" s="62">
        <v>0</v>
      </c>
      <c r="G68" s="85">
        <f>SUM(B68:F68)</f>
        <v>3456</v>
      </c>
      <c r="H68" s="62">
        <v>0</v>
      </c>
      <c r="I68" s="62">
        <v>0</v>
      </c>
      <c r="J68" s="62">
        <v>0</v>
      </c>
      <c r="K68" s="87">
        <f t="shared" si="18"/>
        <v>0</v>
      </c>
      <c r="L68" s="186">
        <f t="shared" si="10"/>
        <v>3456</v>
      </c>
      <c r="M68" s="89">
        <v>40000</v>
      </c>
      <c r="N68" s="189">
        <f t="shared" si="19"/>
        <v>36544</v>
      </c>
    </row>
    <row r="69" spans="1:14">
      <c r="A69" s="169">
        <v>44621</v>
      </c>
      <c r="B69" s="263">
        <v>5794</v>
      </c>
      <c r="C69" s="263"/>
      <c r="D69" s="263">
        <v>0</v>
      </c>
      <c r="E69" s="263"/>
      <c r="F69" s="62">
        <v>0</v>
      </c>
      <c r="G69" s="85">
        <f t="shared" ref="G69:G78" si="20">SUM(B69:F69)</f>
        <v>5794</v>
      </c>
      <c r="H69" s="62">
        <v>2030</v>
      </c>
      <c r="I69" s="62">
        <v>1020</v>
      </c>
      <c r="J69" s="62">
        <v>0</v>
      </c>
      <c r="K69" s="87">
        <f t="shared" si="18"/>
        <v>3050</v>
      </c>
      <c r="L69" s="186">
        <f t="shared" ref="L69:L78" si="21">K69+G69</f>
        <v>8844</v>
      </c>
      <c r="M69" s="89">
        <v>40000</v>
      </c>
      <c r="N69" s="189">
        <f t="shared" si="19"/>
        <v>31156</v>
      </c>
    </row>
    <row r="70" spans="1:14">
      <c r="A70" s="169">
        <v>44652</v>
      </c>
      <c r="B70" s="263">
        <v>5057</v>
      </c>
      <c r="C70" s="263"/>
      <c r="D70" s="263">
        <v>0</v>
      </c>
      <c r="E70" s="263"/>
      <c r="F70" s="62">
        <v>0</v>
      </c>
      <c r="G70" s="85">
        <f t="shared" si="20"/>
        <v>5057</v>
      </c>
      <c r="H70" s="62">
        <v>0</v>
      </c>
      <c r="I70" s="62">
        <v>0</v>
      </c>
      <c r="J70" s="62">
        <v>0</v>
      </c>
      <c r="K70" s="87">
        <f t="shared" si="18"/>
        <v>0</v>
      </c>
      <c r="L70" s="186">
        <f t="shared" si="21"/>
        <v>5057</v>
      </c>
      <c r="M70" s="89">
        <v>40000</v>
      </c>
      <c r="N70" s="189">
        <f t="shared" si="19"/>
        <v>34943</v>
      </c>
    </row>
    <row r="71" spans="1:14">
      <c r="A71" s="169">
        <v>44682</v>
      </c>
      <c r="B71" s="263">
        <v>3685</v>
      </c>
      <c r="C71" s="263"/>
      <c r="D71" s="263">
        <v>1047.42</v>
      </c>
      <c r="E71" s="263"/>
      <c r="F71" s="62">
        <v>0</v>
      </c>
      <c r="G71" s="85">
        <f t="shared" si="20"/>
        <v>4732.42</v>
      </c>
      <c r="H71" s="62">
        <v>3457</v>
      </c>
      <c r="I71" s="62">
        <v>1392</v>
      </c>
      <c r="J71" s="62">
        <v>0</v>
      </c>
      <c r="K71" s="87">
        <f t="shared" si="18"/>
        <v>4849</v>
      </c>
      <c r="L71" s="186">
        <f t="shared" si="21"/>
        <v>9581.42</v>
      </c>
      <c r="M71" s="89">
        <v>40000</v>
      </c>
      <c r="N71" s="189">
        <f t="shared" si="19"/>
        <v>30418.58</v>
      </c>
    </row>
    <row r="72" spans="1:14">
      <c r="A72" s="169">
        <v>44713</v>
      </c>
      <c r="B72" s="263">
        <v>0</v>
      </c>
      <c r="C72" s="263"/>
      <c r="D72" s="263">
        <v>0</v>
      </c>
      <c r="E72" s="263"/>
      <c r="F72" s="62">
        <v>0</v>
      </c>
      <c r="G72" s="85">
        <f t="shared" si="20"/>
        <v>0</v>
      </c>
      <c r="H72" s="62">
        <v>0</v>
      </c>
      <c r="I72" s="62">
        <v>0</v>
      </c>
      <c r="J72" s="62">
        <v>0</v>
      </c>
      <c r="K72" s="87">
        <f t="shared" si="18"/>
        <v>0</v>
      </c>
      <c r="L72" s="186">
        <f t="shared" si="21"/>
        <v>0</v>
      </c>
      <c r="M72" s="89">
        <v>40000</v>
      </c>
      <c r="N72" s="189">
        <f t="shared" si="19"/>
        <v>40000</v>
      </c>
    </row>
    <row r="73" spans="1:14">
      <c r="A73" s="169">
        <v>44743</v>
      </c>
      <c r="B73" s="263">
        <v>0</v>
      </c>
      <c r="C73" s="263"/>
      <c r="D73" s="263">
        <v>0</v>
      </c>
      <c r="E73" s="263"/>
      <c r="F73" s="62">
        <v>0</v>
      </c>
      <c r="G73" s="85">
        <f t="shared" si="20"/>
        <v>0</v>
      </c>
      <c r="H73" s="62">
        <v>0</v>
      </c>
      <c r="I73" s="62">
        <v>0</v>
      </c>
      <c r="J73" s="62">
        <v>0</v>
      </c>
      <c r="K73" s="87">
        <f t="shared" si="18"/>
        <v>0</v>
      </c>
      <c r="L73" s="186">
        <f t="shared" si="21"/>
        <v>0</v>
      </c>
      <c r="M73" s="89">
        <v>40000</v>
      </c>
      <c r="N73" s="189">
        <f t="shared" si="19"/>
        <v>40000</v>
      </c>
    </row>
    <row r="74" spans="1:14">
      <c r="A74" s="169">
        <v>44774</v>
      </c>
      <c r="B74" s="263">
        <v>89</v>
      </c>
      <c r="C74" s="263"/>
      <c r="D74" s="263">
        <v>0</v>
      </c>
      <c r="E74" s="263"/>
      <c r="F74" s="62">
        <v>0</v>
      </c>
      <c r="G74" s="85">
        <f t="shared" si="20"/>
        <v>89</v>
      </c>
      <c r="H74" s="62">
        <v>2765</v>
      </c>
      <c r="I74" s="62">
        <v>0</v>
      </c>
      <c r="J74" s="62">
        <v>0</v>
      </c>
      <c r="K74" s="87">
        <f t="shared" si="18"/>
        <v>2765</v>
      </c>
      <c r="L74" s="186">
        <f t="shared" si="21"/>
        <v>2854</v>
      </c>
      <c r="M74" s="89">
        <v>40000</v>
      </c>
      <c r="N74" s="189">
        <f t="shared" si="19"/>
        <v>37146</v>
      </c>
    </row>
    <row r="75" spans="1:14">
      <c r="A75" s="169">
        <v>44805</v>
      </c>
      <c r="B75" s="263">
        <v>0</v>
      </c>
      <c r="C75" s="263"/>
      <c r="D75" s="263">
        <v>0</v>
      </c>
      <c r="E75" s="263"/>
      <c r="F75" s="62">
        <v>0</v>
      </c>
      <c r="G75" s="85">
        <f t="shared" si="20"/>
        <v>0</v>
      </c>
      <c r="H75" s="62">
        <v>0</v>
      </c>
      <c r="I75" s="62">
        <v>0</v>
      </c>
      <c r="J75" s="62">
        <v>0</v>
      </c>
      <c r="K75" s="87">
        <f t="shared" si="18"/>
        <v>0</v>
      </c>
      <c r="L75" s="186">
        <f t="shared" si="21"/>
        <v>0</v>
      </c>
      <c r="M75" s="89">
        <v>40000</v>
      </c>
      <c r="N75" s="189">
        <f t="shared" si="19"/>
        <v>40000</v>
      </c>
    </row>
    <row r="76" spans="1:14">
      <c r="A76" s="169">
        <v>44835</v>
      </c>
      <c r="B76" s="263">
        <v>0</v>
      </c>
      <c r="C76" s="263"/>
      <c r="D76" s="263">
        <v>0</v>
      </c>
      <c r="E76" s="263"/>
      <c r="F76" s="62">
        <v>0</v>
      </c>
      <c r="G76" s="85">
        <f t="shared" si="20"/>
        <v>0</v>
      </c>
      <c r="H76" s="62">
        <v>0</v>
      </c>
      <c r="I76" s="62">
        <v>0</v>
      </c>
      <c r="J76" s="62">
        <v>0</v>
      </c>
      <c r="K76" s="87">
        <f t="shared" si="18"/>
        <v>0</v>
      </c>
      <c r="L76" s="186">
        <f t="shared" si="21"/>
        <v>0</v>
      </c>
      <c r="M76" s="89">
        <v>40000</v>
      </c>
      <c r="N76" s="189">
        <f t="shared" si="19"/>
        <v>40000</v>
      </c>
    </row>
    <row r="77" spans="1:14">
      <c r="A77" s="169">
        <v>44866</v>
      </c>
      <c r="B77" s="263">
        <v>4104</v>
      </c>
      <c r="C77" s="263"/>
      <c r="D77" s="263">
        <v>0</v>
      </c>
      <c r="E77" s="263"/>
      <c r="F77" s="62">
        <v>0</v>
      </c>
      <c r="G77" s="85">
        <f t="shared" si="20"/>
        <v>4104</v>
      </c>
      <c r="H77" s="62">
        <v>0</v>
      </c>
      <c r="I77" s="62">
        <v>0</v>
      </c>
      <c r="J77" s="62">
        <v>0</v>
      </c>
      <c r="K77" s="87">
        <f t="shared" si="18"/>
        <v>0</v>
      </c>
      <c r="L77" s="186">
        <f t="shared" si="21"/>
        <v>4104</v>
      </c>
      <c r="M77" s="89">
        <v>40000</v>
      </c>
      <c r="N77" s="189">
        <f t="shared" si="19"/>
        <v>35896</v>
      </c>
    </row>
    <row r="78" spans="1:14">
      <c r="A78" s="169">
        <v>44896</v>
      </c>
      <c r="B78" s="263">
        <v>7020</v>
      </c>
      <c r="C78" s="263"/>
      <c r="D78" s="263">
        <v>1932</v>
      </c>
      <c r="E78" s="263"/>
      <c r="F78" s="62">
        <v>0</v>
      </c>
      <c r="G78" s="85">
        <f t="shared" si="20"/>
        <v>8952</v>
      </c>
      <c r="H78" s="62">
        <v>0</v>
      </c>
      <c r="I78" s="62">
        <v>0</v>
      </c>
      <c r="J78" s="62">
        <v>0</v>
      </c>
      <c r="K78" s="87">
        <f t="shared" si="18"/>
        <v>0</v>
      </c>
      <c r="L78" s="186">
        <f t="shared" si="21"/>
        <v>8952</v>
      </c>
      <c r="M78" s="89">
        <v>40000</v>
      </c>
      <c r="N78" s="189">
        <f t="shared" si="19"/>
        <v>31048</v>
      </c>
    </row>
    <row r="79" spans="1:14">
      <c r="A79" s="58">
        <v>2022</v>
      </c>
      <c r="B79" s="265">
        <f>SUM(B67:B78)</f>
        <v>36003</v>
      </c>
      <c r="C79" s="265"/>
      <c r="D79" s="265">
        <f>SUM(D67:D78)</f>
        <v>2979.42</v>
      </c>
      <c r="E79" s="265"/>
      <c r="F79" s="59">
        <f t="shared" ref="F79:K79" si="22">SUM(F67:F78)</f>
        <v>0</v>
      </c>
      <c r="G79" s="71">
        <f t="shared" si="22"/>
        <v>38982.42</v>
      </c>
      <c r="H79" s="64">
        <f t="shared" si="22"/>
        <v>8252</v>
      </c>
      <c r="I79" s="63">
        <f t="shared" si="22"/>
        <v>2412</v>
      </c>
      <c r="J79" s="63">
        <f t="shared" si="22"/>
        <v>0</v>
      </c>
      <c r="K79" s="79">
        <f t="shared" si="22"/>
        <v>10664</v>
      </c>
      <c r="L79" s="164">
        <f>K79+G79</f>
        <v>49646.42</v>
      </c>
      <c r="M79" s="165">
        <f>SUM(M67:M78)</f>
        <v>480000</v>
      </c>
      <c r="N79" s="189">
        <f t="shared" ref="N79" si="23">M79-L79</f>
        <v>430353.58</v>
      </c>
    </row>
    <row r="80" spans="1:14">
      <c r="B80" s="54"/>
      <c r="F80" s="54"/>
      <c r="G80" s="84"/>
      <c r="H80" s="54"/>
      <c r="I80" s="54"/>
      <c r="J80" s="54"/>
      <c r="K80" s="86"/>
      <c r="L80" s="82"/>
      <c r="M80" s="88"/>
      <c r="N80" s="88"/>
    </row>
    <row r="81" spans="1:14">
      <c r="A81" s="66" t="s">
        <v>25</v>
      </c>
      <c r="B81" s="298">
        <f>B24+B25+B26+B27+B40+B53+B66+B79</f>
        <v>487547.37000000011</v>
      </c>
      <c r="C81" s="298"/>
      <c r="D81" s="298">
        <f>D24+D25+D26+D27+D40+D53+D66+D79</f>
        <v>65471.42</v>
      </c>
      <c r="E81" s="298"/>
      <c r="F81" s="229">
        <f>F24+F25+F26+F27+F40+F53+F66+F79</f>
        <v>1057450.46</v>
      </c>
      <c r="G81" s="229">
        <f>G24+G25+G26+G27+G40+G53+G66+G79</f>
        <v>1610469.2499999998</v>
      </c>
      <c r="H81" s="89">
        <f>H26+H25+H24+H27+H40+H53+H66+H79</f>
        <v>227512.5</v>
      </c>
      <c r="I81" s="89">
        <f>I26+I25+I24+I27+I40+I53+I66+I79</f>
        <v>63300.66</v>
      </c>
      <c r="J81" s="89">
        <f>J26+J25+J24+J27+J40+J53+J66+J79</f>
        <v>390270</v>
      </c>
      <c r="K81" s="89">
        <f>K26+K25+K24+K27+K40+K53+K66+K79</f>
        <v>681083.1599999998</v>
      </c>
      <c r="L81" s="83">
        <f>L24+L25+L26+L27+L40+L53+L66+L79</f>
        <v>2291552.41</v>
      </c>
      <c r="M81" s="89">
        <f>M26+M25+M24+M27+M40+M53+M66+M79</f>
        <v>4825952</v>
      </c>
      <c r="N81" s="89">
        <f>N26+N25+N24+N27+N40+N53+N66+N79</f>
        <v>2534399.59</v>
      </c>
    </row>
    <row r="82" spans="1:14">
      <c r="M82" s="46" t="s">
        <v>50</v>
      </c>
      <c r="N82" s="89">
        <f>N81-B85-B86-B87-B88-B89-B90-B91-B92+B94+B95+B96+B97+B98+B99</f>
        <v>2158885.61</v>
      </c>
    </row>
    <row r="83" spans="1:14">
      <c r="M83" s="46"/>
      <c r="N83" s="89"/>
    </row>
    <row r="84" spans="1:14" ht="15" customHeight="1">
      <c r="A84" s="259" t="s">
        <v>28</v>
      </c>
      <c r="B84" s="260"/>
      <c r="D84" s="291" t="s">
        <v>40</v>
      </c>
      <c r="E84" s="292"/>
      <c r="F84" s="292"/>
      <c r="G84" s="292"/>
      <c r="H84" s="161"/>
    </row>
    <row r="85" spans="1:14" ht="15" customHeight="1">
      <c r="A85" s="97">
        <v>2015</v>
      </c>
      <c r="B85" s="65">
        <v>40.200000000000003</v>
      </c>
      <c r="D85" s="118"/>
      <c r="E85" s="119"/>
      <c r="F85" s="119"/>
      <c r="G85" s="119"/>
      <c r="H85" s="119"/>
      <c r="I85" s="119"/>
      <c r="J85" s="119"/>
      <c r="K85" s="120"/>
    </row>
    <row r="86" spans="1:14" ht="15" customHeight="1">
      <c r="A86" s="109">
        <v>2016</v>
      </c>
      <c r="B86" s="61">
        <v>32832.730000000003</v>
      </c>
      <c r="C86" s="109"/>
      <c r="D86" s="42"/>
      <c r="E86" s="106">
        <v>2017</v>
      </c>
      <c r="F86" s="106">
        <v>2018</v>
      </c>
      <c r="G86" s="106">
        <v>2019</v>
      </c>
      <c r="H86" s="106">
        <v>2020</v>
      </c>
      <c r="I86" s="106">
        <v>2021</v>
      </c>
      <c r="J86" s="106">
        <v>2022</v>
      </c>
      <c r="K86" s="124" t="s">
        <v>48</v>
      </c>
    </row>
    <row r="87" spans="1:14" ht="15" customHeight="1">
      <c r="A87" s="109">
        <v>2017</v>
      </c>
      <c r="B87" s="61">
        <v>58533.86</v>
      </c>
      <c r="D87" s="15" t="s">
        <v>83</v>
      </c>
      <c r="E87" s="117">
        <v>71641.881599999993</v>
      </c>
      <c r="F87" s="117">
        <v>133647.984</v>
      </c>
      <c r="G87" s="117">
        <v>117227.62239999999</v>
      </c>
      <c r="H87" s="117">
        <v>117804.99</v>
      </c>
      <c r="I87" s="117">
        <v>125175.2</v>
      </c>
      <c r="J87" s="117">
        <v>148120.29999999999</v>
      </c>
      <c r="K87" s="125">
        <f>SUM(E87:J87)</f>
        <v>713617.97799999989</v>
      </c>
    </row>
    <row r="88" spans="1:14" ht="15" customHeight="1">
      <c r="A88" s="109">
        <v>2018</v>
      </c>
      <c r="B88" s="61">
        <v>66021.39</v>
      </c>
      <c r="D88" s="15" t="s">
        <v>84</v>
      </c>
      <c r="E88" s="117">
        <v>103217.232</v>
      </c>
      <c r="F88" s="117">
        <v>160511.21</v>
      </c>
      <c r="G88" s="117">
        <v>142404.03520000001</v>
      </c>
      <c r="H88" s="117">
        <v>174952.23</v>
      </c>
      <c r="I88" s="117">
        <v>130138.23999999999</v>
      </c>
      <c r="J88" s="117">
        <v>168732.04</v>
      </c>
      <c r="K88" s="125">
        <f t="shared" ref="K88:K98" si="24">SUM(E88:J88)</f>
        <v>879954.98719999997</v>
      </c>
    </row>
    <row r="89" spans="1:14" ht="15" customHeight="1">
      <c r="A89" s="109">
        <v>2019</v>
      </c>
      <c r="B89" s="61">
        <v>72631.259999999995</v>
      </c>
      <c r="D89" s="15" t="s">
        <v>85</v>
      </c>
      <c r="E89" s="117">
        <v>184422.94560000001</v>
      </c>
      <c r="F89" s="117">
        <v>218879.92480000001</v>
      </c>
      <c r="G89" s="117">
        <v>186812.32</v>
      </c>
      <c r="H89" s="117">
        <v>210776.78999999998</v>
      </c>
      <c r="I89" s="117">
        <v>182767.34</v>
      </c>
      <c r="J89" s="117">
        <v>220063.8</v>
      </c>
      <c r="K89" s="125">
        <f t="shared" si="24"/>
        <v>1203723.1203999999</v>
      </c>
    </row>
    <row r="90" spans="1:14" ht="15" customHeight="1">
      <c r="A90" s="109">
        <v>2020</v>
      </c>
      <c r="B90" s="61">
        <v>75195.7</v>
      </c>
      <c r="D90" s="15" t="s">
        <v>86</v>
      </c>
      <c r="E90" s="117">
        <v>240114.48480000001</v>
      </c>
      <c r="F90" s="117">
        <v>245234.62239999999</v>
      </c>
      <c r="G90" s="117">
        <v>221598.6496</v>
      </c>
      <c r="H90" s="117">
        <v>264051.7</v>
      </c>
      <c r="I90" s="117">
        <v>267319.21000000002</v>
      </c>
      <c r="J90" s="117">
        <v>252828.52</v>
      </c>
      <c r="K90" s="125">
        <f t="shared" si="24"/>
        <v>1491147.1868</v>
      </c>
    </row>
    <row r="91" spans="1:14" ht="15" customHeight="1">
      <c r="A91" s="109">
        <v>2021</v>
      </c>
      <c r="B91" s="61">
        <v>62802.69</v>
      </c>
      <c r="D91" s="15" t="s">
        <v>87</v>
      </c>
      <c r="E91" s="117">
        <v>307594.83840000001</v>
      </c>
      <c r="F91" s="117">
        <v>289271.40639999998</v>
      </c>
      <c r="G91" s="117">
        <v>257961.05919999999</v>
      </c>
      <c r="H91" s="117">
        <v>297136.25</v>
      </c>
      <c r="I91" s="117">
        <v>311530.37</v>
      </c>
      <c r="J91" s="117">
        <v>285906.65000000002</v>
      </c>
      <c r="K91" s="125">
        <f t="shared" si="24"/>
        <v>1749400.574</v>
      </c>
    </row>
    <row r="92" spans="1:14" ht="15" customHeight="1">
      <c r="A92" s="109">
        <v>2022</v>
      </c>
      <c r="B92" s="61">
        <v>57756.150000000009</v>
      </c>
      <c r="D92" s="15" t="s">
        <v>88</v>
      </c>
      <c r="E92" s="117">
        <v>343369.848</v>
      </c>
      <c r="F92" s="117">
        <v>357936.80320000002</v>
      </c>
      <c r="G92" s="117">
        <v>299351.77119999996</v>
      </c>
      <c r="H92" s="117">
        <v>297781.21000000002</v>
      </c>
      <c r="I92" s="117">
        <v>316938.55999999994</v>
      </c>
      <c r="J92" s="117">
        <v>264668.87</v>
      </c>
      <c r="K92" s="125">
        <f t="shared" si="24"/>
        <v>1880047.0624000002</v>
      </c>
    </row>
    <row r="93" spans="1:14" ht="15" customHeight="1" thickBot="1">
      <c r="A93" s="296" t="s">
        <v>29</v>
      </c>
      <c r="B93" s="297"/>
      <c r="D93" s="15" t="s">
        <v>89</v>
      </c>
      <c r="E93" s="117">
        <v>294802.82400000002</v>
      </c>
      <c r="F93" s="117">
        <v>296439.69280000002</v>
      </c>
      <c r="G93" s="117">
        <v>297071.33919999999</v>
      </c>
      <c r="H93" s="117">
        <v>315992.53000000003</v>
      </c>
      <c r="I93" s="117">
        <v>266058.59999999998</v>
      </c>
      <c r="J93" s="117">
        <v>261981.65</v>
      </c>
      <c r="K93" s="125">
        <f t="shared" si="24"/>
        <v>1732346.6359999999</v>
      </c>
    </row>
    <row r="94" spans="1:14" ht="15" customHeight="1">
      <c r="A94" s="170">
        <v>2017</v>
      </c>
      <c r="B94" s="171">
        <v>16050</v>
      </c>
      <c r="D94" s="15" t="s">
        <v>90</v>
      </c>
      <c r="E94" s="117">
        <v>276616.23360000004</v>
      </c>
      <c r="F94" s="117">
        <v>274808.21919999999</v>
      </c>
      <c r="G94" s="117">
        <v>312297.64480000001</v>
      </c>
      <c r="H94" s="117">
        <v>305916.78999999998</v>
      </c>
      <c r="I94" s="117">
        <v>272449.84999999998</v>
      </c>
      <c r="J94" s="117">
        <v>237370.82</v>
      </c>
      <c r="K94" s="125">
        <f t="shared" si="24"/>
        <v>1679459.5576000002</v>
      </c>
    </row>
    <row r="95" spans="1:14" ht="15" customHeight="1">
      <c r="A95" s="172">
        <v>2018</v>
      </c>
      <c r="B95" s="173">
        <v>17550</v>
      </c>
      <c r="D95" s="15" t="s">
        <v>91</v>
      </c>
      <c r="E95" s="117">
        <v>224961.41279999999</v>
      </c>
      <c r="F95" s="117">
        <v>278233.408</v>
      </c>
      <c r="G95" s="117">
        <v>258465.98560000001</v>
      </c>
      <c r="H95" s="117">
        <v>252311.87</v>
      </c>
      <c r="I95" s="117">
        <v>253404.39</v>
      </c>
      <c r="J95" s="117">
        <v>221895.80000000002</v>
      </c>
      <c r="K95" s="125">
        <f t="shared" si="24"/>
        <v>1489272.8663999999</v>
      </c>
    </row>
    <row r="96" spans="1:14" ht="15" customHeight="1">
      <c r="A96" s="172">
        <v>2019</v>
      </c>
      <c r="B96" s="173">
        <v>12300</v>
      </c>
      <c r="D96" s="15" t="s">
        <v>92</v>
      </c>
      <c r="E96" s="117">
        <v>227837.5344</v>
      </c>
      <c r="F96" s="117">
        <v>179731.15359999999</v>
      </c>
      <c r="G96" s="117">
        <v>229214.89120000001</v>
      </c>
      <c r="H96" s="117">
        <v>165085.15</v>
      </c>
      <c r="I96" s="117">
        <v>165984.75</v>
      </c>
      <c r="J96" s="117">
        <v>181832.75</v>
      </c>
      <c r="K96" s="125">
        <f t="shared" si="24"/>
        <v>1149686.2291999999</v>
      </c>
    </row>
    <row r="97" spans="1:11" ht="15" customHeight="1">
      <c r="A97" s="172">
        <v>2020</v>
      </c>
      <c r="B97" s="173">
        <v>1900</v>
      </c>
      <c r="D97" s="15" t="s">
        <v>93</v>
      </c>
      <c r="E97" s="117">
        <v>136140.03840000002</v>
      </c>
      <c r="F97" s="117">
        <v>146292.016</v>
      </c>
      <c r="G97" s="117">
        <v>134938.54694560001</v>
      </c>
      <c r="H97" s="117">
        <v>143566.1</v>
      </c>
      <c r="I97" s="117">
        <v>151161.73000000001</v>
      </c>
      <c r="J97" s="117">
        <v>109463.59</v>
      </c>
      <c r="K97" s="125">
        <f t="shared" si="24"/>
        <v>821562.02134560002</v>
      </c>
    </row>
    <row r="98" spans="1:11" ht="15" customHeight="1">
      <c r="A98" s="172">
        <v>2021</v>
      </c>
      <c r="B98" s="173">
        <v>1050</v>
      </c>
      <c r="D98" s="15" t="s">
        <v>94</v>
      </c>
      <c r="E98" s="117">
        <v>129102.16799999999</v>
      </c>
      <c r="F98" s="117">
        <v>85459.71</v>
      </c>
      <c r="G98" s="117">
        <v>83674.489600000001</v>
      </c>
      <c r="H98" s="117">
        <v>93847.77</v>
      </c>
      <c r="I98" s="117">
        <v>109998.28</v>
      </c>
      <c r="J98" s="117">
        <v>77670.25</v>
      </c>
      <c r="K98" s="125">
        <f t="shared" si="24"/>
        <v>579752.66760000004</v>
      </c>
    </row>
    <row r="99" spans="1:11" ht="15" customHeight="1" thickBot="1">
      <c r="A99" s="174">
        <v>2022</v>
      </c>
      <c r="B99" s="185">
        <v>1450</v>
      </c>
      <c r="D99" s="42"/>
      <c r="K99" s="50"/>
    </row>
    <row r="100" spans="1:11" ht="15" customHeight="1">
      <c r="D100" s="107" t="s">
        <v>45</v>
      </c>
      <c r="E100" s="108">
        <f t="shared" ref="E100:K100" si="25">SUM(E87:E98)</f>
        <v>2539821.4416</v>
      </c>
      <c r="F100" s="108">
        <f t="shared" si="25"/>
        <v>2666446.1503999997</v>
      </c>
      <c r="G100" s="108">
        <f t="shared" si="25"/>
        <v>2541018.3549456</v>
      </c>
      <c r="H100" s="108">
        <f t="shared" si="25"/>
        <v>2639223.38</v>
      </c>
      <c r="I100" s="108">
        <f t="shared" si="25"/>
        <v>2552926.52</v>
      </c>
      <c r="J100" s="108">
        <f t="shared" si="25"/>
        <v>2430535.04</v>
      </c>
      <c r="K100" s="126">
        <f t="shared" si="25"/>
        <v>15369970.886945602</v>
      </c>
    </row>
  </sheetData>
  <mergeCells count="130">
    <mergeCell ref="D74:E74"/>
    <mergeCell ref="B75:C75"/>
    <mergeCell ref="D75:E75"/>
    <mergeCell ref="B76:C76"/>
    <mergeCell ref="D76:E76"/>
    <mergeCell ref="B77:C77"/>
    <mergeCell ref="D77:E77"/>
    <mergeCell ref="B78:C78"/>
    <mergeCell ref="D78:E78"/>
    <mergeCell ref="R6:S6"/>
    <mergeCell ref="A21:P21"/>
    <mergeCell ref="B22:G22"/>
    <mergeCell ref="H22:K22"/>
    <mergeCell ref="B23:C23"/>
    <mergeCell ref="D23:E23"/>
    <mergeCell ref="A1:P1"/>
    <mergeCell ref="A3:H3"/>
    <mergeCell ref="I3:L3"/>
    <mergeCell ref="M3:P3"/>
    <mergeCell ref="B4:C4"/>
    <mergeCell ref="D4:F4"/>
    <mergeCell ref="G4:H4"/>
    <mergeCell ref="B27:C27"/>
    <mergeCell ref="D27:E27"/>
    <mergeCell ref="B28:C28"/>
    <mergeCell ref="D28:E28"/>
    <mergeCell ref="B29:C29"/>
    <mergeCell ref="D29:E29"/>
    <mergeCell ref="B24:C24"/>
    <mergeCell ref="D24:E24"/>
    <mergeCell ref="B25:C25"/>
    <mergeCell ref="D25:E25"/>
    <mergeCell ref="B26:C26"/>
    <mergeCell ref="D26:E26"/>
    <mergeCell ref="B33:C33"/>
    <mergeCell ref="D33:E33"/>
    <mergeCell ref="B34:C34"/>
    <mergeCell ref="D34:E34"/>
    <mergeCell ref="B35:C35"/>
    <mergeCell ref="D35:E35"/>
    <mergeCell ref="B30:C30"/>
    <mergeCell ref="D30:E30"/>
    <mergeCell ref="B31:C31"/>
    <mergeCell ref="D31:E31"/>
    <mergeCell ref="B32:C32"/>
    <mergeCell ref="D32:E32"/>
    <mergeCell ref="B39:C39"/>
    <mergeCell ref="D39:E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 ref="B51:C51"/>
    <mergeCell ref="D51:E51"/>
    <mergeCell ref="B52:C52"/>
    <mergeCell ref="D52:E52"/>
    <mergeCell ref="B53:C53"/>
    <mergeCell ref="D53:E53"/>
    <mergeCell ref="B48:C48"/>
    <mergeCell ref="D48:E48"/>
    <mergeCell ref="B49:C49"/>
    <mergeCell ref="D49:E49"/>
    <mergeCell ref="B50:C50"/>
    <mergeCell ref="D50:E50"/>
    <mergeCell ref="B57:C57"/>
    <mergeCell ref="D57:E57"/>
    <mergeCell ref="B58:C58"/>
    <mergeCell ref="D58:E58"/>
    <mergeCell ref="B59:C59"/>
    <mergeCell ref="D59:E59"/>
    <mergeCell ref="B54:C54"/>
    <mergeCell ref="D54:E54"/>
    <mergeCell ref="B55:C55"/>
    <mergeCell ref="D55:E55"/>
    <mergeCell ref="B56:C56"/>
    <mergeCell ref="D56:E56"/>
    <mergeCell ref="B63:C63"/>
    <mergeCell ref="D63:E63"/>
    <mergeCell ref="B64:C64"/>
    <mergeCell ref="D64:E64"/>
    <mergeCell ref="B65:C65"/>
    <mergeCell ref="D65:E65"/>
    <mergeCell ref="B60:C60"/>
    <mergeCell ref="D60:E60"/>
    <mergeCell ref="B61:C61"/>
    <mergeCell ref="D61:E61"/>
    <mergeCell ref="B62:C62"/>
    <mergeCell ref="D62:E62"/>
    <mergeCell ref="A93:B93"/>
    <mergeCell ref="B79:C79"/>
    <mergeCell ref="D79:E79"/>
    <mergeCell ref="B66:C66"/>
    <mergeCell ref="D66:E66"/>
    <mergeCell ref="B81:C81"/>
    <mergeCell ref="D81:E81"/>
    <mergeCell ref="A84:B84"/>
    <mergeCell ref="D84:G84"/>
    <mergeCell ref="B67:C67"/>
    <mergeCell ref="D67:E67"/>
    <mergeCell ref="B68:C68"/>
    <mergeCell ref="D68:E68"/>
    <mergeCell ref="B69:C69"/>
    <mergeCell ref="D69:E69"/>
    <mergeCell ref="B70:C70"/>
    <mergeCell ref="D70:E70"/>
    <mergeCell ref="B71:C71"/>
    <mergeCell ref="D71:E71"/>
    <mergeCell ref="B72:C72"/>
    <mergeCell ref="D72:E72"/>
    <mergeCell ref="B73:C73"/>
    <mergeCell ref="D73:E73"/>
    <mergeCell ref="B74:C74"/>
  </mergeCells>
  <conditionalFormatting sqref="N82:N83">
    <cfRule type="colorScale" priority="5">
      <colorScale>
        <cfvo type="min"/>
        <cfvo type="max"/>
        <color rgb="FFFCFCFF"/>
        <color rgb="FF63BE7B"/>
      </colorScale>
    </cfRule>
  </conditionalFormatting>
  <pageMargins left="0.75" right="0.45" top="0.75" bottom="0.75" header="0.3" footer="0.3"/>
  <pageSetup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DEE2D-57AA-4102-B126-96955C844D0A}">
  <sheetPr>
    <pageSetUpPr fitToPage="1"/>
  </sheetPr>
  <dimension ref="A1:AE114"/>
  <sheetViews>
    <sheetView showGridLines="0" zoomScale="90" zoomScaleNormal="90" workbookViewId="0">
      <selection activeCell="N94" sqref="N94"/>
    </sheetView>
  </sheetViews>
  <sheetFormatPr defaultRowHeight="15"/>
  <cols>
    <col min="1" max="1" width="14.42578125" customWidth="1"/>
    <col min="2" max="2" width="14.42578125" bestFit="1" customWidth="1"/>
    <col min="3" max="3" width="10.28515625" bestFit="1" customWidth="1"/>
    <col min="4" max="4" width="13.42578125" bestFit="1" customWidth="1"/>
    <col min="5" max="5" width="14.42578125" customWidth="1"/>
    <col min="6" max="6" width="14.7109375" customWidth="1"/>
    <col min="7" max="7" width="16.7109375" customWidth="1"/>
    <col min="8" max="8" width="16.140625" customWidth="1"/>
    <col min="9" max="9" width="15" customWidth="1"/>
    <col min="10" max="10" width="17.28515625" customWidth="1"/>
    <col min="11" max="11" width="16.85546875" customWidth="1"/>
    <col min="12" max="12" width="20.28515625" customWidth="1"/>
    <col min="13" max="13" width="14.28515625" customWidth="1"/>
    <col min="14" max="14" width="15.42578125" customWidth="1"/>
    <col min="15" max="15" width="11.28515625" customWidth="1"/>
    <col min="16" max="16" width="17.140625" customWidth="1"/>
    <col min="17" max="17" width="15" bestFit="1" customWidth="1"/>
    <col min="18" max="18" width="13" customWidth="1"/>
    <col min="19" max="19" width="12.28515625" bestFit="1" customWidth="1"/>
    <col min="20" max="20" width="6.42578125" customWidth="1"/>
    <col min="21" max="22" width="4.140625" customWidth="1"/>
    <col min="23" max="23" width="11.42578125" customWidth="1"/>
    <col min="24" max="24" width="12" bestFit="1" customWidth="1"/>
    <col min="25" max="25" width="12.42578125" bestFit="1" customWidth="1"/>
    <col min="26" max="26" width="2" customWidth="1"/>
    <col min="27" max="27" width="18.42578125" customWidth="1"/>
    <col min="28" max="28" width="14.28515625" customWidth="1"/>
    <col min="29" max="29" width="10.7109375" bestFit="1" customWidth="1"/>
    <col min="30" max="31" width="10.5703125" bestFit="1" customWidth="1"/>
  </cols>
  <sheetData>
    <row r="1" spans="1:31" ht="32.25">
      <c r="A1" s="269" t="s">
        <v>124</v>
      </c>
      <c r="B1" s="270"/>
      <c r="C1" s="270"/>
      <c r="D1" s="270"/>
      <c r="E1" s="270"/>
      <c r="F1" s="270"/>
      <c r="G1" s="270"/>
      <c r="H1" s="270"/>
      <c r="I1" s="270"/>
      <c r="J1" s="270"/>
      <c r="K1" s="270"/>
      <c r="L1" s="270"/>
      <c r="M1" s="270"/>
      <c r="N1" s="270"/>
      <c r="O1" s="270"/>
      <c r="P1" s="271"/>
    </row>
    <row r="2" spans="1:31" ht="24.75" thickBot="1">
      <c r="A2" s="1"/>
      <c r="B2" s="2"/>
      <c r="C2" s="2"/>
      <c r="D2" s="2"/>
      <c r="E2" s="2"/>
      <c r="F2" s="3"/>
      <c r="G2" s="3"/>
      <c r="H2" s="3"/>
      <c r="I2" s="3"/>
      <c r="J2" s="3"/>
      <c r="K2" s="4"/>
      <c r="L2" s="4"/>
    </row>
    <row r="3" spans="1:31" ht="20.25" thickBot="1">
      <c r="A3" s="272" t="s">
        <v>114</v>
      </c>
      <c r="B3" s="273"/>
      <c r="C3" s="273"/>
      <c r="D3" s="273"/>
      <c r="E3" s="273"/>
      <c r="F3" s="273"/>
      <c r="G3" s="273"/>
      <c r="H3" s="273"/>
      <c r="I3" s="274" t="s">
        <v>2</v>
      </c>
      <c r="J3" s="299"/>
      <c r="K3" s="299"/>
      <c r="L3" s="300"/>
      <c r="M3" s="274" t="s">
        <v>3</v>
      </c>
      <c r="N3" s="299"/>
      <c r="O3" s="299"/>
      <c r="P3" s="301"/>
    </row>
    <row r="4" spans="1:31">
      <c r="A4" s="51"/>
      <c r="B4" s="278" t="s">
        <v>4</v>
      </c>
      <c r="C4" s="279"/>
      <c r="D4" s="278" t="s">
        <v>5</v>
      </c>
      <c r="E4" s="280"/>
      <c r="F4" s="279"/>
      <c r="G4" s="280" t="s">
        <v>11</v>
      </c>
      <c r="H4" s="279"/>
      <c r="I4" s="6"/>
      <c r="J4" s="52"/>
      <c r="K4" s="52"/>
      <c r="L4" s="53"/>
      <c r="M4" s="6"/>
      <c r="N4" s="52"/>
      <c r="O4" s="52"/>
      <c r="P4" s="53"/>
      <c r="R4" s="236"/>
      <c r="S4" s="236"/>
      <c r="T4" s="236"/>
      <c r="U4" s="236"/>
      <c r="V4" s="236"/>
    </row>
    <row r="5" spans="1:31">
      <c r="A5" s="8"/>
      <c r="B5" s="9">
        <v>1</v>
      </c>
      <c r="C5" s="10">
        <v>3</v>
      </c>
      <c r="D5" s="9">
        <v>23</v>
      </c>
      <c r="E5" s="11">
        <v>6</v>
      </c>
      <c r="F5" s="10" t="s">
        <v>7</v>
      </c>
      <c r="G5" s="12" t="s">
        <v>4</v>
      </c>
      <c r="H5" s="13" t="s">
        <v>5</v>
      </c>
      <c r="I5" s="8"/>
      <c r="J5" s="12" t="s">
        <v>4</v>
      </c>
      <c r="K5" s="12" t="s">
        <v>5</v>
      </c>
      <c r="L5" s="14" t="s">
        <v>8</v>
      </c>
      <c r="M5" s="8"/>
      <c r="N5" s="12" t="s">
        <v>9</v>
      </c>
      <c r="O5" s="12" t="s">
        <v>10</v>
      </c>
      <c r="P5" s="14" t="s">
        <v>11</v>
      </c>
      <c r="Q5" s="235"/>
      <c r="R5" s="236"/>
      <c r="S5" s="236"/>
      <c r="T5" s="236"/>
      <c r="U5" s="236"/>
      <c r="V5" s="236"/>
    </row>
    <row r="6" spans="1:31" ht="15" customHeight="1">
      <c r="A6" s="15">
        <v>44927</v>
      </c>
      <c r="B6" s="16">
        <v>1515552</v>
      </c>
      <c r="C6" s="16">
        <v>17194</v>
      </c>
      <c r="D6" s="17">
        <v>301204</v>
      </c>
      <c r="E6" s="17">
        <v>273800</v>
      </c>
      <c r="F6" s="17">
        <v>1847000</v>
      </c>
      <c r="G6" s="18">
        <f t="shared" ref="G6:G17" si="0">B6+C6</f>
        <v>1532746</v>
      </c>
      <c r="H6" s="129">
        <f t="shared" ref="H6:H17" si="1">D6+E6+F6</f>
        <v>2422004</v>
      </c>
      <c r="I6" s="15">
        <v>44927</v>
      </c>
      <c r="J6" s="20">
        <f t="shared" ref="J6:J17" si="2">G6*0.06525</f>
        <v>100011.6765</v>
      </c>
      <c r="K6" s="21">
        <f t="shared" ref="K6:K17" si="3">H6*0.06225</f>
        <v>150769.74900000001</v>
      </c>
      <c r="L6" s="22">
        <f t="shared" ref="L6:L17" si="4">SUM(J6:K6)</f>
        <v>250781.42550000001</v>
      </c>
      <c r="M6" s="15">
        <v>44927</v>
      </c>
      <c r="N6" s="23">
        <v>1303899.3369999989</v>
      </c>
      <c r="O6" s="23">
        <v>115130.79899999998</v>
      </c>
      <c r="P6" s="24">
        <f t="shared" ref="P6:P17" si="5">SUM(N6:O6)</f>
        <v>1419030.1359999988</v>
      </c>
      <c r="Q6" s="175"/>
      <c r="R6" s="303"/>
      <c r="S6" s="303"/>
      <c r="T6" s="236"/>
      <c r="U6" s="236"/>
      <c r="V6" s="236"/>
      <c r="X6" s="155"/>
      <c r="Y6" s="155"/>
      <c r="AA6" s="155"/>
      <c r="AB6" s="155"/>
      <c r="AD6" s="155"/>
      <c r="AE6" s="155"/>
    </row>
    <row r="7" spans="1:31">
      <c r="A7" s="15">
        <v>44958</v>
      </c>
      <c r="B7" s="16">
        <v>1572015</v>
      </c>
      <c r="C7" s="16">
        <v>15553</v>
      </c>
      <c r="D7" s="17">
        <v>251149</v>
      </c>
      <c r="E7" s="17">
        <v>104600</v>
      </c>
      <c r="F7" s="17">
        <v>1962600</v>
      </c>
      <c r="G7" s="18">
        <f t="shared" si="0"/>
        <v>1587568</v>
      </c>
      <c r="H7" s="129">
        <f t="shared" si="1"/>
        <v>2318349</v>
      </c>
      <c r="I7" s="15">
        <v>44958</v>
      </c>
      <c r="J7" s="20">
        <f t="shared" si="2"/>
        <v>103588.81200000001</v>
      </c>
      <c r="K7" s="21">
        <f t="shared" si="3"/>
        <v>144317.22524999999</v>
      </c>
      <c r="L7" s="22">
        <f t="shared" si="4"/>
        <v>247906.03724999999</v>
      </c>
      <c r="M7" s="15">
        <v>44958</v>
      </c>
      <c r="N7" s="23">
        <v>2291939.6039999998</v>
      </c>
      <c r="O7" s="23">
        <v>430340.91799999995</v>
      </c>
      <c r="P7" s="24">
        <f t="shared" si="5"/>
        <v>2722280.5219999999</v>
      </c>
      <c r="Q7" s="175"/>
      <c r="R7" s="236"/>
      <c r="S7" s="236"/>
      <c r="T7" s="236"/>
      <c r="U7" s="236"/>
      <c r="V7" s="236"/>
      <c r="X7" s="155"/>
      <c r="Y7" s="155"/>
      <c r="AA7" s="155"/>
      <c r="AB7" s="155"/>
      <c r="AD7" s="155"/>
      <c r="AE7" s="155"/>
    </row>
    <row r="8" spans="1:31">
      <c r="A8" s="15">
        <v>44986</v>
      </c>
      <c r="B8" s="16">
        <v>1358357</v>
      </c>
      <c r="C8" s="16">
        <v>15238</v>
      </c>
      <c r="D8" s="17">
        <v>301309</v>
      </c>
      <c r="E8" s="17">
        <v>285200</v>
      </c>
      <c r="F8" s="17">
        <v>1888600</v>
      </c>
      <c r="G8" s="18">
        <f t="shared" si="0"/>
        <v>1373595</v>
      </c>
      <c r="H8" s="129">
        <f t="shared" si="1"/>
        <v>2475109</v>
      </c>
      <c r="I8" s="15">
        <v>44986</v>
      </c>
      <c r="J8" s="20">
        <f t="shared" si="2"/>
        <v>89627.07375000001</v>
      </c>
      <c r="K8" s="21">
        <f t="shared" si="3"/>
        <v>154075.53524999999</v>
      </c>
      <c r="L8" s="22">
        <f t="shared" si="4"/>
        <v>243702.609</v>
      </c>
      <c r="M8" s="15">
        <v>44986</v>
      </c>
      <c r="N8" s="23">
        <v>2779201.7159999982</v>
      </c>
      <c r="O8" s="23">
        <v>397379.04</v>
      </c>
      <c r="P8" s="24">
        <f t="shared" si="5"/>
        <v>3176580.7559999982</v>
      </c>
      <c r="Q8" s="175"/>
      <c r="R8" s="236"/>
      <c r="S8" s="236"/>
      <c r="T8" s="236"/>
      <c r="U8" s="236"/>
      <c r="V8" s="236"/>
      <c r="X8" s="155"/>
      <c r="Y8" s="155"/>
      <c r="AA8" s="155"/>
      <c r="AB8" s="155"/>
      <c r="AC8" s="155"/>
      <c r="AD8" s="155"/>
      <c r="AE8" s="155"/>
    </row>
    <row r="9" spans="1:31">
      <c r="A9" s="15">
        <v>45017</v>
      </c>
      <c r="B9" s="16">
        <v>1363387</v>
      </c>
      <c r="C9" s="16">
        <v>14336</v>
      </c>
      <c r="D9" s="17">
        <v>245883</v>
      </c>
      <c r="E9" s="17">
        <v>112800</v>
      </c>
      <c r="F9" s="17">
        <v>2706200</v>
      </c>
      <c r="G9" s="18">
        <f t="shared" si="0"/>
        <v>1377723</v>
      </c>
      <c r="H9" s="129">
        <f t="shared" si="1"/>
        <v>3064883</v>
      </c>
      <c r="I9" s="15">
        <v>45017</v>
      </c>
      <c r="J9" s="20">
        <f t="shared" si="2"/>
        <v>89896.425750000009</v>
      </c>
      <c r="K9" s="21">
        <f t="shared" si="3"/>
        <v>190788.96674999999</v>
      </c>
      <c r="L9" s="22">
        <f t="shared" si="4"/>
        <v>280685.39250000002</v>
      </c>
      <c r="M9" s="15">
        <v>45017</v>
      </c>
      <c r="N9" s="23">
        <v>3605760.6369999992</v>
      </c>
      <c r="O9" s="23">
        <v>815417.25600000017</v>
      </c>
      <c r="P9" s="24">
        <f>SUM(N9:O9)</f>
        <v>4421177.8929999992</v>
      </c>
      <c r="Q9" s="175"/>
      <c r="R9" s="236"/>
      <c r="S9" s="237"/>
      <c r="T9" s="236"/>
      <c r="U9" s="236"/>
      <c r="V9" s="236"/>
      <c r="X9" s="155"/>
      <c r="Y9" s="155"/>
      <c r="AA9" s="155"/>
      <c r="AB9" s="155"/>
      <c r="AC9" s="155"/>
      <c r="AD9" s="155"/>
      <c r="AE9" s="155"/>
    </row>
    <row r="10" spans="1:31">
      <c r="A10" s="15">
        <v>45047</v>
      </c>
      <c r="B10" s="16">
        <v>1279923</v>
      </c>
      <c r="C10" s="16">
        <v>12635</v>
      </c>
      <c r="D10" s="17">
        <v>275433</v>
      </c>
      <c r="E10" s="17">
        <v>258400</v>
      </c>
      <c r="F10" s="17">
        <v>1829200</v>
      </c>
      <c r="G10" s="18">
        <f t="shared" si="0"/>
        <v>1292558</v>
      </c>
      <c r="H10" s="129">
        <f t="shared" si="1"/>
        <v>2363033</v>
      </c>
      <c r="I10" s="15">
        <v>45047</v>
      </c>
      <c r="J10" s="20">
        <f t="shared" si="2"/>
        <v>84339.409500000009</v>
      </c>
      <c r="K10" s="21">
        <f t="shared" si="3"/>
        <v>147098.80424999999</v>
      </c>
      <c r="L10" s="22">
        <f t="shared" si="4"/>
        <v>231438.21375</v>
      </c>
      <c r="M10" s="15">
        <v>45047</v>
      </c>
      <c r="N10" s="23">
        <v>3693703.9330000011</v>
      </c>
      <c r="O10" s="23">
        <v>795607.3</v>
      </c>
      <c r="P10" s="24">
        <f t="shared" si="5"/>
        <v>4489311.2330000009</v>
      </c>
      <c r="Q10" s="175"/>
      <c r="R10" s="236"/>
      <c r="S10" s="237"/>
      <c r="T10" s="236"/>
      <c r="U10" s="236"/>
      <c r="V10" s="236"/>
      <c r="X10" s="155"/>
      <c r="Y10" s="155"/>
      <c r="AA10" s="155"/>
      <c r="AB10" s="155"/>
    </row>
    <row r="11" spans="1:31">
      <c r="A11" s="15">
        <v>45078</v>
      </c>
      <c r="B11" s="16">
        <v>1231974</v>
      </c>
      <c r="C11" s="16">
        <v>13429</v>
      </c>
      <c r="D11" s="17">
        <v>239710</v>
      </c>
      <c r="E11" s="17">
        <v>216200</v>
      </c>
      <c r="F11" s="17">
        <v>2380400</v>
      </c>
      <c r="G11" s="18">
        <f t="shared" si="0"/>
        <v>1245403</v>
      </c>
      <c r="H11" s="129">
        <f t="shared" si="1"/>
        <v>2836310</v>
      </c>
      <c r="I11" s="15">
        <v>45078</v>
      </c>
      <c r="J11" s="20">
        <f t="shared" si="2"/>
        <v>81262.545750000005</v>
      </c>
      <c r="K11" s="21">
        <f t="shared" si="3"/>
        <v>176560.29749999999</v>
      </c>
      <c r="L11" s="22">
        <f t="shared" si="4"/>
        <v>257822.84324999998</v>
      </c>
      <c r="M11" s="15">
        <v>45078</v>
      </c>
      <c r="N11" s="23">
        <v>4102627.7309999987</v>
      </c>
      <c r="O11" s="23">
        <v>703669.57399999991</v>
      </c>
      <c r="P11" s="24">
        <f t="shared" si="5"/>
        <v>4806297.3049999988</v>
      </c>
      <c r="Q11" s="175"/>
      <c r="R11" s="238"/>
      <c r="S11" s="236"/>
      <c r="T11" s="236"/>
      <c r="U11" s="236"/>
      <c r="V11" s="236"/>
      <c r="X11" s="155"/>
      <c r="Y11" s="155"/>
      <c r="AA11" s="155"/>
      <c r="AB11" s="155"/>
    </row>
    <row r="12" spans="1:31">
      <c r="A12" s="15">
        <v>45108</v>
      </c>
      <c r="B12" s="16">
        <v>1542463</v>
      </c>
      <c r="C12" s="16">
        <v>16671</v>
      </c>
      <c r="D12" s="17">
        <v>226456</v>
      </c>
      <c r="E12" s="17">
        <v>114000</v>
      </c>
      <c r="F12" s="17">
        <v>2161800</v>
      </c>
      <c r="G12" s="18">
        <f t="shared" si="0"/>
        <v>1559134</v>
      </c>
      <c r="H12" s="129">
        <f t="shared" si="1"/>
        <v>2502256</v>
      </c>
      <c r="I12" s="15">
        <v>45108</v>
      </c>
      <c r="J12" s="20">
        <f t="shared" si="2"/>
        <v>101733.4935</v>
      </c>
      <c r="K12" s="21">
        <f t="shared" si="3"/>
        <v>155765.43599999999</v>
      </c>
      <c r="L12" s="22">
        <f t="shared" si="4"/>
        <v>257498.92949999997</v>
      </c>
      <c r="M12" s="15">
        <v>45108</v>
      </c>
      <c r="N12" s="23">
        <v>4117302.4450000017</v>
      </c>
      <c r="O12" s="23">
        <v>1014622.9840000001</v>
      </c>
      <c r="P12" s="24">
        <f t="shared" si="5"/>
        <v>5131925.4290000014</v>
      </c>
      <c r="Q12" s="175"/>
      <c r="R12" s="238"/>
      <c r="S12" s="237"/>
      <c r="T12" s="236"/>
      <c r="U12" s="236"/>
      <c r="V12" s="236"/>
      <c r="X12" s="155"/>
      <c r="Y12" s="155"/>
      <c r="AA12" s="155"/>
      <c r="AB12" s="155"/>
    </row>
    <row r="13" spans="1:31">
      <c r="A13" s="15">
        <v>45139</v>
      </c>
      <c r="B13" s="16">
        <v>1411976</v>
      </c>
      <c r="C13" s="16">
        <v>16767</v>
      </c>
      <c r="D13" s="17">
        <v>283852</v>
      </c>
      <c r="E13" s="17">
        <v>226800</v>
      </c>
      <c r="F13" s="17">
        <v>1989800</v>
      </c>
      <c r="G13" s="18">
        <f t="shared" si="0"/>
        <v>1428743</v>
      </c>
      <c r="H13" s="129">
        <f t="shared" si="1"/>
        <v>2500452</v>
      </c>
      <c r="I13" s="15">
        <v>45139</v>
      </c>
      <c r="J13" s="20">
        <f t="shared" si="2"/>
        <v>93225.480750000002</v>
      </c>
      <c r="K13" s="21">
        <f t="shared" si="3"/>
        <v>155653.13699999999</v>
      </c>
      <c r="L13" s="22">
        <f t="shared" si="4"/>
        <v>248878.61774999998</v>
      </c>
      <c r="M13" s="15">
        <v>45139</v>
      </c>
      <c r="N13" s="23">
        <v>3382511.1649999982</v>
      </c>
      <c r="O13" s="23">
        <v>565444.99199999974</v>
      </c>
      <c r="P13" s="24">
        <f t="shared" si="5"/>
        <v>3947956.1569999978</v>
      </c>
      <c r="Q13" s="175"/>
      <c r="R13" s="236"/>
      <c r="S13" s="236"/>
      <c r="T13" s="236"/>
      <c r="U13" s="236"/>
      <c r="V13" s="236"/>
      <c r="X13" s="155"/>
      <c r="Y13" s="155"/>
      <c r="AA13" s="155"/>
      <c r="AB13" s="155"/>
    </row>
    <row r="14" spans="1:31">
      <c r="A14" s="15">
        <v>45170</v>
      </c>
      <c r="B14" s="16">
        <v>1384002</v>
      </c>
      <c r="C14" s="16">
        <v>15156</v>
      </c>
      <c r="D14" s="17">
        <v>266271</v>
      </c>
      <c r="E14" s="17">
        <v>226800</v>
      </c>
      <c r="F14" s="17">
        <v>2199000</v>
      </c>
      <c r="G14" s="18">
        <f t="shared" si="0"/>
        <v>1399158</v>
      </c>
      <c r="H14" s="129">
        <f t="shared" si="1"/>
        <v>2692071</v>
      </c>
      <c r="I14" s="15">
        <v>45170</v>
      </c>
      <c r="J14" s="20">
        <f t="shared" si="2"/>
        <v>91295.059500000003</v>
      </c>
      <c r="K14" s="21">
        <f t="shared" si="3"/>
        <v>167581.41975</v>
      </c>
      <c r="L14" s="22">
        <f t="shared" si="4"/>
        <v>258876.47925</v>
      </c>
      <c r="M14" s="15">
        <v>45170</v>
      </c>
      <c r="N14" s="23">
        <v>3014508.3510000017</v>
      </c>
      <c r="O14" s="23">
        <v>630350.2899999998</v>
      </c>
      <c r="P14" s="24">
        <f t="shared" si="5"/>
        <v>3644858.6410000017</v>
      </c>
      <c r="Q14" s="175"/>
      <c r="R14" s="236"/>
      <c r="S14" s="236"/>
      <c r="T14" s="236"/>
      <c r="U14" s="236"/>
      <c r="V14" s="236"/>
      <c r="X14" s="155"/>
      <c r="Y14" s="155"/>
      <c r="AA14" s="155"/>
      <c r="AB14" s="155"/>
    </row>
    <row r="15" spans="1:31">
      <c r="A15" s="15">
        <v>45200</v>
      </c>
      <c r="B15" s="16">
        <v>1227856</v>
      </c>
      <c r="C15" s="16">
        <v>11725</v>
      </c>
      <c r="D15" s="17">
        <v>247043</v>
      </c>
      <c r="E15" s="17">
        <v>214800</v>
      </c>
      <c r="F15" s="17">
        <v>1933600</v>
      </c>
      <c r="G15" s="18">
        <f t="shared" si="0"/>
        <v>1239581</v>
      </c>
      <c r="H15" s="129">
        <f t="shared" si="1"/>
        <v>2395443</v>
      </c>
      <c r="I15" s="15">
        <v>45200</v>
      </c>
      <c r="J15" s="20">
        <f t="shared" si="2"/>
        <v>80882.660250000001</v>
      </c>
      <c r="K15" s="21">
        <f t="shared" si="3"/>
        <v>149116.32675000001</v>
      </c>
      <c r="L15" s="22">
        <f t="shared" si="4"/>
        <v>229998.98700000002</v>
      </c>
      <c r="M15" s="15">
        <v>45200</v>
      </c>
      <c r="N15" s="23">
        <v>2675753.8510000012</v>
      </c>
      <c r="O15" s="23">
        <v>550598.37199999986</v>
      </c>
      <c r="P15" s="24">
        <f t="shared" si="5"/>
        <v>3226352.2230000012</v>
      </c>
      <c r="Q15" s="175"/>
      <c r="R15" s="236"/>
      <c r="S15" s="236"/>
      <c r="T15" s="236"/>
      <c r="U15" s="236"/>
      <c r="V15" s="236"/>
      <c r="X15" s="155"/>
      <c r="Y15" s="155"/>
      <c r="AA15" s="155"/>
      <c r="AB15" s="155"/>
    </row>
    <row r="16" spans="1:31">
      <c r="A16" s="15">
        <v>45231</v>
      </c>
      <c r="B16" s="16">
        <v>1271553</v>
      </c>
      <c r="C16" s="16">
        <v>12592</v>
      </c>
      <c r="D16" s="17">
        <v>272370</v>
      </c>
      <c r="E16" s="17">
        <v>198800</v>
      </c>
      <c r="F16" s="17">
        <v>2168600</v>
      </c>
      <c r="G16" s="18">
        <f>B16+C16</f>
        <v>1284145</v>
      </c>
      <c r="H16" s="129">
        <f t="shared" si="1"/>
        <v>2639770</v>
      </c>
      <c r="I16" s="15">
        <v>45231</v>
      </c>
      <c r="J16" s="20">
        <f t="shared" si="2"/>
        <v>83790.461250000008</v>
      </c>
      <c r="K16" s="21">
        <f t="shared" si="3"/>
        <v>164325.6825</v>
      </c>
      <c r="L16" s="22">
        <f t="shared" si="4"/>
        <v>248116.14374999999</v>
      </c>
      <c r="M16" s="15">
        <v>45231</v>
      </c>
      <c r="N16" s="23">
        <v>1758885.8439999993</v>
      </c>
      <c r="O16" s="23">
        <v>216605.94</v>
      </c>
      <c r="P16" s="24">
        <f t="shared" si="5"/>
        <v>1975491.7839999993</v>
      </c>
      <c r="Q16" s="175"/>
      <c r="R16" s="236"/>
      <c r="S16" s="236"/>
      <c r="T16" s="236"/>
      <c r="U16" s="236"/>
      <c r="V16" s="236"/>
      <c r="X16" s="155"/>
      <c r="Y16" s="155"/>
      <c r="AA16" s="155"/>
      <c r="AB16" s="155"/>
    </row>
    <row r="17" spans="1:29">
      <c r="A17" s="15">
        <v>45261</v>
      </c>
      <c r="B17" s="16">
        <v>1324875</v>
      </c>
      <c r="C17" s="16">
        <v>11394</v>
      </c>
      <c r="D17" s="17">
        <v>273422</v>
      </c>
      <c r="E17" s="17">
        <v>191800</v>
      </c>
      <c r="F17" s="17">
        <v>1892800</v>
      </c>
      <c r="G17" s="18">
        <f t="shared" si="0"/>
        <v>1336269</v>
      </c>
      <c r="H17" s="129">
        <f t="shared" si="1"/>
        <v>2358022</v>
      </c>
      <c r="I17" s="15">
        <v>45261</v>
      </c>
      <c r="J17" s="20">
        <f t="shared" si="2"/>
        <v>87191.552250000008</v>
      </c>
      <c r="K17" s="21">
        <f t="shared" si="3"/>
        <v>146786.8695</v>
      </c>
      <c r="L17" s="22">
        <f t="shared" si="4"/>
        <v>233978.42175000001</v>
      </c>
      <c r="M17" s="15">
        <v>45261</v>
      </c>
      <c r="N17" s="23">
        <v>1399637.63</v>
      </c>
      <c r="O17" s="23">
        <v>398063.45500000013</v>
      </c>
      <c r="P17" s="24">
        <f t="shared" si="5"/>
        <v>1797701.085</v>
      </c>
      <c r="Q17" s="175"/>
      <c r="R17" s="236"/>
      <c r="S17" s="236"/>
      <c r="T17" s="236"/>
      <c r="U17" s="236"/>
      <c r="V17" s="236"/>
      <c r="X17" s="155"/>
      <c r="Y17" s="155"/>
      <c r="AA17" s="155"/>
      <c r="AB17" s="155"/>
      <c r="AC17" s="155"/>
    </row>
    <row r="18" spans="1:29">
      <c r="A18" s="26"/>
      <c r="B18" s="27"/>
      <c r="C18" s="27"/>
      <c r="D18" s="27"/>
      <c r="E18" s="27"/>
      <c r="F18" s="27"/>
      <c r="G18" s="27"/>
      <c r="H18" s="130"/>
      <c r="I18" s="28"/>
      <c r="J18" s="29"/>
      <c r="K18" s="29"/>
      <c r="L18" s="30"/>
      <c r="M18" s="31"/>
      <c r="N18" s="151"/>
      <c r="O18" s="152"/>
      <c r="P18" s="7"/>
      <c r="R18" s="236"/>
      <c r="S18" s="236"/>
      <c r="T18" s="236"/>
      <c r="U18" s="236"/>
      <c r="V18" s="236"/>
      <c r="X18" s="155"/>
      <c r="Y18" s="155"/>
      <c r="AA18" s="159"/>
      <c r="AB18" s="155"/>
    </row>
    <row r="19" spans="1:29">
      <c r="A19" s="34" t="s">
        <v>11</v>
      </c>
      <c r="B19" s="35">
        <f t="shared" ref="B19:H19" si="6">SUM(B6:B17)</f>
        <v>16483933</v>
      </c>
      <c r="C19" s="35">
        <f t="shared" si="6"/>
        <v>172690</v>
      </c>
      <c r="D19" s="35">
        <f t="shared" si="6"/>
        <v>3184102</v>
      </c>
      <c r="E19" s="35">
        <f t="shared" si="6"/>
        <v>2424000</v>
      </c>
      <c r="F19" s="35">
        <f t="shared" si="6"/>
        <v>24959600</v>
      </c>
      <c r="G19" s="35">
        <f t="shared" si="6"/>
        <v>16656623</v>
      </c>
      <c r="H19" s="35">
        <f t="shared" si="6"/>
        <v>30567702</v>
      </c>
      <c r="I19" s="37" t="s">
        <v>8</v>
      </c>
      <c r="J19" s="38">
        <f>SUM(J6:J17)</f>
        <v>1086844.65075</v>
      </c>
      <c r="K19" s="38">
        <f>SUM(K6:K17)</f>
        <v>1902839.4495000001</v>
      </c>
      <c r="L19" s="39">
        <f>SUM(L6:L17)</f>
        <v>2989684.1002500001</v>
      </c>
      <c r="M19" s="12" t="s">
        <v>11</v>
      </c>
      <c r="N19" s="150">
        <f>SUM(N6:N17)</f>
        <v>34125732.244000003</v>
      </c>
      <c r="O19" s="150">
        <f>SUM(O6:O17)</f>
        <v>6633230.9199999999</v>
      </c>
      <c r="P19" s="41">
        <f>SUM(P6:P17)</f>
        <v>40758963.164000005</v>
      </c>
      <c r="R19" s="237"/>
      <c r="S19" s="239"/>
      <c r="T19" s="236"/>
      <c r="U19" s="236"/>
      <c r="V19" s="236"/>
      <c r="X19" s="155"/>
      <c r="Y19" s="155"/>
    </row>
    <row r="20" spans="1:29" ht="15.75" thickBot="1">
      <c r="A20" s="42"/>
      <c r="C20" s="43"/>
      <c r="D20" s="44"/>
      <c r="E20" s="29"/>
      <c r="F20" s="45"/>
      <c r="G20" s="46" t="s">
        <v>13</v>
      </c>
      <c r="H20" s="47">
        <f>G19+H19</f>
        <v>47224325</v>
      </c>
      <c r="I20" s="48"/>
      <c r="J20" s="49"/>
      <c r="K20" s="33"/>
      <c r="L20" s="33"/>
      <c r="M20" s="31"/>
      <c r="N20" s="32"/>
      <c r="O20" s="33"/>
      <c r="P20" s="50"/>
      <c r="R20" s="236"/>
      <c r="S20" s="236"/>
      <c r="T20" s="236"/>
      <c r="U20" s="236"/>
      <c r="V20" s="236"/>
    </row>
    <row r="21" spans="1:29" ht="20.25" thickBot="1">
      <c r="A21" s="281" t="s">
        <v>75</v>
      </c>
      <c r="B21" s="282"/>
      <c r="C21" s="283"/>
      <c r="D21" s="283"/>
      <c r="E21" s="283"/>
      <c r="F21" s="283"/>
      <c r="G21" s="283"/>
      <c r="H21" s="283"/>
      <c r="I21" s="283"/>
      <c r="J21" s="283"/>
      <c r="K21" s="283"/>
      <c r="L21" s="283"/>
      <c r="M21" s="283"/>
      <c r="N21" s="283"/>
      <c r="O21" s="283"/>
      <c r="P21" s="284"/>
      <c r="R21" s="236"/>
      <c r="S21" s="236"/>
      <c r="T21" s="236"/>
      <c r="U21" s="236"/>
      <c r="V21" s="236"/>
      <c r="Y21" s="155"/>
    </row>
    <row r="22" spans="1:29">
      <c r="B22" s="256" t="s">
        <v>14</v>
      </c>
      <c r="C22" s="257"/>
      <c r="D22" s="257"/>
      <c r="E22" s="257"/>
      <c r="F22" s="257"/>
      <c r="G22" s="258"/>
      <c r="H22" s="285" t="s">
        <v>15</v>
      </c>
      <c r="I22" s="286"/>
      <c r="J22" s="286"/>
      <c r="K22" s="287"/>
    </row>
    <row r="23" spans="1:29">
      <c r="B23" s="288" t="s">
        <v>16</v>
      </c>
      <c r="C23" s="289"/>
      <c r="D23" s="289" t="s">
        <v>17</v>
      </c>
      <c r="E23" s="289"/>
      <c r="F23" s="68" t="s">
        <v>18</v>
      </c>
      <c r="G23" s="55" t="s">
        <v>19</v>
      </c>
      <c r="H23" s="56" t="s">
        <v>20</v>
      </c>
      <c r="I23" s="56" t="s">
        <v>21</v>
      </c>
      <c r="J23" s="56" t="s">
        <v>22</v>
      </c>
      <c r="K23" s="57" t="s">
        <v>23</v>
      </c>
      <c r="L23" s="93" t="s">
        <v>24</v>
      </c>
      <c r="M23" s="95" t="s">
        <v>26</v>
      </c>
      <c r="N23" s="131" t="s">
        <v>27</v>
      </c>
    </row>
    <row r="24" spans="1:29">
      <c r="A24" s="58">
        <v>2015</v>
      </c>
      <c r="B24" s="265">
        <v>14403.35</v>
      </c>
      <c r="C24" s="265"/>
      <c r="D24" s="265"/>
      <c r="E24" s="265"/>
      <c r="F24" s="59"/>
      <c r="G24" s="69">
        <f>B24+E24+F24</f>
        <v>14403.35</v>
      </c>
      <c r="H24" s="60"/>
      <c r="I24" s="60">
        <v>7279.47</v>
      </c>
      <c r="J24" s="60"/>
      <c r="K24" s="77">
        <f>H24+I24+J24</f>
        <v>7279.47</v>
      </c>
      <c r="L24" s="92">
        <f>K24+G24</f>
        <v>21682.82</v>
      </c>
      <c r="M24" s="94">
        <v>48000</v>
      </c>
      <c r="N24" s="190">
        <f>M24-L24</f>
        <v>26317.18</v>
      </c>
    </row>
    <row r="25" spans="1:2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90">
        <f>M25-L25</f>
        <v>273572.71999999997</v>
      </c>
    </row>
    <row r="26" spans="1:2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90">
        <f>M26-L26</f>
        <v>310176.08</v>
      </c>
    </row>
    <row r="27" spans="1:29">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90">
        <f>M27-L27</f>
        <v>441013.52</v>
      </c>
    </row>
    <row r="28" spans="1:29" hidden="1">
      <c r="A28" s="15">
        <v>43466</v>
      </c>
      <c r="B28" s="263">
        <v>1930</v>
      </c>
      <c r="C28" s="263"/>
      <c r="D28" s="263">
        <v>0</v>
      </c>
      <c r="E28" s="263"/>
      <c r="F28" s="62">
        <v>0</v>
      </c>
      <c r="G28" s="115">
        <f t="shared" ref="G28:G39" si="7">B28+D28+F28</f>
        <v>1930</v>
      </c>
      <c r="H28" s="29">
        <v>0</v>
      </c>
      <c r="I28" s="62">
        <v>0</v>
      </c>
      <c r="J28" s="62">
        <v>2040</v>
      </c>
      <c r="K28" s="80">
        <f t="shared" ref="K28:K39" si="8">H28+I28+J28</f>
        <v>2040</v>
      </c>
      <c r="L28" s="74">
        <f t="shared" ref="L28:L78" si="9">K28+G28</f>
        <v>3970</v>
      </c>
      <c r="M28" s="89">
        <v>16580</v>
      </c>
      <c r="N28" s="190">
        <f t="shared" ref="N28:N66" si="10">M28-L28</f>
        <v>12610</v>
      </c>
    </row>
    <row r="29" spans="1:29" hidden="1">
      <c r="A29" s="15">
        <v>43497</v>
      </c>
      <c r="B29" s="263">
        <v>3985.12</v>
      </c>
      <c r="C29" s="263"/>
      <c r="D29" s="263">
        <v>0</v>
      </c>
      <c r="E29" s="263"/>
      <c r="F29" s="62">
        <v>0</v>
      </c>
      <c r="G29" s="115">
        <f t="shared" si="7"/>
        <v>3985.12</v>
      </c>
      <c r="H29" s="29">
        <v>0</v>
      </c>
      <c r="I29" s="62">
        <v>0</v>
      </c>
      <c r="J29" s="62">
        <v>0</v>
      </c>
      <c r="K29" s="80">
        <f t="shared" si="8"/>
        <v>0</v>
      </c>
      <c r="L29" s="74">
        <f t="shared" si="9"/>
        <v>3985.12</v>
      </c>
      <c r="M29" s="89">
        <v>16580</v>
      </c>
      <c r="N29" s="190">
        <f t="shared" si="10"/>
        <v>12594.880000000001</v>
      </c>
    </row>
    <row r="30" spans="1:29" hidden="1">
      <c r="A30" s="15">
        <v>43525</v>
      </c>
      <c r="B30" s="263">
        <v>3799.53</v>
      </c>
      <c r="C30" s="263"/>
      <c r="D30" s="263">
        <v>0</v>
      </c>
      <c r="E30" s="263"/>
      <c r="F30" s="62">
        <v>0</v>
      </c>
      <c r="G30" s="115">
        <f t="shared" si="7"/>
        <v>3799.53</v>
      </c>
      <c r="H30" s="29">
        <v>9477.06</v>
      </c>
      <c r="I30" s="62">
        <v>0</v>
      </c>
      <c r="J30" s="62">
        <v>0</v>
      </c>
      <c r="K30" s="80">
        <f t="shared" si="8"/>
        <v>9477.06</v>
      </c>
      <c r="L30" s="74">
        <f t="shared" si="9"/>
        <v>13276.59</v>
      </c>
      <c r="M30" s="89">
        <v>16580</v>
      </c>
      <c r="N30" s="190">
        <f t="shared" si="10"/>
        <v>3303.41</v>
      </c>
    </row>
    <row r="31" spans="1:29" hidden="1">
      <c r="A31" s="15">
        <v>43556</v>
      </c>
      <c r="B31" s="263">
        <v>2076</v>
      </c>
      <c r="C31" s="263"/>
      <c r="D31" s="263">
        <v>3126.63</v>
      </c>
      <c r="E31" s="263"/>
      <c r="F31" s="62">
        <v>0</v>
      </c>
      <c r="G31" s="115">
        <f t="shared" si="7"/>
        <v>5202.63</v>
      </c>
      <c r="H31" s="29">
        <v>523.04</v>
      </c>
      <c r="I31" s="62">
        <v>0</v>
      </c>
      <c r="J31" s="62">
        <v>0</v>
      </c>
      <c r="K31" s="80">
        <f t="shared" si="8"/>
        <v>523.04</v>
      </c>
      <c r="L31" s="74">
        <f t="shared" si="9"/>
        <v>5725.67</v>
      </c>
      <c r="M31" s="89">
        <v>16580</v>
      </c>
      <c r="N31" s="190">
        <f t="shared" si="10"/>
        <v>10854.33</v>
      </c>
    </row>
    <row r="32" spans="1:29" hidden="1">
      <c r="A32" s="15">
        <v>43586</v>
      </c>
      <c r="B32" s="263">
        <v>6061.98</v>
      </c>
      <c r="C32" s="263"/>
      <c r="D32" s="263">
        <v>867.86</v>
      </c>
      <c r="E32" s="263"/>
      <c r="F32" s="62">
        <v>0</v>
      </c>
      <c r="G32" s="115">
        <f t="shared" si="7"/>
        <v>6929.8399999999992</v>
      </c>
      <c r="H32" s="29">
        <v>0</v>
      </c>
      <c r="I32" s="62">
        <v>0</v>
      </c>
      <c r="J32" s="62">
        <v>5120</v>
      </c>
      <c r="K32" s="80">
        <f t="shared" si="8"/>
        <v>5120</v>
      </c>
      <c r="L32" s="74">
        <f t="shared" si="9"/>
        <v>12049.84</v>
      </c>
      <c r="M32" s="89">
        <v>16580</v>
      </c>
      <c r="N32" s="190">
        <f t="shared" si="10"/>
        <v>4530.16</v>
      </c>
    </row>
    <row r="33" spans="1:14" hidden="1">
      <c r="A33" s="15">
        <v>43617</v>
      </c>
      <c r="B33" s="263">
        <v>3191</v>
      </c>
      <c r="C33" s="263"/>
      <c r="D33" s="263">
        <v>24.03</v>
      </c>
      <c r="E33" s="263"/>
      <c r="F33" s="62">
        <v>0</v>
      </c>
      <c r="G33" s="115">
        <f t="shared" si="7"/>
        <v>3215.03</v>
      </c>
      <c r="H33" s="29">
        <v>10056.94</v>
      </c>
      <c r="I33" s="62">
        <v>0</v>
      </c>
      <c r="J33" s="62">
        <v>27522.68</v>
      </c>
      <c r="K33" s="80">
        <f t="shared" si="8"/>
        <v>37579.620000000003</v>
      </c>
      <c r="L33" s="74">
        <f t="shared" si="9"/>
        <v>40794.65</v>
      </c>
      <c r="M33" s="89">
        <v>16580</v>
      </c>
      <c r="N33" s="190">
        <f t="shared" si="10"/>
        <v>-24214.65</v>
      </c>
    </row>
    <row r="34" spans="1:14" hidden="1">
      <c r="A34" s="15">
        <v>43647</v>
      </c>
      <c r="B34" s="263">
        <v>5423.72</v>
      </c>
      <c r="C34" s="263"/>
      <c r="D34" s="263">
        <v>0</v>
      </c>
      <c r="E34" s="263"/>
      <c r="F34" s="62">
        <v>0</v>
      </c>
      <c r="G34" s="115">
        <f t="shared" si="7"/>
        <v>5423.72</v>
      </c>
      <c r="H34" s="29">
        <v>0</v>
      </c>
      <c r="I34" s="62">
        <v>0</v>
      </c>
      <c r="J34" s="62">
        <v>1040</v>
      </c>
      <c r="K34" s="80">
        <f t="shared" si="8"/>
        <v>1040</v>
      </c>
      <c r="L34" s="74">
        <f t="shared" si="9"/>
        <v>6463.72</v>
      </c>
      <c r="M34" s="89">
        <v>16580</v>
      </c>
      <c r="N34" s="190">
        <f t="shared" si="10"/>
        <v>10116.279999999999</v>
      </c>
    </row>
    <row r="35" spans="1:14" hidden="1">
      <c r="A35" s="15">
        <v>43678</v>
      </c>
      <c r="B35" s="263">
        <v>3498.19</v>
      </c>
      <c r="C35" s="263"/>
      <c r="D35" s="263">
        <v>0</v>
      </c>
      <c r="E35" s="263"/>
      <c r="F35" s="62">
        <v>0</v>
      </c>
      <c r="G35" s="115">
        <f t="shared" si="7"/>
        <v>3498.19</v>
      </c>
      <c r="H35" s="29">
        <v>0</v>
      </c>
      <c r="I35" s="62">
        <v>0</v>
      </c>
      <c r="J35" s="62">
        <v>0</v>
      </c>
      <c r="K35" s="80">
        <f t="shared" si="8"/>
        <v>0</v>
      </c>
      <c r="L35" s="74">
        <f t="shared" si="9"/>
        <v>3498.19</v>
      </c>
      <c r="M35" s="89">
        <v>16580</v>
      </c>
      <c r="N35" s="190">
        <f t="shared" si="10"/>
        <v>13081.81</v>
      </c>
    </row>
    <row r="36" spans="1:14" hidden="1">
      <c r="A36" s="15">
        <v>43709</v>
      </c>
      <c r="B36" s="263">
        <v>4018.21</v>
      </c>
      <c r="C36" s="263"/>
      <c r="D36" s="263">
        <v>0</v>
      </c>
      <c r="E36" s="263"/>
      <c r="F36" s="62">
        <v>0</v>
      </c>
      <c r="G36" s="115">
        <f t="shared" si="7"/>
        <v>4018.21</v>
      </c>
      <c r="H36" s="29">
        <v>0</v>
      </c>
      <c r="I36" s="62">
        <v>0</v>
      </c>
      <c r="J36" s="62">
        <v>2080</v>
      </c>
      <c r="K36" s="80">
        <f t="shared" si="8"/>
        <v>2080</v>
      </c>
      <c r="L36" s="74">
        <f t="shared" si="9"/>
        <v>6098.21</v>
      </c>
      <c r="M36" s="89">
        <v>16580</v>
      </c>
      <c r="N36" s="190">
        <f t="shared" si="10"/>
        <v>10481.790000000001</v>
      </c>
    </row>
    <row r="37" spans="1:14" hidden="1">
      <c r="A37" s="15">
        <v>43739</v>
      </c>
      <c r="B37" s="263">
        <v>1464</v>
      </c>
      <c r="C37" s="263"/>
      <c r="D37" s="263">
        <v>0</v>
      </c>
      <c r="E37" s="263"/>
      <c r="F37" s="62">
        <v>0</v>
      </c>
      <c r="G37" s="115">
        <f t="shared" si="7"/>
        <v>1464</v>
      </c>
      <c r="H37" s="29">
        <v>0</v>
      </c>
      <c r="I37" s="62">
        <v>0</v>
      </c>
      <c r="J37" s="62">
        <v>1040</v>
      </c>
      <c r="K37" s="80">
        <f t="shared" si="8"/>
        <v>1040</v>
      </c>
      <c r="L37" s="74">
        <f t="shared" si="9"/>
        <v>2504</v>
      </c>
      <c r="M37" s="89">
        <v>16580</v>
      </c>
      <c r="N37" s="190">
        <f t="shared" si="10"/>
        <v>14076</v>
      </c>
    </row>
    <row r="38" spans="1:14" hidden="1">
      <c r="A38" s="15">
        <v>43770</v>
      </c>
      <c r="B38" s="263">
        <v>10036</v>
      </c>
      <c r="C38" s="263"/>
      <c r="D38" s="263">
        <v>0</v>
      </c>
      <c r="E38" s="263"/>
      <c r="F38" s="62">
        <v>0</v>
      </c>
      <c r="G38" s="115">
        <f t="shared" si="7"/>
        <v>10036</v>
      </c>
      <c r="H38" s="29">
        <v>0</v>
      </c>
      <c r="I38" s="62">
        <v>0</v>
      </c>
      <c r="J38" s="62">
        <v>1040</v>
      </c>
      <c r="K38" s="80">
        <f t="shared" si="8"/>
        <v>1040</v>
      </c>
      <c r="L38" s="74">
        <f t="shared" si="9"/>
        <v>11076</v>
      </c>
      <c r="M38" s="89">
        <v>16580</v>
      </c>
      <c r="N38" s="190">
        <f t="shared" si="10"/>
        <v>5504</v>
      </c>
    </row>
    <row r="39" spans="1:14" hidden="1">
      <c r="A39" s="15">
        <v>43800</v>
      </c>
      <c r="B39" s="263">
        <v>4542.46</v>
      </c>
      <c r="C39" s="263"/>
      <c r="D39" s="263">
        <v>3731.52</v>
      </c>
      <c r="E39" s="263"/>
      <c r="F39" s="62">
        <v>7880</v>
      </c>
      <c r="G39" s="116">
        <f t="shared" si="7"/>
        <v>16153.98</v>
      </c>
      <c r="H39" s="29">
        <v>0</v>
      </c>
      <c r="I39" s="62">
        <v>0</v>
      </c>
      <c r="J39" s="62">
        <v>1040</v>
      </c>
      <c r="K39" s="80">
        <f t="shared" si="8"/>
        <v>1040</v>
      </c>
      <c r="L39" s="74">
        <f t="shared" si="9"/>
        <v>17193.98</v>
      </c>
      <c r="M39" s="89">
        <v>16580</v>
      </c>
      <c r="N39" s="190">
        <f t="shared" si="10"/>
        <v>-613.97999999999956</v>
      </c>
    </row>
    <row r="40" spans="1:14">
      <c r="A40" s="58">
        <v>2019</v>
      </c>
      <c r="B40" s="265">
        <f>SUM(B28:B39)</f>
        <v>50026.21</v>
      </c>
      <c r="C40" s="265"/>
      <c r="D40" s="265">
        <f>SUM(D28:D39)</f>
        <v>7750.0400000000009</v>
      </c>
      <c r="E40" s="265"/>
      <c r="F40" s="59">
        <f t="shared" ref="F40:K40" si="11">SUM(F28:F39)</f>
        <v>7880</v>
      </c>
      <c r="G40" s="71">
        <f t="shared" si="11"/>
        <v>65656.25</v>
      </c>
      <c r="H40" s="64">
        <f t="shared" si="11"/>
        <v>20057.04</v>
      </c>
      <c r="I40" s="63">
        <f t="shared" si="11"/>
        <v>0</v>
      </c>
      <c r="J40" s="63">
        <f t="shared" si="11"/>
        <v>40922.68</v>
      </c>
      <c r="K40" s="79">
        <f t="shared" si="11"/>
        <v>60979.72</v>
      </c>
      <c r="L40" s="164">
        <f t="shared" si="9"/>
        <v>126635.97</v>
      </c>
      <c r="M40" s="165">
        <f>SUM(M28:M39)</f>
        <v>198960</v>
      </c>
      <c r="N40" s="190">
        <f t="shared" si="10"/>
        <v>72324.03</v>
      </c>
    </row>
    <row r="41" spans="1:14" hidden="1">
      <c r="A41" s="169">
        <v>43831</v>
      </c>
      <c r="B41" s="263">
        <v>4606.24</v>
      </c>
      <c r="C41" s="263"/>
      <c r="D41" s="263">
        <v>0</v>
      </c>
      <c r="E41" s="263"/>
      <c r="F41" s="62">
        <v>31149.68</v>
      </c>
      <c r="G41" s="85">
        <f t="shared" ref="G41:G52" si="12">B41+D41+F41</f>
        <v>35755.919999999998</v>
      </c>
      <c r="H41" s="62">
        <v>0</v>
      </c>
      <c r="I41" s="62">
        <v>0</v>
      </c>
      <c r="J41" s="62">
        <v>1040</v>
      </c>
      <c r="K41" s="87">
        <f t="shared" ref="K41:K52" si="13">SUM(H41:J41)</f>
        <v>1040</v>
      </c>
      <c r="L41" s="74">
        <f t="shared" si="9"/>
        <v>36795.919999999998</v>
      </c>
      <c r="M41" s="89">
        <v>66250</v>
      </c>
      <c r="N41" s="190">
        <f t="shared" si="10"/>
        <v>29454.080000000002</v>
      </c>
    </row>
    <row r="42" spans="1:14" hidden="1">
      <c r="A42" s="169">
        <v>43862</v>
      </c>
      <c r="B42" s="263">
        <v>6914.72</v>
      </c>
      <c r="C42" s="263"/>
      <c r="D42" s="263">
        <v>0</v>
      </c>
      <c r="E42" s="263"/>
      <c r="F42" s="62">
        <v>26617.759999999998</v>
      </c>
      <c r="G42" s="85">
        <f t="shared" si="12"/>
        <v>33532.479999999996</v>
      </c>
      <c r="H42" s="62">
        <v>0</v>
      </c>
      <c r="I42" s="62">
        <v>0</v>
      </c>
      <c r="J42" s="62">
        <v>0</v>
      </c>
      <c r="K42" s="87">
        <f t="shared" si="13"/>
        <v>0</v>
      </c>
      <c r="L42" s="74">
        <f t="shared" si="9"/>
        <v>33532.479999999996</v>
      </c>
      <c r="M42" s="89">
        <v>66250</v>
      </c>
      <c r="N42" s="190">
        <f t="shared" si="10"/>
        <v>32717.520000000004</v>
      </c>
    </row>
    <row r="43" spans="1:14" hidden="1">
      <c r="A43" s="169">
        <v>43891</v>
      </c>
      <c r="B43" s="263">
        <v>4282.12</v>
      </c>
      <c r="C43" s="263"/>
      <c r="D43" s="263">
        <v>0</v>
      </c>
      <c r="E43" s="263"/>
      <c r="F43" s="62">
        <v>62064</v>
      </c>
      <c r="G43" s="85">
        <f t="shared" si="12"/>
        <v>66346.12</v>
      </c>
      <c r="H43" s="62">
        <v>0</v>
      </c>
      <c r="I43" s="62">
        <v>0</v>
      </c>
      <c r="J43" s="62">
        <v>0</v>
      </c>
      <c r="K43" s="87">
        <f t="shared" si="13"/>
        <v>0</v>
      </c>
      <c r="L43" s="74">
        <f t="shared" si="9"/>
        <v>66346.12</v>
      </c>
      <c r="M43" s="89">
        <v>66250</v>
      </c>
      <c r="N43" s="190">
        <f t="shared" si="10"/>
        <v>-96.119999999995343</v>
      </c>
    </row>
    <row r="44" spans="1:14" hidden="1">
      <c r="A44" s="169">
        <v>43922</v>
      </c>
      <c r="B44" s="263">
        <v>5582.21</v>
      </c>
      <c r="C44" s="263"/>
      <c r="D44" s="263">
        <v>608.66</v>
      </c>
      <c r="E44" s="263"/>
      <c r="F44" s="62">
        <v>35039.839999999997</v>
      </c>
      <c r="G44" s="85">
        <f t="shared" si="12"/>
        <v>41230.71</v>
      </c>
      <c r="H44" s="62">
        <v>0</v>
      </c>
      <c r="I44" s="62">
        <v>0</v>
      </c>
      <c r="J44" s="62">
        <v>0</v>
      </c>
      <c r="K44" s="87">
        <f t="shared" si="13"/>
        <v>0</v>
      </c>
      <c r="L44" s="74">
        <f t="shared" si="9"/>
        <v>41230.71</v>
      </c>
      <c r="M44" s="89">
        <v>66250</v>
      </c>
      <c r="N44" s="190">
        <f t="shared" si="10"/>
        <v>25019.29</v>
      </c>
    </row>
    <row r="45" spans="1:14" hidden="1">
      <c r="A45" s="169">
        <v>43952</v>
      </c>
      <c r="B45" s="263">
        <v>5719.88</v>
      </c>
      <c r="C45" s="263"/>
      <c r="D45" s="263">
        <v>0</v>
      </c>
      <c r="E45" s="263"/>
      <c r="F45" s="62">
        <v>12520.96</v>
      </c>
      <c r="G45" s="85">
        <f t="shared" si="12"/>
        <v>18240.84</v>
      </c>
      <c r="H45" s="62">
        <v>2050</v>
      </c>
      <c r="I45" s="62">
        <v>0</v>
      </c>
      <c r="J45" s="62">
        <v>0</v>
      </c>
      <c r="K45" s="87">
        <f t="shared" si="13"/>
        <v>2050</v>
      </c>
      <c r="L45" s="74">
        <f t="shared" si="9"/>
        <v>20290.84</v>
      </c>
      <c r="M45" s="89">
        <v>66250</v>
      </c>
      <c r="N45" s="190">
        <f t="shared" si="10"/>
        <v>45959.16</v>
      </c>
    </row>
    <row r="46" spans="1:14" hidden="1">
      <c r="A46" s="169">
        <v>43983</v>
      </c>
      <c r="B46" s="263">
        <v>6685.66</v>
      </c>
      <c r="C46" s="263"/>
      <c r="D46" s="263">
        <v>0</v>
      </c>
      <c r="E46" s="263"/>
      <c r="F46" s="62">
        <v>29811.4</v>
      </c>
      <c r="G46" s="85">
        <f t="shared" si="12"/>
        <v>36497.06</v>
      </c>
      <c r="H46" s="62">
        <v>0</v>
      </c>
      <c r="I46" s="62">
        <v>0</v>
      </c>
      <c r="J46" s="62">
        <v>0</v>
      </c>
      <c r="K46" s="87">
        <f t="shared" si="13"/>
        <v>0</v>
      </c>
      <c r="L46" s="74">
        <f t="shared" si="9"/>
        <v>36497.06</v>
      </c>
      <c r="M46" s="89">
        <v>66250</v>
      </c>
      <c r="N46" s="190">
        <f t="shared" si="10"/>
        <v>29752.940000000002</v>
      </c>
    </row>
    <row r="47" spans="1:14" hidden="1">
      <c r="A47" s="169">
        <v>44013</v>
      </c>
      <c r="B47" s="263">
        <v>5148</v>
      </c>
      <c r="C47" s="263"/>
      <c r="D47" s="263">
        <v>1264.1400000000001</v>
      </c>
      <c r="E47" s="263"/>
      <c r="F47" s="62">
        <v>374.56</v>
      </c>
      <c r="G47" s="85">
        <f t="shared" si="12"/>
        <v>6786.7000000000007</v>
      </c>
      <c r="H47" s="62">
        <v>4398.75</v>
      </c>
      <c r="I47" s="62">
        <v>0</v>
      </c>
      <c r="J47" s="62">
        <v>0</v>
      </c>
      <c r="K47" s="87">
        <f t="shared" si="13"/>
        <v>4398.75</v>
      </c>
      <c r="L47" s="74">
        <f t="shared" si="9"/>
        <v>11185.45</v>
      </c>
      <c r="M47" s="89">
        <v>66250</v>
      </c>
      <c r="N47" s="190">
        <f t="shared" si="10"/>
        <v>55064.55</v>
      </c>
    </row>
    <row r="48" spans="1:14" hidden="1">
      <c r="A48" s="169">
        <v>44044</v>
      </c>
      <c r="B48" s="263">
        <v>5948.88</v>
      </c>
      <c r="C48" s="263"/>
      <c r="D48" s="263">
        <v>0</v>
      </c>
      <c r="E48" s="263"/>
      <c r="F48" s="62">
        <v>-1500</v>
      </c>
      <c r="G48" s="85">
        <f t="shared" si="12"/>
        <v>4448.88</v>
      </c>
      <c r="H48" s="62">
        <v>16844</v>
      </c>
      <c r="I48" s="62">
        <v>12438</v>
      </c>
      <c r="J48" s="62">
        <v>0</v>
      </c>
      <c r="K48" s="87">
        <f t="shared" si="13"/>
        <v>29282</v>
      </c>
      <c r="L48" s="74">
        <f t="shared" si="9"/>
        <v>33730.879999999997</v>
      </c>
      <c r="M48" s="89">
        <v>66250</v>
      </c>
      <c r="N48" s="190">
        <f t="shared" si="10"/>
        <v>32519.120000000003</v>
      </c>
    </row>
    <row r="49" spans="1:14" hidden="1">
      <c r="A49" s="169">
        <v>44075</v>
      </c>
      <c r="B49" s="263">
        <v>3090</v>
      </c>
      <c r="C49" s="263"/>
      <c r="D49" s="263">
        <v>0</v>
      </c>
      <c r="E49" s="263"/>
      <c r="F49" s="62">
        <v>0</v>
      </c>
      <c r="G49" s="85">
        <f t="shared" si="12"/>
        <v>3090</v>
      </c>
      <c r="H49" s="62">
        <v>0</v>
      </c>
      <c r="I49" s="62">
        <v>0</v>
      </c>
      <c r="J49" s="62">
        <v>0</v>
      </c>
      <c r="K49" s="87">
        <f t="shared" si="13"/>
        <v>0</v>
      </c>
      <c r="L49" s="74">
        <f t="shared" si="9"/>
        <v>3090</v>
      </c>
      <c r="M49" s="89">
        <v>66250</v>
      </c>
      <c r="N49" s="190">
        <f t="shared" si="10"/>
        <v>63160</v>
      </c>
    </row>
    <row r="50" spans="1:14" hidden="1">
      <c r="A50" s="169">
        <v>44105</v>
      </c>
      <c r="B50" s="263">
        <v>5253</v>
      </c>
      <c r="C50" s="263"/>
      <c r="D50" s="263">
        <v>1439.72</v>
      </c>
      <c r="E50" s="263"/>
      <c r="F50" s="62">
        <v>0</v>
      </c>
      <c r="G50" s="85">
        <f t="shared" si="12"/>
        <v>6692.72</v>
      </c>
      <c r="H50" s="62">
        <v>0</v>
      </c>
      <c r="I50" s="62">
        <v>0</v>
      </c>
      <c r="J50" s="62">
        <v>0</v>
      </c>
      <c r="K50" s="87">
        <f t="shared" si="13"/>
        <v>0</v>
      </c>
      <c r="L50" s="74">
        <f t="shared" si="9"/>
        <v>6692.72</v>
      </c>
      <c r="M50" s="89">
        <v>66250</v>
      </c>
      <c r="N50" s="190">
        <f t="shared" si="10"/>
        <v>59557.279999999999</v>
      </c>
    </row>
    <row r="51" spans="1:14" hidden="1">
      <c r="A51" s="169">
        <v>44136</v>
      </c>
      <c r="B51" s="263">
        <v>4326</v>
      </c>
      <c r="C51" s="263"/>
      <c r="D51" s="263">
        <v>0</v>
      </c>
      <c r="E51" s="263"/>
      <c r="F51" s="62">
        <v>0</v>
      </c>
      <c r="G51" s="85">
        <f t="shared" si="12"/>
        <v>4326</v>
      </c>
      <c r="H51" s="62">
        <v>0</v>
      </c>
      <c r="I51" s="62">
        <v>0</v>
      </c>
      <c r="J51" s="62">
        <v>0</v>
      </c>
      <c r="K51" s="87">
        <f t="shared" si="13"/>
        <v>0</v>
      </c>
      <c r="L51" s="74">
        <f t="shared" si="9"/>
        <v>4326</v>
      </c>
      <c r="M51" s="89">
        <v>66250</v>
      </c>
      <c r="N51" s="190">
        <f t="shared" si="10"/>
        <v>61924</v>
      </c>
    </row>
    <row r="52" spans="1:14" hidden="1">
      <c r="A52" s="169">
        <v>44166</v>
      </c>
      <c r="B52" s="263">
        <v>3502</v>
      </c>
      <c r="C52" s="263"/>
      <c r="D52" s="263">
        <v>234.1</v>
      </c>
      <c r="E52" s="263"/>
      <c r="F52" s="62">
        <v>0</v>
      </c>
      <c r="G52" s="85">
        <f t="shared" si="12"/>
        <v>3736.1</v>
      </c>
      <c r="H52" s="62">
        <v>0</v>
      </c>
      <c r="I52" s="62">
        <v>0</v>
      </c>
      <c r="J52" s="62">
        <v>0</v>
      </c>
      <c r="K52" s="87">
        <f t="shared" si="13"/>
        <v>0</v>
      </c>
      <c r="L52" s="74">
        <f t="shared" si="9"/>
        <v>3736.1</v>
      </c>
      <c r="M52" s="89">
        <v>66250</v>
      </c>
      <c r="N52" s="190">
        <f t="shared" si="10"/>
        <v>62513.9</v>
      </c>
    </row>
    <row r="53" spans="1:14">
      <c r="A53" s="58">
        <v>2020</v>
      </c>
      <c r="B53" s="265">
        <f>SUM(B41:B52)</f>
        <v>61058.71</v>
      </c>
      <c r="C53" s="265"/>
      <c r="D53" s="265">
        <f>SUM(D41:D52)</f>
        <v>3546.6200000000003</v>
      </c>
      <c r="E53" s="265"/>
      <c r="F53" s="59">
        <f t="shared" ref="F53:K53" si="14">SUM(F41:F52)</f>
        <v>196078.19999999998</v>
      </c>
      <c r="G53" s="71">
        <f t="shared" si="14"/>
        <v>260683.53</v>
      </c>
      <c r="H53" s="64">
        <f t="shared" si="14"/>
        <v>23292.75</v>
      </c>
      <c r="I53" s="63">
        <f t="shared" si="14"/>
        <v>12438</v>
      </c>
      <c r="J53" s="63">
        <f t="shared" si="14"/>
        <v>1040</v>
      </c>
      <c r="K53" s="79">
        <f t="shared" si="14"/>
        <v>36770.75</v>
      </c>
      <c r="L53" s="164">
        <f t="shared" si="9"/>
        <v>297454.28000000003</v>
      </c>
      <c r="M53" s="165">
        <f>SUM(M41:M52)</f>
        <v>795000</v>
      </c>
      <c r="N53" s="190">
        <f t="shared" si="10"/>
        <v>497545.72</v>
      </c>
    </row>
    <row r="54" spans="1:14" hidden="1">
      <c r="A54" s="15">
        <v>44197</v>
      </c>
      <c r="B54" s="263">
        <v>8064</v>
      </c>
      <c r="C54" s="263"/>
      <c r="D54" s="263">
        <v>0</v>
      </c>
      <c r="E54" s="263"/>
      <c r="F54" s="62">
        <v>0</v>
      </c>
      <c r="G54" s="85">
        <f t="shared" ref="G54:G65" si="15">SUM(B54:F54)</f>
        <v>8064</v>
      </c>
      <c r="H54" s="62">
        <v>0</v>
      </c>
      <c r="I54" s="62">
        <v>0</v>
      </c>
      <c r="J54" s="62">
        <v>0</v>
      </c>
      <c r="K54" s="87">
        <f t="shared" ref="K54:K65" si="16">SUM(H54:J54)</f>
        <v>0</v>
      </c>
      <c r="L54" s="186">
        <f t="shared" si="9"/>
        <v>8064</v>
      </c>
      <c r="M54" s="89">
        <v>46666</v>
      </c>
      <c r="N54" s="190">
        <f t="shared" si="10"/>
        <v>38602</v>
      </c>
    </row>
    <row r="55" spans="1:14" hidden="1">
      <c r="A55" s="15">
        <v>44228</v>
      </c>
      <c r="B55" s="263">
        <v>5828</v>
      </c>
      <c r="C55" s="263"/>
      <c r="D55" s="263">
        <v>0</v>
      </c>
      <c r="E55" s="263"/>
      <c r="F55" s="62">
        <v>0</v>
      </c>
      <c r="G55" s="85">
        <f t="shared" si="15"/>
        <v>5828</v>
      </c>
      <c r="H55" s="62">
        <v>0</v>
      </c>
      <c r="I55" s="62">
        <v>0</v>
      </c>
      <c r="J55" s="62">
        <v>0</v>
      </c>
      <c r="K55" s="87">
        <f t="shared" si="16"/>
        <v>0</v>
      </c>
      <c r="L55" s="186">
        <f t="shared" si="9"/>
        <v>5828</v>
      </c>
      <c r="M55" s="89">
        <v>46666</v>
      </c>
      <c r="N55" s="190">
        <f t="shared" si="10"/>
        <v>40838</v>
      </c>
    </row>
    <row r="56" spans="1:14" hidden="1">
      <c r="A56" s="15">
        <v>44256</v>
      </c>
      <c r="B56" s="263">
        <v>7059</v>
      </c>
      <c r="C56" s="263"/>
      <c r="D56" s="263">
        <v>0</v>
      </c>
      <c r="E56" s="263"/>
      <c r="F56" s="62">
        <v>0</v>
      </c>
      <c r="G56" s="85">
        <f t="shared" si="15"/>
        <v>7059</v>
      </c>
      <c r="H56" s="62">
        <v>0</v>
      </c>
      <c r="I56" s="62">
        <v>0</v>
      </c>
      <c r="J56" s="62">
        <v>0</v>
      </c>
      <c r="K56" s="87">
        <f t="shared" si="16"/>
        <v>0</v>
      </c>
      <c r="L56" s="186">
        <f t="shared" si="9"/>
        <v>7059</v>
      </c>
      <c r="M56" s="89">
        <v>46666</v>
      </c>
      <c r="N56" s="190">
        <f t="shared" si="10"/>
        <v>39607</v>
      </c>
    </row>
    <row r="57" spans="1:14" hidden="1">
      <c r="A57" s="15">
        <v>44287</v>
      </c>
      <c r="B57" s="263">
        <v>5413.53</v>
      </c>
      <c r="C57" s="263"/>
      <c r="D57" s="263">
        <v>795.94</v>
      </c>
      <c r="E57" s="263"/>
      <c r="F57" s="62">
        <v>0</v>
      </c>
      <c r="G57" s="85">
        <f t="shared" si="15"/>
        <v>6209.4699999999993</v>
      </c>
      <c r="H57" s="62">
        <v>0</v>
      </c>
      <c r="I57" s="62">
        <v>0</v>
      </c>
      <c r="J57" s="62">
        <v>0</v>
      </c>
      <c r="K57" s="87">
        <f t="shared" si="16"/>
        <v>0</v>
      </c>
      <c r="L57" s="186">
        <f t="shared" si="9"/>
        <v>6209.4699999999993</v>
      </c>
      <c r="M57" s="89">
        <v>46666</v>
      </c>
      <c r="N57" s="190">
        <f t="shared" si="10"/>
        <v>40456.53</v>
      </c>
    </row>
    <row r="58" spans="1:14" hidden="1">
      <c r="A58" s="15">
        <v>44317</v>
      </c>
      <c r="B58" s="263">
        <v>4044.5</v>
      </c>
      <c r="C58" s="263"/>
      <c r="D58" s="263">
        <v>0</v>
      </c>
      <c r="E58" s="263"/>
      <c r="F58" s="62">
        <v>0</v>
      </c>
      <c r="G58" s="85">
        <f t="shared" si="15"/>
        <v>4044.5</v>
      </c>
      <c r="H58" s="62">
        <v>0</v>
      </c>
      <c r="I58" s="62">
        <v>0</v>
      </c>
      <c r="J58" s="62">
        <v>0</v>
      </c>
      <c r="K58" s="87">
        <f t="shared" si="16"/>
        <v>0</v>
      </c>
      <c r="L58" s="186">
        <f t="shared" si="9"/>
        <v>4044.5</v>
      </c>
      <c r="M58" s="89">
        <v>46666</v>
      </c>
      <c r="N58" s="190">
        <f t="shared" si="10"/>
        <v>42621.5</v>
      </c>
    </row>
    <row r="59" spans="1:14" hidden="1">
      <c r="A59" s="15">
        <v>44348</v>
      </c>
      <c r="B59" s="263">
        <v>4678.5</v>
      </c>
      <c r="C59" s="263"/>
      <c r="D59" s="263">
        <v>0</v>
      </c>
      <c r="E59" s="263"/>
      <c r="F59" s="62">
        <v>0</v>
      </c>
      <c r="G59" s="85">
        <f t="shared" si="15"/>
        <v>4678.5</v>
      </c>
      <c r="H59" s="62">
        <v>9880</v>
      </c>
      <c r="I59" s="62">
        <v>0</v>
      </c>
      <c r="J59" s="62">
        <v>0</v>
      </c>
      <c r="K59" s="87">
        <f t="shared" si="16"/>
        <v>9880</v>
      </c>
      <c r="L59" s="186">
        <f t="shared" si="9"/>
        <v>14558.5</v>
      </c>
      <c r="M59" s="89">
        <v>46666</v>
      </c>
      <c r="N59" s="190">
        <f t="shared" si="10"/>
        <v>32107.5</v>
      </c>
    </row>
    <row r="60" spans="1:14" hidden="1">
      <c r="A60" s="15">
        <v>44378</v>
      </c>
      <c r="B60" s="263">
        <v>3708</v>
      </c>
      <c r="C60" s="263"/>
      <c r="D60" s="263">
        <v>0</v>
      </c>
      <c r="E60" s="263"/>
      <c r="F60" s="62">
        <v>0</v>
      </c>
      <c r="G60" s="85">
        <f t="shared" si="15"/>
        <v>3708</v>
      </c>
      <c r="H60" s="62">
        <v>0</v>
      </c>
      <c r="I60" s="62">
        <v>0</v>
      </c>
      <c r="J60" s="62">
        <v>0</v>
      </c>
      <c r="K60" s="87">
        <f t="shared" si="16"/>
        <v>0</v>
      </c>
      <c r="L60" s="186">
        <f t="shared" si="9"/>
        <v>3708</v>
      </c>
      <c r="M60" s="89">
        <v>46666</v>
      </c>
      <c r="N60" s="190">
        <f t="shared" si="10"/>
        <v>42958</v>
      </c>
    </row>
    <row r="61" spans="1:14" hidden="1">
      <c r="A61" s="15">
        <v>44409</v>
      </c>
      <c r="B61" s="263">
        <v>4223</v>
      </c>
      <c r="C61" s="263"/>
      <c r="D61" s="263">
        <v>0</v>
      </c>
      <c r="E61" s="263"/>
      <c r="F61" s="62">
        <v>0</v>
      </c>
      <c r="G61" s="85">
        <f t="shared" si="15"/>
        <v>4223</v>
      </c>
      <c r="H61" s="62">
        <v>33.6</v>
      </c>
      <c r="I61" s="62">
        <v>0</v>
      </c>
      <c r="J61" s="62">
        <v>0</v>
      </c>
      <c r="K61" s="87">
        <f t="shared" si="16"/>
        <v>33.6</v>
      </c>
      <c r="L61" s="186">
        <f t="shared" si="9"/>
        <v>4256.6000000000004</v>
      </c>
      <c r="M61" s="89">
        <v>46666</v>
      </c>
      <c r="N61" s="190">
        <f t="shared" si="10"/>
        <v>42409.4</v>
      </c>
    </row>
    <row r="62" spans="1:14" hidden="1">
      <c r="A62" s="15">
        <v>44440</v>
      </c>
      <c r="B62" s="263">
        <v>4223</v>
      </c>
      <c r="C62" s="263"/>
      <c r="D62" s="263">
        <v>1966.44</v>
      </c>
      <c r="E62" s="263"/>
      <c r="F62" s="62">
        <v>0</v>
      </c>
      <c r="G62" s="85">
        <f t="shared" si="15"/>
        <v>6189.4400000000005</v>
      </c>
      <c r="H62" s="62">
        <v>812.5</v>
      </c>
      <c r="I62" s="62">
        <v>2875.23</v>
      </c>
      <c r="J62" s="62">
        <v>0</v>
      </c>
      <c r="K62" s="87">
        <f t="shared" si="16"/>
        <v>3687.73</v>
      </c>
      <c r="L62" s="186">
        <f t="shared" si="9"/>
        <v>9877.17</v>
      </c>
      <c r="M62" s="89">
        <v>46666</v>
      </c>
      <c r="N62" s="190">
        <f t="shared" si="10"/>
        <v>36788.83</v>
      </c>
    </row>
    <row r="63" spans="1:14" hidden="1">
      <c r="A63" s="15">
        <v>44470</v>
      </c>
      <c r="B63" s="263">
        <v>2575</v>
      </c>
      <c r="C63" s="263"/>
      <c r="D63" s="263">
        <v>0</v>
      </c>
      <c r="E63" s="263"/>
      <c r="F63" s="62">
        <v>0</v>
      </c>
      <c r="G63" s="85">
        <f t="shared" si="15"/>
        <v>2575</v>
      </c>
      <c r="H63" s="62">
        <v>930</v>
      </c>
      <c r="I63" s="62">
        <v>0</v>
      </c>
      <c r="J63" s="62">
        <v>0</v>
      </c>
      <c r="K63" s="87">
        <f t="shared" si="16"/>
        <v>930</v>
      </c>
      <c r="L63" s="186">
        <f t="shared" si="9"/>
        <v>3505</v>
      </c>
      <c r="M63" s="89">
        <v>46666</v>
      </c>
      <c r="N63" s="190">
        <f t="shared" si="10"/>
        <v>43161</v>
      </c>
    </row>
    <row r="64" spans="1:14" hidden="1">
      <c r="A64" s="15">
        <v>44501</v>
      </c>
      <c r="B64" s="263">
        <v>4841</v>
      </c>
      <c r="C64" s="263"/>
      <c r="D64" s="263">
        <v>0</v>
      </c>
      <c r="E64" s="263"/>
      <c r="F64" s="62">
        <v>0</v>
      </c>
      <c r="G64" s="85">
        <f t="shared" si="15"/>
        <v>4841</v>
      </c>
      <c r="H64" s="62">
        <v>0</v>
      </c>
      <c r="I64" s="62">
        <v>0</v>
      </c>
      <c r="J64" s="62">
        <v>0</v>
      </c>
      <c r="K64" s="87">
        <f t="shared" si="16"/>
        <v>0</v>
      </c>
      <c r="L64" s="186">
        <f t="shared" si="9"/>
        <v>4841</v>
      </c>
      <c r="M64" s="89">
        <v>46666</v>
      </c>
      <c r="N64" s="190">
        <f t="shared" si="10"/>
        <v>41825</v>
      </c>
    </row>
    <row r="65" spans="1:14" hidden="1">
      <c r="A65" s="15">
        <v>44531</v>
      </c>
      <c r="B65" s="263">
        <v>4944</v>
      </c>
      <c r="C65" s="263"/>
      <c r="D65" s="263">
        <v>0</v>
      </c>
      <c r="E65" s="263"/>
      <c r="F65" s="62">
        <v>0</v>
      </c>
      <c r="G65" s="85">
        <f t="shared" si="15"/>
        <v>4944</v>
      </c>
      <c r="H65" s="62">
        <v>0</v>
      </c>
      <c r="I65" s="62">
        <v>0</v>
      </c>
      <c r="J65" s="62">
        <v>0</v>
      </c>
      <c r="K65" s="87">
        <f t="shared" si="16"/>
        <v>0</v>
      </c>
      <c r="L65" s="186">
        <f t="shared" si="9"/>
        <v>4944</v>
      </c>
      <c r="M65" s="89">
        <v>46666</v>
      </c>
      <c r="N65" s="190">
        <f t="shared" si="10"/>
        <v>41722</v>
      </c>
    </row>
    <row r="66" spans="1:14">
      <c r="A66" s="58">
        <v>2021</v>
      </c>
      <c r="B66" s="265">
        <f>SUM(B54:B65)</f>
        <v>59601.53</v>
      </c>
      <c r="C66" s="265"/>
      <c r="D66" s="265">
        <f>SUM(D54:D65)</f>
        <v>2762.38</v>
      </c>
      <c r="E66" s="265"/>
      <c r="F66" s="59">
        <f t="shared" ref="F66:K66" si="17">SUM(F54:F65)</f>
        <v>0</v>
      </c>
      <c r="G66" s="71">
        <f t="shared" si="17"/>
        <v>62363.91</v>
      </c>
      <c r="H66" s="64">
        <f t="shared" si="17"/>
        <v>11656.1</v>
      </c>
      <c r="I66" s="63">
        <f t="shared" si="17"/>
        <v>2875.23</v>
      </c>
      <c r="J66" s="63">
        <f t="shared" si="17"/>
        <v>0</v>
      </c>
      <c r="K66" s="79">
        <f t="shared" si="17"/>
        <v>14531.33</v>
      </c>
      <c r="L66" s="164">
        <f t="shared" si="9"/>
        <v>76895.240000000005</v>
      </c>
      <c r="M66" s="165">
        <f>SUM(M54:M65)</f>
        <v>559992</v>
      </c>
      <c r="N66" s="190">
        <f t="shared" si="10"/>
        <v>483096.76</v>
      </c>
    </row>
    <row r="67" spans="1:14" hidden="1">
      <c r="A67" s="169">
        <v>44562</v>
      </c>
      <c r="B67" s="263">
        <v>6798</v>
      </c>
      <c r="C67" s="263"/>
      <c r="D67" s="263">
        <v>0</v>
      </c>
      <c r="E67" s="263"/>
      <c r="F67" s="62">
        <v>0</v>
      </c>
      <c r="G67" s="85">
        <f>SUM(B67:F67)</f>
        <v>6798</v>
      </c>
      <c r="H67" s="62">
        <v>0</v>
      </c>
      <c r="I67" s="62">
        <v>0</v>
      </c>
      <c r="J67" s="62">
        <v>0</v>
      </c>
      <c r="K67" s="87">
        <f t="shared" ref="K67:K78" si="18">SUM(H67:J67)</f>
        <v>0</v>
      </c>
      <c r="L67" s="186">
        <f t="shared" si="9"/>
        <v>6798</v>
      </c>
      <c r="M67" s="89">
        <v>40000</v>
      </c>
      <c r="N67" s="189">
        <f t="shared" ref="N67:N79" si="19">M67-L67</f>
        <v>33202</v>
      </c>
    </row>
    <row r="68" spans="1:14" hidden="1">
      <c r="A68" s="169">
        <v>44593</v>
      </c>
      <c r="B68" s="263">
        <v>3456</v>
      </c>
      <c r="C68" s="263"/>
      <c r="D68" s="263">
        <v>0</v>
      </c>
      <c r="E68" s="263"/>
      <c r="F68" s="62">
        <v>0</v>
      </c>
      <c r="G68" s="85">
        <f>SUM(B68:F68)</f>
        <v>3456</v>
      </c>
      <c r="H68" s="62">
        <v>0</v>
      </c>
      <c r="I68" s="62">
        <v>0</v>
      </c>
      <c r="J68" s="62">
        <v>0</v>
      </c>
      <c r="K68" s="87">
        <f t="shared" si="18"/>
        <v>0</v>
      </c>
      <c r="L68" s="186">
        <f t="shared" si="9"/>
        <v>3456</v>
      </c>
      <c r="M68" s="89">
        <v>40000</v>
      </c>
      <c r="N68" s="189">
        <f t="shared" si="19"/>
        <v>36544</v>
      </c>
    </row>
    <row r="69" spans="1:14" hidden="1">
      <c r="A69" s="169">
        <v>44621</v>
      </c>
      <c r="B69" s="263">
        <v>5794</v>
      </c>
      <c r="C69" s="263"/>
      <c r="D69" s="263">
        <v>0</v>
      </c>
      <c r="E69" s="263"/>
      <c r="F69" s="62">
        <v>0</v>
      </c>
      <c r="G69" s="85">
        <f t="shared" ref="G69:G78" si="20">SUM(B69:F69)</f>
        <v>5794</v>
      </c>
      <c r="H69" s="62">
        <v>2030</v>
      </c>
      <c r="I69" s="62">
        <v>1020</v>
      </c>
      <c r="J69" s="62">
        <v>0</v>
      </c>
      <c r="K69" s="87">
        <f t="shared" si="18"/>
        <v>3050</v>
      </c>
      <c r="L69" s="186">
        <f t="shared" si="9"/>
        <v>8844</v>
      </c>
      <c r="M69" s="89">
        <v>40000</v>
      </c>
      <c r="N69" s="189">
        <f t="shared" si="19"/>
        <v>31156</v>
      </c>
    </row>
    <row r="70" spans="1:14" hidden="1">
      <c r="A70" s="169">
        <v>44652</v>
      </c>
      <c r="B70" s="263">
        <v>5057</v>
      </c>
      <c r="C70" s="263"/>
      <c r="D70" s="263">
        <v>0</v>
      </c>
      <c r="E70" s="263"/>
      <c r="F70" s="62">
        <v>0</v>
      </c>
      <c r="G70" s="85">
        <f t="shared" si="20"/>
        <v>5057</v>
      </c>
      <c r="H70" s="62">
        <v>0</v>
      </c>
      <c r="I70" s="62">
        <v>0</v>
      </c>
      <c r="J70" s="62">
        <v>0</v>
      </c>
      <c r="K70" s="87">
        <f t="shared" si="18"/>
        <v>0</v>
      </c>
      <c r="L70" s="186">
        <f t="shared" si="9"/>
        <v>5057</v>
      </c>
      <c r="M70" s="89">
        <v>40000</v>
      </c>
      <c r="N70" s="189">
        <f t="shared" si="19"/>
        <v>34943</v>
      </c>
    </row>
    <row r="71" spans="1:14" hidden="1">
      <c r="A71" s="169">
        <v>44682</v>
      </c>
      <c r="B71" s="263">
        <v>3685</v>
      </c>
      <c r="C71" s="263"/>
      <c r="D71" s="263">
        <v>1047.42</v>
      </c>
      <c r="E71" s="263"/>
      <c r="F71" s="62">
        <v>0</v>
      </c>
      <c r="G71" s="85">
        <f t="shared" si="20"/>
        <v>4732.42</v>
      </c>
      <c r="H71" s="62">
        <v>3457</v>
      </c>
      <c r="I71" s="62">
        <v>1392</v>
      </c>
      <c r="J71" s="62">
        <v>0</v>
      </c>
      <c r="K71" s="87">
        <f t="shared" si="18"/>
        <v>4849</v>
      </c>
      <c r="L71" s="186">
        <f t="shared" si="9"/>
        <v>9581.42</v>
      </c>
      <c r="M71" s="89">
        <v>40000</v>
      </c>
      <c r="N71" s="189">
        <f t="shared" si="19"/>
        <v>30418.58</v>
      </c>
    </row>
    <row r="72" spans="1:14" hidden="1">
      <c r="A72" s="169">
        <v>44713</v>
      </c>
      <c r="B72" s="263">
        <v>0</v>
      </c>
      <c r="C72" s="263"/>
      <c r="D72" s="263">
        <v>0</v>
      </c>
      <c r="E72" s="263"/>
      <c r="F72" s="62">
        <v>0</v>
      </c>
      <c r="G72" s="85">
        <f t="shared" si="20"/>
        <v>0</v>
      </c>
      <c r="H72" s="62">
        <v>0</v>
      </c>
      <c r="I72" s="62">
        <v>0</v>
      </c>
      <c r="J72" s="62">
        <v>0</v>
      </c>
      <c r="K72" s="87">
        <f t="shared" si="18"/>
        <v>0</v>
      </c>
      <c r="L72" s="186">
        <f t="shared" si="9"/>
        <v>0</v>
      </c>
      <c r="M72" s="89">
        <v>40000</v>
      </c>
      <c r="N72" s="189">
        <f t="shared" si="19"/>
        <v>40000</v>
      </c>
    </row>
    <row r="73" spans="1:14" hidden="1">
      <c r="A73" s="169">
        <v>44743</v>
      </c>
      <c r="B73" s="263">
        <v>0</v>
      </c>
      <c r="C73" s="263"/>
      <c r="D73" s="263">
        <v>0</v>
      </c>
      <c r="E73" s="263"/>
      <c r="F73" s="62">
        <v>0</v>
      </c>
      <c r="G73" s="85">
        <f t="shared" si="20"/>
        <v>0</v>
      </c>
      <c r="H73" s="62">
        <v>0</v>
      </c>
      <c r="I73" s="62">
        <v>0</v>
      </c>
      <c r="J73" s="62">
        <v>0</v>
      </c>
      <c r="K73" s="87">
        <f t="shared" si="18"/>
        <v>0</v>
      </c>
      <c r="L73" s="186">
        <f t="shared" si="9"/>
        <v>0</v>
      </c>
      <c r="M73" s="89">
        <v>40000</v>
      </c>
      <c r="N73" s="189">
        <f t="shared" si="19"/>
        <v>40000</v>
      </c>
    </row>
    <row r="74" spans="1:14" hidden="1">
      <c r="A74" s="169">
        <v>44774</v>
      </c>
      <c r="B74" s="263">
        <v>89</v>
      </c>
      <c r="C74" s="263"/>
      <c r="D74" s="263">
        <v>0</v>
      </c>
      <c r="E74" s="263"/>
      <c r="F74" s="62">
        <v>0</v>
      </c>
      <c r="G74" s="85">
        <f t="shared" si="20"/>
        <v>89</v>
      </c>
      <c r="H74" s="62">
        <v>2765</v>
      </c>
      <c r="I74" s="62">
        <v>0</v>
      </c>
      <c r="J74" s="62">
        <v>0</v>
      </c>
      <c r="K74" s="87">
        <f t="shared" si="18"/>
        <v>2765</v>
      </c>
      <c r="L74" s="186">
        <f t="shared" si="9"/>
        <v>2854</v>
      </c>
      <c r="M74" s="89">
        <v>40000</v>
      </c>
      <c r="N74" s="189">
        <f t="shared" si="19"/>
        <v>37146</v>
      </c>
    </row>
    <row r="75" spans="1:14" hidden="1">
      <c r="A75" s="169">
        <v>44805</v>
      </c>
      <c r="B75" s="263">
        <v>0</v>
      </c>
      <c r="C75" s="263"/>
      <c r="D75" s="263">
        <v>0</v>
      </c>
      <c r="E75" s="263"/>
      <c r="F75" s="62">
        <v>0</v>
      </c>
      <c r="G75" s="85">
        <f t="shared" si="20"/>
        <v>0</v>
      </c>
      <c r="H75" s="62">
        <v>0</v>
      </c>
      <c r="I75" s="62">
        <v>0</v>
      </c>
      <c r="J75" s="62">
        <v>0</v>
      </c>
      <c r="K75" s="87">
        <f t="shared" si="18"/>
        <v>0</v>
      </c>
      <c r="L75" s="186">
        <f t="shared" si="9"/>
        <v>0</v>
      </c>
      <c r="M75" s="89">
        <v>40000</v>
      </c>
      <c r="N75" s="189">
        <f t="shared" si="19"/>
        <v>40000</v>
      </c>
    </row>
    <row r="76" spans="1:14" hidden="1">
      <c r="A76" s="169">
        <v>44835</v>
      </c>
      <c r="B76" s="263">
        <v>0</v>
      </c>
      <c r="C76" s="263"/>
      <c r="D76" s="263">
        <v>0</v>
      </c>
      <c r="E76" s="263"/>
      <c r="F76" s="62">
        <v>0</v>
      </c>
      <c r="G76" s="85">
        <f t="shared" si="20"/>
        <v>0</v>
      </c>
      <c r="H76" s="62">
        <v>0</v>
      </c>
      <c r="I76" s="62">
        <v>0</v>
      </c>
      <c r="J76" s="62">
        <v>0</v>
      </c>
      <c r="K76" s="87">
        <f t="shared" si="18"/>
        <v>0</v>
      </c>
      <c r="L76" s="186">
        <f t="shared" si="9"/>
        <v>0</v>
      </c>
      <c r="M76" s="89">
        <v>40000</v>
      </c>
      <c r="N76" s="189">
        <f t="shared" si="19"/>
        <v>40000</v>
      </c>
    </row>
    <row r="77" spans="1:14" hidden="1">
      <c r="A77" s="169">
        <v>44866</v>
      </c>
      <c r="B77" s="263">
        <v>4104</v>
      </c>
      <c r="C77" s="263"/>
      <c r="D77" s="263">
        <v>0</v>
      </c>
      <c r="E77" s="263"/>
      <c r="F77" s="62">
        <v>0</v>
      </c>
      <c r="G77" s="85">
        <f t="shared" si="20"/>
        <v>4104</v>
      </c>
      <c r="H77" s="62">
        <v>0</v>
      </c>
      <c r="I77" s="62">
        <v>0</v>
      </c>
      <c r="J77" s="62">
        <v>0</v>
      </c>
      <c r="K77" s="87">
        <f t="shared" si="18"/>
        <v>0</v>
      </c>
      <c r="L77" s="186">
        <f t="shared" si="9"/>
        <v>4104</v>
      </c>
      <c r="M77" s="89">
        <v>40000</v>
      </c>
      <c r="N77" s="189">
        <f t="shared" si="19"/>
        <v>35896</v>
      </c>
    </row>
    <row r="78" spans="1:14" hidden="1">
      <c r="A78" s="169">
        <v>44896</v>
      </c>
      <c r="B78" s="263">
        <v>7020</v>
      </c>
      <c r="C78" s="263"/>
      <c r="D78" s="263">
        <v>1932</v>
      </c>
      <c r="E78" s="263"/>
      <c r="F78" s="62">
        <v>0</v>
      </c>
      <c r="G78" s="85">
        <f t="shared" si="20"/>
        <v>8952</v>
      </c>
      <c r="H78" s="62">
        <v>0</v>
      </c>
      <c r="I78" s="62">
        <v>0</v>
      </c>
      <c r="J78" s="62">
        <v>0</v>
      </c>
      <c r="K78" s="87">
        <f t="shared" si="18"/>
        <v>0</v>
      </c>
      <c r="L78" s="186">
        <f t="shared" si="9"/>
        <v>8952</v>
      </c>
      <c r="M78" s="89">
        <v>40000</v>
      </c>
      <c r="N78" s="189">
        <f t="shared" si="19"/>
        <v>31048</v>
      </c>
    </row>
    <row r="79" spans="1:14">
      <c r="A79" s="58">
        <v>2022</v>
      </c>
      <c r="B79" s="265">
        <f>SUM(B67:B78)</f>
        <v>36003</v>
      </c>
      <c r="C79" s="265"/>
      <c r="D79" s="265">
        <f>SUM(D67:D78)</f>
        <v>2979.42</v>
      </c>
      <c r="E79" s="265"/>
      <c r="F79" s="59">
        <f t="shared" ref="F79:K79" si="21">SUM(F67:F78)</f>
        <v>0</v>
      </c>
      <c r="G79" s="71">
        <f t="shared" si="21"/>
        <v>38982.42</v>
      </c>
      <c r="H79" s="64">
        <f t="shared" si="21"/>
        <v>8252</v>
      </c>
      <c r="I79" s="63">
        <f t="shared" si="21"/>
        <v>2412</v>
      </c>
      <c r="J79" s="63">
        <f t="shared" si="21"/>
        <v>0</v>
      </c>
      <c r="K79" s="79">
        <f t="shared" si="21"/>
        <v>10664</v>
      </c>
      <c r="L79" s="164">
        <f>K79+G79</f>
        <v>49646.42</v>
      </c>
      <c r="M79" s="165">
        <f>SUM(M67:M78)</f>
        <v>480000</v>
      </c>
      <c r="N79" s="189">
        <f t="shared" si="19"/>
        <v>430353.58</v>
      </c>
    </row>
    <row r="80" spans="1:14">
      <c r="A80" s="15">
        <v>44927</v>
      </c>
      <c r="B80" s="263">
        <v>3672</v>
      </c>
      <c r="C80" s="263"/>
      <c r="D80" s="263">
        <v>0</v>
      </c>
      <c r="E80" s="263"/>
      <c r="F80" s="62">
        <v>0</v>
      </c>
      <c r="G80" s="85">
        <f>SUM(B80:F80)</f>
        <v>3672</v>
      </c>
      <c r="H80" s="62">
        <v>0</v>
      </c>
      <c r="I80" s="62">
        <v>0</v>
      </c>
      <c r="J80" s="62">
        <v>0</v>
      </c>
      <c r="K80" s="87">
        <f t="shared" ref="K80:K91" si="22">SUM(H80:J80)</f>
        <v>0</v>
      </c>
      <c r="L80" s="186">
        <f t="shared" ref="L80:L91" si="23">K80+G80</f>
        <v>3672</v>
      </c>
      <c r="M80" s="89">
        <v>53333</v>
      </c>
      <c r="N80" s="89">
        <f t="shared" ref="N80:N92" si="24">M80-L80</f>
        <v>49661</v>
      </c>
    </row>
    <row r="81" spans="1:14">
      <c r="A81" s="15">
        <v>44958</v>
      </c>
      <c r="B81" s="263">
        <v>6480</v>
      </c>
      <c r="C81" s="263"/>
      <c r="D81" s="263">
        <v>0</v>
      </c>
      <c r="E81" s="263"/>
      <c r="F81" s="62">
        <v>0</v>
      </c>
      <c r="G81" s="85">
        <f>SUM(B81:F81)</f>
        <v>6480</v>
      </c>
      <c r="H81" s="62">
        <v>766.4</v>
      </c>
      <c r="I81" s="62">
        <v>0</v>
      </c>
      <c r="J81" s="62">
        <v>0</v>
      </c>
      <c r="K81" s="87">
        <f t="shared" si="22"/>
        <v>766.4</v>
      </c>
      <c r="L81" s="186">
        <f t="shared" si="23"/>
        <v>7246.4</v>
      </c>
      <c r="M81" s="89">
        <v>53333</v>
      </c>
      <c r="N81" s="89">
        <f t="shared" si="24"/>
        <v>46086.6</v>
      </c>
    </row>
    <row r="82" spans="1:14">
      <c r="A82" s="15">
        <v>44986</v>
      </c>
      <c r="B82" s="263">
        <v>5292</v>
      </c>
      <c r="C82" s="263"/>
      <c r="D82" s="263">
        <v>728</v>
      </c>
      <c r="E82" s="263"/>
      <c r="F82" s="62">
        <v>0</v>
      </c>
      <c r="G82" s="85">
        <f t="shared" ref="G82:G91" si="25">SUM(B82:F82)</f>
        <v>6020</v>
      </c>
      <c r="H82" s="62">
        <v>0</v>
      </c>
      <c r="I82" s="62">
        <v>0</v>
      </c>
      <c r="J82" s="62">
        <v>0</v>
      </c>
      <c r="K82" s="87">
        <f t="shared" si="22"/>
        <v>0</v>
      </c>
      <c r="L82" s="186">
        <f t="shared" si="23"/>
        <v>6020</v>
      </c>
      <c r="M82" s="89">
        <v>53333</v>
      </c>
      <c r="N82" s="89">
        <f t="shared" si="24"/>
        <v>47313</v>
      </c>
    </row>
    <row r="83" spans="1:14">
      <c r="A83" s="15">
        <v>45017</v>
      </c>
      <c r="B83" s="263">
        <v>3240</v>
      </c>
      <c r="C83" s="263"/>
      <c r="D83" s="263">
        <v>0</v>
      </c>
      <c r="E83" s="263"/>
      <c r="F83" s="62">
        <v>0</v>
      </c>
      <c r="G83" s="85">
        <f t="shared" si="25"/>
        <v>3240</v>
      </c>
      <c r="H83" s="62">
        <v>0</v>
      </c>
      <c r="I83" s="62">
        <v>43.81</v>
      </c>
      <c r="J83" s="62">
        <v>0</v>
      </c>
      <c r="K83" s="87">
        <f t="shared" si="22"/>
        <v>43.81</v>
      </c>
      <c r="L83" s="186">
        <f t="shared" si="23"/>
        <v>3283.81</v>
      </c>
      <c r="M83" s="89">
        <v>53333</v>
      </c>
      <c r="N83" s="89">
        <f t="shared" si="24"/>
        <v>50049.19</v>
      </c>
    </row>
    <row r="84" spans="1:14">
      <c r="A84" s="15">
        <v>45047</v>
      </c>
      <c r="B84" s="263">
        <v>3723.06</v>
      </c>
      <c r="C84" s="263"/>
      <c r="D84" s="263">
        <v>0</v>
      </c>
      <c r="E84" s="263"/>
      <c r="F84" s="62">
        <v>0</v>
      </c>
      <c r="G84" s="85">
        <f t="shared" si="25"/>
        <v>3723.06</v>
      </c>
      <c r="H84" s="62">
        <v>4518.26</v>
      </c>
      <c r="I84" s="62">
        <v>963.85</v>
      </c>
      <c r="J84" s="62">
        <v>0</v>
      </c>
      <c r="K84" s="87">
        <f t="shared" si="22"/>
        <v>5482.1100000000006</v>
      </c>
      <c r="L84" s="186">
        <f t="shared" si="23"/>
        <v>9205.17</v>
      </c>
      <c r="M84" s="89">
        <v>53333</v>
      </c>
      <c r="N84" s="89">
        <f t="shared" si="24"/>
        <v>44127.83</v>
      </c>
    </row>
    <row r="85" spans="1:14">
      <c r="A85" s="15">
        <v>45078</v>
      </c>
      <c r="B85" s="263">
        <v>4320</v>
      </c>
      <c r="C85" s="263"/>
      <c r="D85" s="263">
        <v>0</v>
      </c>
      <c r="E85" s="263"/>
      <c r="F85" s="62">
        <v>0</v>
      </c>
      <c r="G85" s="85">
        <f t="shared" si="25"/>
        <v>4320</v>
      </c>
      <c r="H85" s="62">
        <v>956</v>
      </c>
      <c r="I85" s="62">
        <v>16501.439999999999</v>
      </c>
      <c r="J85" s="62">
        <v>0</v>
      </c>
      <c r="K85" s="87">
        <f t="shared" si="22"/>
        <v>17457.439999999999</v>
      </c>
      <c r="L85" s="186">
        <f t="shared" si="23"/>
        <v>21777.439999999999</v>
      </c>
      <c r="M85" s="89">
        <v>53333</v>
      </c>
      <c r="N85" s="89">
        <f t="shared" si="24"/>
        <v>31555.56</v>
      </c>
    </row>
    <row r="86" spans="1:14">
      <c r="A86" s="15">
        <v>45108</v>
      </c>
      <c r="B86" s="263">
        <v>3888</v>
      </c>
      <c r="C86" s="263"/>
      <c r="D86" s="263">
        <v>0</v>
      </c>
      <c r="E86" s="263"/>
      <c r="F86" s="62">
        <v>0</v>
      </c>
      <c r="G86" s="85">
        <f t="shared" si="25"/>
        <v>3888</v>
      </c>
      <c r="H86" s="62">
        <v>2294.83</v>
      </c>
      <c r="I86" s="62">
        <v>0</v>
      </c>
      <c r="J86" s="62">
        <v>0</v>
      </c>
      <c r="K86" s="87">
        <f t="shared" si="22"/>
        <v>2294.83</v>
      </c>
      <c r="L86" s="186">
        <f t="shared" si="23"/>
        <v>6182.83</v>
      </c>
      <c r="M86" s="89">
        <v>53333</v>
      </c>
      <c r="N86" s="89">
        <f t="shared" si="24"/>
        <v>47150.17</v>
      </c>
    </row>
    <row r="87" spans="1:14">
      <c r="A87" s="15">
        <v>45139</v>
      </c>
      <c r="B87" s="263">
        <v>4200</v>
      </c>
      <c r="C87" s="263"/>
      <c r="D87" s="263">
        <v>0</v>
      </c>
      <c r="E87" s="263"/>
      <c r="F87" s="62">
        <v>0</v>
      </c>
      <c r="G87" s="85">
        <f t="shared" si="25"/>
        <v>4200</v>
      </c>
      <c r="H87" s="62">
        <v>0</v>
      </c>
      <c r="I87" s="62">
        <v>0</v>
      </c>
      <c r="J87" s="62">
        <v>0</v>
      </c>
      <c r="K87" s="87">
        <f t="shared" si="22"/>
        <v>0</v>
      </c>
      <c r="L87" s="186">
        <f t="shared" si="23"/>
        <v>4200</v>
      </c>
      <c r="M87" s="89">
        <v>53333</v>
      </c>
      <c r="N87" s="89">
        <f t="shared" si="24"/>
        <v>49133</v>
      </c>
    </row>
    <row r="88" spans="1:14">
      <c r="A88" s="15">
        <v>45170</v>
      </c>
      <c r="B88" s="263">
        <v>2736</v>
      </c>
      <c r="C88" s="263"/>
      <c r="D88" s="263">
        <v>676</v>
      </c>
      <c r="E88" s="263"/>
      <c r="F88" s="62">
        <v>0</v>
      </c>
      <c r="G88" s="85">
        <f t="shared" si="25"/>
        <v>3412</v>
      </c>
      <c r="H88" s="62">
        <v>0</v>
      </c>
      <c r="I88" s="62">
        <v>0</v>
      </c>
      <c r="J88" s="62">
        <v>0</v>
      </c>
      <c r="K88" s="87">
        <f t="shared" si="22"/>
        <v>0</v>
      </c>
      <c r="L88" s="186">
        <f t="shared" si="23"/>
        <v>3412</v>
      </c>
      <c r="M88" s="89">
        <v>53333</v>
      </c>
      <c r="N88" s="89">
        <f t="shared" si="24"/>
        <v>49921</v>
      </c>
    </row>
    <row r="89" spans="1:14">
      <c r="A89" s="15">
        <v>45200</v>
      </c>
      <c r="B89" s="263">
        <v>5832</v>
      </c>
      <c r="C89" s="263"/>
      <c r="D89" s="263">
        <v>0</v>
      </c>
      <c r="E89" s="263"/>
      <c r="F89" s="62">
        <v>0</v>
      </c>
      <c r="G89" s="85">
        <f t="shared" si="25"/>
        <v>5832</v>
      </c>
      <c r="H89" s="62">
        <v>0</v>
      </c>
      <c r="I89" s="62">
        <v>5025.1399999999994</v>
      </c>
      <c r="J89" s="62">
        <v>0</v>
      </c>
      <c r="K89" s="87">
        <f t="shared" si="22"/>
        <v>5025.1399999999994</v>
      </c>
      <c r="L89" s="186">
        <f t="shared" si="23"/>
        <v>10857.14</v>
      </c>
      <c r="M89" s="89">
        <v>53333</v>
      </c>
      <c r="N89" s="89">
        <f t="shared" si="24"/>
        <v>42475.86</v>
      </c>
    </row>
    <row r="90" spans="1:14">
      <c r="A90" s="15">
        <v>45231</v>
      </c>
      <c r="B90" s="263">
        <v>2376</v>
      </c>
      <c r="C90" s="263"/>
      <c r="D90" s="263">
        <v>0</v>
      </c>
      <c r="E90" s="263"/>
      <c r="F90" s="62">
        <v>0</v>
      </c>
      <c r="G90" s="85">
        <f t="shared" si="25"/>
        <v>2376</v>
      </c>
      <c r="H90" s="62">
        <v>0</v>
      </c>
      <c r="I90" s="62">
        <v>0</v>
      </c>
      <c r="J90" s="62">
        <v>0</v>
      </c>
      <c r="K90" s="87">
        <f t="shared" si="22"/>
        <v>0</v>
      </c>
      <c r="L90" s="186">
        <f t="shared" si="23"/>
        <v>2376</v>
      </c>
      <c r="M90" s="89">
        <v>53333</v>
      </c>
      <c r="N90" s="89">
        <f t="shared" si="24"/>
        <v>50957</v>
      </c>
    </row>
    <row r="91" spans="1:14">
      <c r="A91" s="15">
        <v>45261</v>
      </c>
      <c r="B91" s="263">
        <v>3576</v>
      </c>
      <c r="C91" s="263"/>
      <c r="D91" s="263">
        <v>0</v>
      </c>
      <c r="E91" s="263"/>
      <c r="F91" s="62">
        <v>0</v>
      </c>
      <c r="G91" s="85">
        <f t="shared" si="25"/>
        <v>3576</v>
      </c>
      <c r="H91" s="62">
        <v>0</v>
      </c>
      <c r="I91" s="62">
        <v>31.67</v>
      </c>
      <c r="J91" s="62">
        <v>0</v>
      </c>
      <c r="K91" s="87">
        <f t="shared" si="22"/>
        <v>31.67</v>
      </c>
      <c r="L91" s="186">
        <f t="shared" si="23"/>
        <v>3607.67</v>
      </c>
      <c r="M91" s="89">
        <v>53337</v>
      </c>
      <c r="N91" s="89">
        <f t="shared" si="24"/>
        <v>49729.33</v>
      </c>
    </row>
    <row r="92" spans="1:14">
      <c r="A92" s="58">
        <v>2023</v>
      </c>
      <c r="B92" s="265">
        <f>SUM(B80:B91)</f>
        <v>49335.06</v>
      </c>
      <c r="C92" s="265"/>
      <c r="D92" s="265">
        <f>SUM(D80:D91)</f>
        <v>1404</v>
      </c>
      <c r="E92" s="265"/>
      <c r="F92" s="59">
        <f t="shared" ref="F92" si="26">SUM(F80:F91)</f>
        <v>0</v>
      </c>
      <c r="G92" s="71">
        <f t="shared" ref="G92" si="27">SUM(G80:G91)</f>
        <v>50739.06</v>
      </c>
      <c r="H92" s="64">
        <f t="shared" ref="H92" si="28">SUM(H80:H91)</f>
        <v>8535.49</v>
      </c>
      <c r="I92" s="63">
        <f t="shared" ref="I92" si="29">SUM(I80:I91)</f>
        <v>22565.909999999996</v>
      </c>
      <c r="J92" s="63">
        <f t="shared" ref="J92" si="30">SUM(J80:J91)</f>
        <v>0</v>
      </c>
      <c r="K92" s="79">
        <f t="shared" ref="K92" si="31">SUM(K80:K91)</f>
        <v>31101.399999999994</v>
      </c>
      <c r="L92" s="164">
        <f>K92+G92</f>
        <v>81840.459999999992</v>
      </c>
      <c r="M92" s="165">
        <f>SUM(M80:M91)</f>
        <v>640000</v>
      </c>
      <c r="N92" s="165">
        <f t="shared" si="24"/>
        <v>558159.54</v>
      </c>
    </row>
    <row r="93" spans="1:14">
      <c r="B93" s="54"/>
      <c r="F93" s="54"/>
      <c r="G93" s="84"/>
      <c r="H93" s="54"/>
      <c r="I93" s="54"/>
      <c r="J93" s="54"/>
      <c r="K93" s="86"/>
      <c r="L93" s="82"/>
      <c r="M93" s="88"/>
      <c r="N93" s="88"/>
    </row>
    <row r="94" spans="1:14">
      <c r="A94" s="66" t="s">
        <v>25</v>
      </c>
      <c r="B94" s="298">
        <f>B24+B25+B26+B27+B40+B53+B66+B79+B92</f>
        <v>536882.43000000017</v>
      </c>
      <c r="C94" s="298"/>
      <c r="D94" s="298">
        <f>D24+D25+D26+D27+D40+D53+D66+D79+D92</f>
        <v>66875.42</v>
      </c>
      <c r="E94" s="298"/>
      <c r="F94" s="229">
        <f>F24+F25+F26+F27+F40+F53+F66+F79+F92</f>
        <v>1057450.46</v>
      </c>
      <c r="G94" s="229">
        <f>G24+G25+G26+G27+G40+G53+G66+G79+G92</f>
        <v>1661208.3099999998</v>
      </c>
      <c r="H94" s="89">
        <f>H26+H25+H24+H27+H40+H53+H66+H79+H92</f>
        <v>236047.99</v>
      </c>
      <c r="I94" s="89">
        <f>I26+I25+I24+I27+I40+I53+I66+I79+I92</f>
        <v>85866.57</v>
      </c>
      <c r="J94" s="89">
        <f>J26+J25+J24+J27+J40+J53+J66+J79+J92</f>
        <v>390270</v>
      </c>
      <c r="K94" s="89">
        <f>K26+K25+K24+K27+K40+K53+K66+K79+K92</f>
        <v>712184.55999999982</v>
      </c>
      <c r="L94" s="83">
        <f>L24+L25+L26+L27+L40+L53+L66+L79+L92</f>
        <v>2373392.87</v>
      </c>
      <c r="M94" s="89">
        <f>M26+M25+M24+M27+M40+M53+M66+M79+M92</f>
        <v>5465952</v>
      </c>
      <c r="N94" s="89">
        <f>N26+N25+N24+N27+N40+N53+N66+N79+N92</f>
        <v>3092559.13</v>
      </c>
    </row>
    <row r="95" spans="1:14">
      <c r="M95" s="46" t="s">
        <v>50</v>
      </c>
      <c r="N95" s="89">
        <f>N94-B98-B99-B100-B101-B102-B103-B104-B105-B106+B108+B109+B110+B111+B112+B113+B114</f>
        <v>2639499.21</v>
      </c>
    </row>
    <row r="96" spans="1:14">
      <c r="M96" s="46"/>
      <c r="N96" s="89"/>
    </row>
    <row r="97" spans="1:12" ht="15" customHeight="1">
      <c r="A97" s="259" t="s">
        <v>28</v>
      </c>
      <c r="B97" s="260"/>
      <c r="D97" s="291" t="s">
        <v>40</v>
      </c>
      <c r="E97" s="292"/>
      <c r="F97" s="292"/>
      <c r="G97" s="292"/>
      <c r="H97" s="161"/>
    </row>
    <row r="98" spans="1:12" ht="15" customHeight="1">
      <c r="A98" s="97">
        <v>2015</v>
      </c>
      <c r="B98" s="65">
        <v>40.200000000000003</v>
      </c>
      <c r="D98" s="118"/>
      <c r="E98" s="119"/>
      <c r="F98" s="119"/>
      <c r="G98" s="119"/>
      <c r="H98" s="119"/>
      <c r="I98" s="119"/>
      <c r="J98" s="119"/>
      <c r="K98" s="119"/>
      <c r="L98" s="120"/>
    </row>
    <row r="99" spans="1:12" ht="15" customHeight="1">
      <c r="A99" s="109">
        <v>2016</v>
      </c>
      <c r="B99" s="61">
        <v>32832.730000000003</v>
      </c>
      <c r="C99" s="109"/>
      <c r="D99" s="42"/>
      <c r="E99" s="106">
        <v>2017</v>
      </c>
      <c r="F99" s="106">
        <v>2018</v>
      </c>
      <c r="G99" s="106">
        <v>2019</v>
      </c>
      <c r="H99" s="106">
        <v>2020</v>
      </c>
      <c r="I99" s="106">
        <v>2021</v>
      </c>
      <c r="J99" s="106">
        <v>2022</v>
      </c>
      <c r="K99" s="106">
        <v>2023</v>
      </c>
      <c r="L99" s="124" t="s">
        <v>48</v>
      </c>
    </row>
    <row r="100" spans="1:12" ht="15" customHeight="1">
      <c r="A100" s="109">
        <v>2017</v>
      </c>
      <c r="B100" s="61">
        <v>58533.86</v>
      </c>
      <c r="D100" s="15" t="s">
        <v>83</v>
      </c>
      <c r="E100" s="117">
        <v>71641.881599999993</v>
      </c>
      <c r="F100" s="117">
        <v>133647.984</v>
      </c>
      <c r="G100" s="117">
        <v>117227.62239999999</v>
      </c>
      <c r="H100" s="117">
        <v>117804.99</v>
      </c>
      <c r="I100" s="117">
        <v>125175.2</v>
      </c>
      <c r="J100" s="117">
        <v>148120.29999999999</v>
      </c>
      <c r="K100" s="117">
        <v>74892.990000000005</v>
      </c>
      <c r="L100" s="125">
        <f>SUM(E100:K100)</f>
        <v>788510.96799999988</v>
      </c>
    </row>
    <row r="101" spans="1:12" ht="15" customHeight="1">
      <c r="A101" s="109">
        <v>2018</v>
      </c>
      <c r="B101" s="61">
        <v>66021.39</v>
      </c>
      <c r="D101" s="15" t="s">
        <v>84</v>
      </c>
      <c r="E101" s="117">
        <v>103217.232</v>
      </c>
      <c r="F101" s="117">
        <v>160511.21</v>
      </c>
      <c r="G101" s="117">
        <v>142404.03520000001</v>
      </c>
      <c r="H101" s="117">
        <v>174952.23</v>
      </c>
      <c r="I101" s="117">
        <v>130138.23999999999</v>
      </c>
      <c r="J101" s="117">
        <v>168732.04</v>
      </c>
      <c r="K101" s="117">
        <v>143704.61000000002</v>
      </c>
      <c r="L101" s="125">
        <f t="shared" ref="L101:L111" si="32">SUM(E101:K101)</f>
        <v>1023659.5972</v>
      </c>
    </row>
    <row r="102" spans="1:12" ht="15" customHeight="1">
      <c r="A102" s="109">
        <v>2019</v>
      </c>
      <c r="B102" s="61">
        <v>72631.259999999995</v>
      </c>
      <c r="D102" s="15" t="s">
        <v>85</v>
      </c>
      <c r="E102" s="117">
        <v>184422.94560000001</v>
      </c>
      <c r="F102" s="117">
        <v>218879.92480000001</v>
      </c>
      <c r="G102" s="117">
        <v>186812.32</v>
      </c>
      <c r="H102" s="117">
        <v>210776.78999999998</v>
      </c>
      <c r="I102" s="117">
        <v>182767.34</v>
      </c>
      <c r="J102" s="117">
        <v>220063.8</v>
      </c>
      <c r="K102" s="117">
        <v>167691.66</v>
      </c>
      <c r="L102" s="125">
        <f t="shared" si="32"/>
        <v>1371414.7803999998</v>
      </c>
    </row>
    <row r="103" spans="1:12" ht="15" customHeight="1">
      <c r="A103" s="109">
        <v>2020</v>
      </c>
      <c r="B103" s="61">
        <v>75195.7</v>
      </c>
      <c r="D103" s="15" t="s">
        <v>86</v>
      </c>
      <c r="E103" s="117">
        <v>240114.48480000001</v>
      </c>
      <c r="F103" s="117">
        <v>245234.62239999999</v>
      </c>
      <c r="G103" s="117">
        <v>221598.6496</v>
      </c>
      <c r="H103" s="117">
        <v>264051.7</v>
      </c>
      <c r="I103" s="117">
        <v>267319.21000000002</v>
      </c>
      <c r="J103" s="117">
        <v>252828.52</v>
      </c>
      <c r="K103" s="117">
        <v>233406.39</v>
      </c>
      <c r="L103" s="125">
        <f t="shared" si="32"/>
        <v>1724553.5767999999</v>
      </c>
    </row>
    <row r="104" spans="1:12" ht="15" customHeight="1">
      <c r="A104" s="109">
        <v>2021</v>
      </c>
      <c r="B104" s="61">
        <v>62802.69</v>
      </c>
      <c r="D104" s="15" t="s">
        <v>87</v>
      </c>
      <c r="E104" s="117">
        <v>307594.83840000001</v>
      </c>
      <c r="F104" s="117">
        <v>289271.40639999998</v>
      </c>
      <c r="G104" s="117">
        <v>257961.05919999999</v>
      </c>
      <c r="H104" s="117">
        <v>297136.25</v>
      </c>
      <c r="I104" s="117">
        <v>311530.37</v>
      </c>
      <c r="J104" s="117">
        <v>285906.65000000002</v>
      </c>
      <c r="K104" s="117">
        <v>237003.84</v>
      </c>
      <c r="L104" s="125">
        <f t="shared" si="32"/>
        <v>1986404.4140000001</v>
      </c>
    </row>
    <row r="105" spans="1:12" ht="15" customHeight="1">
      <c r="A105" s="109">
        <v>2022</v>
      </c>
      <c r="B105" s="61">
        <v>57756.150000000009</v>
      </c>
      <c r="D105" s="15" t="s">
        <v>88</v>
      </c>
      <c r="E105" s="117">
        <v>343369.848</v>
      </c>
      <c r="F105" s="117">
        <v>357936.80320000002</v>
      </c>
      <c r="G105" s="117">
        <v>299351.77119999996</v>
      </c>
      <c r="H105" s="117">
        <v>297781.21000000002</v>
      </c>
      <c r="I105" s="117">
        <v>316938.55999999994</v>
      </c>
      <c r="J105" s="117">
        <v>264668.87</v>
      </c>
      <c r="K105" s="117">
        <v>253740.69</v>
      </c>
      <c r="L105" s="125">
        <f t="shared" si="32"/>
        <v>2133787.7524000001</v>
      </c>
    </row>
    <row r="106" spans="1:12" ht="15" customHeight="1">
      <c r="A106" s="109">
        <v>2023</v>
      </c>
      <c r="B106" s="61">
        <v>77595.94</v>
      </c>
      <c r="D106" s="15" t="s">
        <v>89</v>
      </c>
      <c r="E106" s="117">
        <v>294802.82400000002</v>
      </c>
      <c r="F106" s="117">
        <v>296439.69280000002</v>
      </c>
      <c r="G106" s="117">
        <v>297071.33919999999</v>
      </c>
      <c r="H106" s="117">
        <v>315992.53000000003</v>
      </c>
      <c r="I106" s="117">
        <v>266058.59999999998</v>
      </c>
      <c r="J106" s="117">
        <v>261981.65</v>
      </c>
      <c r="K106" s="117">
        <v>270933.86</v>
      </c>
      <c r="L106" s="125">
        <f t="shared" si="32"/>
        <v>2003280.4959999998</v>
      </c>
    </row>
    <row r="107" spans="1:12" ht="15" customHeight="1" thickBot="1">
      <c r="A107" s="296" t="s">
        <v>29</v>
      </c>
      <c r="B107" s="297"/>
      <c r="D107" s="15" t="s">
        <v>90</v>
      </c>
      <c r="E107" s="117">
        <v>276616.23360000004</v>
      </c>
      <c r="F107" s="117">
        <v>274808.21919999999</v>
      </c>
      <c r="G107" s="117">
        <v>312297.64480000001</v>
      </c>
      <c r="H107" s="117">
        <v>305916.78999999998</v>
      </c>
      <c r="I107" s="117">
        <v>272449.84999999998</v>
      </c>
      <c r="J107" s="117">
        <v>237370.82</v>
      </c>
      <c r="K107" s="117">
        <v>208420.29</v>
      </c>
      <c r="L107" s="125">
        <f t="shared" si="32"/>
        <v>1887879.8476000002</v>
      </c>
    </row>
    <row r="108" spans="1:12" ht="15" customHeight="1">
      <c r="A108" s="170">
        <v>2017</v>
      </c>
      <c r="B108" s="171">
        <v>16050</v>
      </c>
      <c r="D108" s="15" t="s">
        <v>91</v>
      </c>
      <c r="E108" s="117">
        <v>224961.41279999999</v>
      </c>
      <c r="F108" s="117">
        <v>278233.408</v>
      </c>
      <c r="G108" s="117">
        <v>258465.98560000001</v>
      </c>
      <c r="H108" s="117">
        <v>252311.87</v>
      </c>
      <c r="I108" s="117">
        <v>253404.39</v>
      </c>
      <c r="J108" s="117">
        <v>221895.80000000002</v>
      </c>
      <c r="K108" s="117">
        <v>192416.74</v>
      </c>
      <c r="L108" s="125">
        <f t="shared" si="32"/>
        <v>1681689.6063999999</v>
      </c>
    </row>
    <row r="109" spans="1:12" ht="15" customHeight="1">
      <c r="A109" s="172">
        <v>2018</v>
      </c>
      <c r="B109" s="173">
        <v>17550</v>
      </c>
      <c r="D109" s="15" t="s">
        <v>92</v>
      </c>
      <c r="E109" s="117">
        <v>227837.5344</v>
      </c>
      <c r="F109" s="117">
        <v>179731.15359999999</v>
      </c>
      <c r="G109" s="117">
        <v>229214.89120000001</v>
      </c>
      <c r="H109" s="117">
        <v>165085.15</v>
      </c>
      <c r="I109" s="117">
        <v>165984.75</v>
      </c>
      <c r="J109" s="117">
        <v>181832.75</v>
      </c>
      <c r="K109" s="117">
        <v>170319.59</v>
      </c>
      <c r="L109" s="125">
        <f t="shared" si="32"/>
        <v>1320005.8192</v>
      </c>
    </row>
    <row r="110" spans="1:12" ht="15" customHeight="1">
      <c r="A110" s="172">
        <v>2019</v>
      </c>
      <c r="B110" s="173">
        <v>12300</v>
      </c>
      <c r="D110" s="15" t="s">
        <v>93</v>
      </c>
      <c r="E110" s="117">
        <v>136140.03840000002</v>
      </c>
      <c r="F110" s="117">
        <v>146292.016</v>
      </c>
      <c r="G110" s="117">
        <v>134938.54694560001</v>
      </c>
      <c r="H110" s="117">
        <v>143566.1</v>
      </c>
      <c r="I110" s="117">
        <v>151161.73000000001</v>
      </c>
      <c r="J110" s="117">
        <v>109463.59</v>
      </c>
      <c r="K110" s="117">
        <v>104274.16</v>
      </c>
      <c r="L110" s="125">
        <f t="shared" si="32"/>
        <v>925836.18134560005</v>
      </c>
    </row>
    <row r="111" spans="1:12" ht="15" customHeight="1">
      <c r="A111" s="172">
        <v>2020</v>
      </c>
      <c r="B111" s="173">
        <v>1900</v>
      </c>
      <c r="D111" s="15" t="s">
        <v>94</v>
      </c>
      <c r="E111" s="117">
        <v>129102.16799999999</v>
      </c>
      <c r="F111" s="117">
        <v>85459.71</v>
      </c>
      <c r="G111" s="117">
        <v>83674.489600000001</v>
      </c>
      <c r="H111" s="117">
        <v>93847.77</v>
      </c>
      <c r="I111" s="117">
        <v>109998.28</v>
      </c>
      <c r="J111" s="117">
        <v>77670.25</v>
      </c>
      <c r="K111" s="117">
        <v>94886.819999999992</v>
      </c>
      <c r="L111" s="125">
        <f t="shared" si="32"/>
        <v>674639.48759999999</v>
      </c>
    </row>
    <row r="112" spans="1:12" ht="15" customHeight="1">
      <c r="A112" s="172">
        <v>2021</v>
      </c>
      <c r="B112" s="173">
        <v>1050</v>
      </c>
      <c r="D112" s="42"/>
      <c r="L112" s="50"/>
    </row>
    <row r="113" spans="1:12" ht="15" customHeight="1">
      <c r="A113" s="172">
        <v>2022</v>
      </c>
      <c r="B113" s="173">
        <v>1450</v>
      </c>
      <c r="D113" s="107" t="s">
        <v>45</v>
      </c>
      <c r="E113" s="108">
        <f t="shared" ref="E113:L113" si="33">SUM(E100:E111)</f>
        <v>2539821.4416</v>
      </c>
      <c r="F113" s="108">
        <f t="shared" si="33"/>
        <v>2666446.1503999997</v>
      </c>
      <c r="G113" s="108">
        <f t="shared" si="33"/>
        <v>2541018.3549456</v>
      </c>
      <c r="H113" s="108">
        <f t="shared" si="33"/>
        <v>2639223.38</v>
      </c>
      <c r="I113" s="108">
        <f t="shared" si="33"/>
        <v>2552926.52</v>
      </c>
      <c r="J113" s="108">
        <f t="shared" si="33"/>
        <v>2430535.04</v>
      </c>
      <c r="K113" s="108">
        <f t="shared" si="33"/>
        <v>2151691.64</v>
      </c>
      <c r="L113" s="126">
        <f t="shared" si="33"/>
        <v>17521662.526945598</v>
      </c>
    </row>
    <row r="114" spans="1:12" ht="15.75" thickBot="1">
      <c r="A114" s="174">
        <v>2023</v>
      </c>
      <c r="B114" s="185">
        <v>50</v>
      </c>
    </row>
  </sheetData>
  <mergeCells count="156">
    <mergeCell ref="R6:S6"/>
    <mergeCell ref="A21:P21"/>
    <mergeCell ref="B22:G22"/>
    <mergeCell ref="H22:K22"/>
    <mergeCell ref="B23:C23"/>
    <mergeCell ref="D23:E23"/>
    <mergeCell ref="A1:P1"/>
    <mergeCell ref="A3:H3"/>
    <mergeCell ref="I3:L3"/>
    <mergeCell ref="M3:P3"/>
    <mergeCell ref="B4:C4"/>
    <mergeCell ref="D4:F4"/>
    <mergeCell ref="G4:H4"/>
    <mergeCell ref="B27:C27"/>
    <mergeCell ref="D27:E27"/>
    <mergeCell ref="B28:C28"/>
    <mergeCell ref="D28:E28"/>
    <mergeCell ref="B29:C29"/>
    <mergeCell ref="D29:E29"/>
    <mergeCell ref="B24:C24"/>
    <mergeCell ref="D24:E24"/>
    <mergeCell ref="B25:C25"/>
    <mergeCell ref="D25:E25"/>
    <mergeCell ref="B26:C26"/>
    <mergeCell ref="D26:E26"/>
    <mergeCell ref="B33:C33"/>
    <mergeCell ref="D33:E33"/>
    <mergeCell ref="B34:C34"/>
    <mergeCell ref="D34:E34"/>
    <mergeCell ref="B35:C35"/>
    <mergeCell ref="D35:E35"/>
    <mergeCell ref="B30:C30"/>
    <mergeCell ref="D30:E30"/>
    <mergeCell ref="B31:C31"/>
    <mergeCell ref="D31:E31"/>
    <mergeCell ref="B32:C32"/>
    <mergeCell ref="D32:E32"/>
    <mergeCell ref="B39:C39"/>
    <mergeCell ref="D39:E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 ref="B51:C51"/>
    <mergeCell ref="D51:E51"/>
    <mergeCell ref="B52:C52"/>
    <mergeCell ref="D52:E52"/>
    <mergeCell ref="B53:C53"/>
    <mergeCell ref="D53:E53"/>
    <mergeCell ref="B48:C48"/>
    <mergeCell ref="D48:E48"/>
    <mergeCell ref="B49:C49"/>
    <mergeCell ref="D49:E49"/>
    <mergeCell ref="B50:C50"/>
    <mergeCell ref="D50:E50"/>
    <mergeCell ref="B57:C57"/>
    <mergeCell ref="D57:E57"/>
    <mergeCell ref="B58:C58"/>
    <mergeCell ref="D58:E58"/>
    <mergeCell ref="B59:C59"/>
    <mergeCell ref="D59:E59"/>
    <mergeCell ref="B54:C54"/>
    <mergeCell ref="D54:E54"/>
    <mergeCell ref="B55:C55"/>
    <mergeCell ref="D55:E55"/>
    <mergeCell ref="B56:C56"/>
    <mergeCell ref="D56:E56"/>
    <mergeCell ref="B63:C63"/>
    <mergeCell ref="D63:E63"/>
    <mergeCell ref="B64:C64"/>
    <mergeCell ref="D64:E64"/>
    <mergeCell ref="B65:C65"/>
    <mergeCell ref="D65:E65"/>
    <mergeCell ref="B60:C60"/>
    <mergeCell ref="D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78:C78"/>
    <mergeCell ref="D78:E78"/>
    <mergeCell ref="B79:C79"/>
    <mergeCell ref="D79:E79"/>
    <mergeCell ref="B94:C94"/>
    <mergeCell ref="D94:E94"/>
    <mergeCell ref="D83:E83"/>
    <mergeCell ref="B84:C84"/>
    <mergeCell ref="D84:E84"/>
    <mergeCell ref="B85:C85"/>
    <mergeCell ref="D88:E88"/>
    <mergeCell ref="A97:B97"/>
    <mergeCell ref="D97:G97"/>
    <mergeCell ref="A107:B107"/>
    <mergeCell ref="B80:C80"/>
    <mergeCell ref="D80:E80"/>
    <mergeCell ref="B81:C81"/>
    <mergeCell ref="D81:E81"/>
    <mergeCell ref="B82:C82"/>
    <mergeCell ref="D82:E82"/>
    <mergeCell ref="B83:C83"/>
    <mergeCell ref="B92:C92"/>
    <mergeCell ref="D92:E92"/>
    <mergeCell ref="B89:C89"/>
    <mergeCell ref="D89:E89"/>
    <mergeCell ref="B90:C90"/>
    <mergeCell ref="D90:E90"/>
    <mergeCell ref="B91:C91"/>
    <mergeCell ref="D91:E91"/>
    <mergeCell ref="D85:E85"/>
    <mergeCell ref="B86:C86"/>
    <mergeCell ref="D86:E86"/>
    <mergeCell ref="B87:C87"/>
    <mergeCell ref="D87:E87"/>
    <mergeCell ref="B88:C88"/>
  </mergeCells>
  <conditionalFormatting sqref="N95:N96">
    <cfRule type="colorScale" priority="1">
      <colorScale>
        <cfvo type="min"/>
        <cfvo type="max"/>
        <color rgb="FFFCFCFF"/>
        <color rgb="FF63BE7B"/>
      </colorScale>
    </cfRule>
  </conditionalFormatting>
  <pageMargins left="0.7" right="0.7" top="0.75" bottom="0.75" header="0.3" footer="0.3"/>
  <pageSetup scale="50"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0E86-31E3-4EFF-87D8-87360CA95AEB}">
  <sheetPr>
    <pageSetUpPr fitToPage="1"/>
  </sheetPr>
  <dimension ref="A1:AE129"/>
  <sheetViews>
    <sheetView showGridLines="0" zoomScale="90" zoomScaleNormal="90" workbookViewId="0">
      <selection activeCell="R21" sqref="R21"/>
    </sheetView>
  </sheetViews>
  <sheetFormatPr defaultRowHeight="15"/>
  <cols>
    <col min="1" max="1" width="15" customWidth="1"/>
    <col min="2" max="2" width="14.42578125" bestFit="1" customWidth="1"/>
    <col min="3" max="3" width="10.28515625" bestFit="1" customWidth="1"/>
    <col min="4" max="4" width="13.42578125" bestFit="1" customWidth="1"/>
    <col min="5" max="5" width="16.28515625" customWidth="1"/>
    <col min="6" max="6" width="15.7109375" customWidth="1"/>
    <col min="7" max="8" width="16.7109375" customWidth="1"/>
    <col min="9" max="9" width="14.85546875" customWidth="1"/>
    <col min="10" max="10" width="15.28515625" customWidth="1"/>
    <col min="11" max="11" width="16.28515625" customWidth="1"/>
    <col min="12" max="12" width="17.140625" customWidth="1"/>
    <col min="13" max="13" width="16.5703125" customWidth="1"/>
    <col min="14" max="14" width="15.28515625" customWidth="1"/>
    <col min="15" max="15" width="11.28515625" customWidth="1"/>
    <col min="16" max="16" width="14" customWidth="1"/>
    <col min="17" max="17" width="15" bestFit="1" customWidth="1"/>
    <col min="18" max="18" width="13" customWidth="1"/>
    <col min="19" max="19" width="12.28515625" bestFit="1" customWidth="1"/>
    <col min="20" max="20" width="6.42578125" customWidth="1"/>
    <col min="21" max="22" width="4.140625" customWidth="1"/>
    <col min="23" max="23" width="11.42578125" customWidth="1"/>
    <col min="24" max="24" width="12" bestFit="1" customWidth="1"/>
    <col min="25" max="25" width="12.42578125" bestFit="1" customWidth="1"/>
    <col min="26" max="26" width="2" customWidth="1"/>
    <col min="27" max="27" width="18.42578125" customWidth="1"/>
    <col min="28" max="28" width="14.28515625" customWidth="1"/>
    <col min="29" max="29" width="10.7109375" bestFit="1" customWidth="1"/>
    <col min="30" max="31" width="10.5703125" bestFit="1" customWidth="1"/>
  </cols>
  <sheetData>
    <row r="1" spans="1:31" ht="32.25">
      <c r="A1" s="269" t="s">
        <v>125</v>
      </c>
      <c r="B1" s="270"/>
      <c r="C1" s="270"/>
      <c r="D1" s="270"/>
      <c r="E1" s="270"/>
      <c r="F1" s="270"/>
      <c r="G1" s="270"/>
      <c r="H1" s="270"/>
      <c r="I1" s="270"/>
      <c r="J1" s="270"/>
      <c r="K1" s="270"/>
      <c r="L1" s="270"/>
      <c r="M1" s="270"/>
      <c r="N1" s="270"/>
      <c r="O1" s="270"/>
      <c r="P1" s="271"/>
    </row>
    <row r="2" spans="1:31" ht="24.75" thickBot="1">
      <c r="A2" s="1"/>
      <c r="B2" s="2"/>
      <c r="C2" s="2"/>
      <c r="D2" s="2"/>
      <c r="E2" s="2"/>
      <c r="F2" s="3"/>
      <c r="G2" s="3"/>
      <c r="H2" s="3"/>
      <c r="I2" s="3"/>
      <c r="J2" s="3"/>
      <c r="K2" s="4"/>
      <c r="L2" s="4"/>
    </row>
    <row r="3" spans="1:31" ht="20.25" thickBot="1">
      <c r="A3" s="272" t="s">
        <v>114</v>
      </c>
      <c r="B3" s="273"/>
      <c r="C3" s="273"/>
      <c r="D3" s="273"/>
      <c r="E3" s="273"/>
      <c r="F3" s="273"/>
      <c r="G3" s="273"/>
      <c r="H3" s="273"/>
      <c r="I3" s="274" t="s">
        <v>2</v>
      </c>
      <c r="J3" s="299"/>
      <c r="K3" s="299"/>
      <c r="L3" s="300"/>
      <c r="M3" s="274" t="s">
        <v>3</v>
      </c>
      <c r="N3" s="299"/>
      <c r="O3" s="299"/>
      <c r="P3" s="301"/>
      <c r="R3" s="236"/>
      <c r="S3" s="236"/>
      <c r="T3" s="236"/>
    </row>
    <row r="4" spans="1:31">
      <c r="A4" s="51"/>
      <c r="B4" s="278" t="s">
        <v>4</v>
      </c>
      <c r="C4" s="279"/>
      <c r="D4" s="278" t="s">
        <v>5</v>
      </c>
      <c r="E4" s="280"/>
      <c r="F4" s="279"/>
      <c r="G4" s="280" t="s">
        <v>11</v>
      </c>
      <c r="H4" s="279"/>
      <c r="I4" s="6"/>
      <c r="J4" s="52"/>
      <c r="K4" s="52"/>
      <c r="L4" s="53"/>
      <c r="M4" s="6"/>
      <c r="N4" s="52"/>
      <c r="O4" s="52"/>
      <c r="P4" s="53"/>
      <c r="R4" s="236"/>
      <c r="S4" s="236"/>
      <c r="T4" s="236"/>
    </row>
    <row r="5" spans="1:31">
      <c r="A5" s="8"/>
      <c r="B5" s="9">
        <v>1</v>
      </c>
      <c r="C5" s="10">
        <v>3</v>
      </c>
      <c r="D5" s="9">
        <v>23</v>
      </c>
      <c r="E5" s="11">
        <v>6</v>
      </c>
      <c r="F5" s="10" t="s">
        <v>7</v>
      </c>
      <c r="G5" s="12" t="s">
        <v>4</v>
      </c>
      <c r="H5" s="13" t="s">
        <v>5</v>
      </c>
      <c r="I5" s="8"/>
      <c r="J5" s="12" t="s">
        <v>4</v>
      </c>
      <c r="K5" s="12" t="s">
        <v>5</v>
      </c>
      <c r="L5" s="14" t="s">
        <v>8</v>
      </c>
      <c r="M5" s="8"/>
      <c r="N5" s="12" t="s">
        <v>9</v>
      </c>
      <c r="O5" s="12" t="s">
        <v>10</v>
      </c>
      <c r="P5" s="14" t="s">
        <v>11</v>
      </c>
      <c r="Q5" s="235"/>
      <c r="R5" s="236"/>
      <c r="S5" s="236"/>
      <c r="T5" s="236"/>
    </row>
    <row r="6" spans="1:31" ht="15" customHeight="1">
      <c r="A6" s="15">
        <v>45292</v>
      </c>
      <c r="B6" s="16">
        <v>1437072</v>
      </c>
      <c r="C6" s="16">
        <v>10012</v>
      </c>
      <c r="D6" s="17">
        <v>353866</v>
      </c>
      <c r="E6" s="17">
        <v>255600</v>
      </c>
      <c r="F6" s="17">
        <v>1806000</v>
      </c>
      <c r="G6" s="18">
        <f t="shared" ref="G6:G17" si="0">B6+C6</f>
        <v>1447084</v>
      </c>
      <c r="H6" s="129">
        <f>D6+E6+F6</f>
        <v>2415466</v>
      </c>
      <c r="I6" s="15">
        <v>45292</v>
      </c>
      <c r="J6" s="20">
        <f t="shared" ref="J6:J17" si="1">G6*0.06525</f>
        <v>94422.231</v>
      </c>
      <c r="K6" s="21">
        <f t="shared" ref="K6:K17" si="2">H6*0.06225</f>
        <v>150362.7585</v>
      </c>
      <c r="L6" s="22">
        <f t="shared" ref="L6:L17" si="3">SUM(J6:K6)</f>
        <v>244784.9895</v>
      </c>
      <c r="M6" s="15">
        <v>45292</v>
      </c>
      <c r="N6" s="23">
        <v>1344983.8630000001</v>
      </c>
      <c r="O6" s="23">
        <v>242648.10999999996</v>
      </c>
      <c r="P6" s="24">
        <f t="shared" ref="P6:P17" si="4">SUM(N6:O6)</f>
        <v>1587631.973</v>
      </c>
      <c r="Q6" s="175"/>
      <c r="R6" s="303"/>
      <c r="S6" s="303"/>
      <c r="T6" s="236"/>
      <c r="X6" s="155"/>
      <c r="Y6" s="155"/>
      <c r="AA6" s="155"/>
      <c r="AB6" s="155"/>
      <c r="AD6" s="155"/>
      <c r="AE6" s="155"/>
    </row>
    <row r="7" spans="1:31">
      <c r="A7" s="15">
        <v>45323</v>
      </c>
      <c r="B7" s="16">
        <v>1372775</v>
      </c>
      <c r="C7" s="16">
        <v>9314</v>
      </c>
      <c r="D7" s="17">
        <v>342345</v>
      </c>
      <c r="E7" s="17">
        <v>205400</v>
      </c>
      <c r="F7" s="17">
        <v>2371000</v>
      </c>
      <c r="G7" s="18">
        <f t="shared" si="0"/>
        <v>1382089</v>
      </c>
      <c r="H7" s="129">
        <f t="shared" ref="H7:H17" si="5">D7+E7+F7</f>
        <v>2918745</v>
      </c>
      <c r="I7" s="15">
        <v>45323</v>
      </c>
      <c r="J7" s="20">
        <f t="shared" si="1"/>
        <v>90181.307249999998</v>
      </c>
      <c r="K7" s="21">
        <f t="shared" si="2"/>
        <v>181691.87625</v>
      </c>
      <c r="L7" s="22">
        <f t="shared" si="3"/>
        <v>271873.18349999998</v>
      </c>
      <c r="M7" s="15">
        <v>45323</v>
      </c>
      <c r="N7" s="23">
        <v>1901124.7089999993</v>
      </c>
      <c r="O7" s="23">
        <v>458130.31100000005</v>
      </c>
      <c r="P7" s="24">
        <f t="shared" si="4"/>
        <v>2359255.0199999996</v>
      </c>
      <c r="Q7" s="175"/>
      <c r="R7" s="236"/>
      <c r="S7" s="236"/>
      <c r="T7" s="236"/>
      <c r="X7" s="155"/>
      <c r="Y7" s="155"/>
      <c r="AA7" s="155"/>
      <c r="AB7" s="155"/>
      <c r="AD7" s="155"/>
      <c r="AE7" s="155"/>
    </row>
    <row r="8" spans="1:31">
      <c r="A8" s="15">
        <v>45352</v>
      </c>
      <c r="B8" s="16">
        <v>1340883</v>
      </c>
      <c r="C8" s="16">
        <v>10327</v>
      </c>
      <c r="D8" s="17">
        <v>294932</v>
      </c>
      <c r="E8" s="17">
        <v>208600</v>
      </c>
      <c r="F8" s="17">
        <v>1904200</v>
      </c>
      <c r="G8" s="18">
        <f t="shared" si="0"/>
        <v>1351210</v>
      </c>
      <c r="H8" s="129">
        <f t="shared" si="5"/>
        <v>2407732</v>
      </c>
      <c r="I8" s="15">
        <v>45352</v>
      </c>
      <c r="J8" s="20">
        <f t="shared" si="1"/>
        <v>88166.452499999999</v>
      </c>
      <c r="K8" s="21">
        <f t="shared" si="2"/>
        <v>149881.31700000001</v>
      </c>
      <c r="L8" s="22">
        <f t="shared" si="3"/>
        <v>238047.76949999999</v>
      </c>
      <c r="M8" s="15">
        <v>45352</v>
      </c>
      <c r="N8" s="23">
        <v>2628967.4870000016</v>
      </c>
      <c r="O8" s="23">
        <v>479841.7820000003</v>
      </c>
      <c r="P8" s="24">
        <f t="shared" si="4"/>
        <v>3108809.2690000017</v>
      </c>
      <c r="Q8" s="175"/>
      <c r="R8" s="236"/>
      <c r="S8" s="236"/>
      <c r="T8" s="236"/>
      <c r="X8" s="155"/>
      <c r="Y8" s="155"/>
      <c r="AA8" s="155"/>
      <c r="AB8" s="155"/>
      <c r="AC8" s="155"/>
      <c r="AD8" s="155"/>
      <c r="AE8" s="155"/>
    </row>
    <row r="9" spans="1:31">
      <c r="A9" s="15">
        <v>45383</v>
      </c>
      <c r="B9" s="16">
        <v>1332874</v>
      </c>
      <c r="C9" s="16">
        <v>8507</v>
      </c>
      <c r="D9" s="17">
        <v>283896</v>
      </c>
      <c r="E9" s="17">
        <v>208400</v>
      </c>
      <c r="F9" s="17">
        <v>2217600</v>
      </c>
      <c r="G9" s="18">
        <f t="shared" si="0"/>
        <v>1341381</v>
      </c>
      <c r="H9" s="129">
        <f t="shared" si="5"/>
        <v>2709896</v>
      </c>
      <c r="I9" s="15">
        <v>45383</v>
      </c>
      <c r="J9" s="20">
        <f t="shared" si="1"/>
        <v>87525.110249999998</v>
      </c>
      <c r="K9" s="21">
        <f t="shared" si="2"/>
        <v>168691.02600000001</v>
      </c>
      <c r="L9" s="22">
        <f t="shared" si="3"/>
        <v>256216.13625000001</v>
      </c>
      <c r="M9" s="15">
        <v>45383</v>
      </c>
      <c r="N9" s="23">
        <v>658324.57499999995</v>
      </c>
      <c r="O9" s="23">
        <v>3886520.111</v>
      </c>
      <c r="P9" s="24">
        <f>SUM(N9:O9)</f>
        <v>4544844.6859999998</v>
      </c>
      <c r="Q9" s="175"/>
      <c r="R9" s="236"/>
      <c r="S9" s="237"/>
      <c r="T9" s="236"/>
      <c r="X9" s="155"/>
      <c r="Y9" s="155"/>
      <c r="AA9" s="155"/>
      <c r="AB9" s="155"/>
      <c r="AC9" s="155"/>
      <c r="AD9" s="155"/>
      <c r="AE9" s="155"/>
    </row>
    <row r="10" spans="1:31">
      <c r="A10" s="15">
        <v>45413</v>
      </c>
      <c r="B10" s="16">
        <v>1162858</v>
      </c>
      <c r="C10" s="16">
        <v>7457</v>
      </c>
      <c r="D10" s="17">
        <v>280431</v>
      </c>
      <c r="E10" s="17">
        <v>208800</v>
      </c>
      <c r="F10" s="17">
        <v>1834200</v>
      </c>
      <c r="G10" s="18">
        <f t="shared" si="0"/>
        <v>1170315</v>
      </c>
      <c r="H10" s="129">
        <f t="shared" si="5"/>
        <v>2323431</v>
      </c>
      <c r="I10" s="15">
        <v>45413</v>
      </c>
      <c r="J10" s="20">
        <f t="shared" si="1"/>
        <v>76363.053750000006</v>
      </c>
      <c r="K10" s="21">
        <f t="shared" si="2"/>
        <v>144633.57975</v>
      </c>
      <c r="L10" s="22">
        <f t="shared" si="3"/>
        <v>220996.6335</v>
      </c>
      <c r="M10" s="15">
        <v>45413</v>
      </c>
      <c r="N10" s="23">
        <v>4589280.8640000001</v>
      </c>
      <c r="O10" s="23">
        <v>860584.38800000004</v>
      </c>
      <c r="P10" s="24">
        <f t="shared" si="4"/>
        <v>5449865.2520000003</v>
      </c>
      <c r="Q10" s="175"/>
      <c r="R10" s="236"/>
      <c r="S10" s="237"/>
      <c r="T10" s="236"/>
      <c r="X10" s="155"/>
      <c r="Y10" s="155"/>
      <c r="AA10" s="155"/>
      <c r="AB10" s="155"/>
    </row>
    <row r="11" spans="1:31">
      <c r="A11" s="15">
        <v>45444</v>
      </c>
      <c r="B11" s="16">
        <v>1216048</v>
      </c>
      <c r="C11" s="16">
        <v>7719</v>
      </c>
      <c r="D11" s="17">
        <v>57062</v>
      </c>
      <c r="E11" s="17">
        <v>-189600</v>
      </c>
      <c r="F11" s="17">
        <v>1347600</v>
      </c>
      <c r="G11" s="18">
        <f t="shared" si="0"/>
        <v>1223767</v>
      </c>
      <c r="H11" s="129">
        <f t="shared" si="5"/>
        <v>1215062</v>
      </c>
      <c r="I11" s="15">
        <v>45444</v>
      </c>
      <c r="J11" s="20">
        <f t="shared" si="1"/>
        <v>79850.796750000009</v>
      </c>
      <c r="K11" s="21">
        <f t="shared" si="2"/>
        <v>75637.609500000006</v>
      </c>
      <c r="L11" s="22">
        <f t="shared" si="3"/>
        <v>155488.40625</v>
      </c>
      <c r="M11" s="15">
        <v>45444</v>
      </c>
      <c r="N11" s="23">
        <v>4581028.9560000002</v>
      </c>
      <c r="O11" s="23">
        <v>950174.71299999999</v>
      </c>
      <c r="P11" s="24">
        <f t="shared" si="4"/>
        <v>5531203.6689999998</v>
      </c>
      <c r="Q11" s="175"/>
      <c r="R11" s="238"/>
      <c r="S11" s="236"/>
      <c r="T11" s="236"/>
      <c r="X11" s="155"/>
      <c r="Y11" s="155"/>
      <c r="AA11" s="155"/>
      <c r="AB11" s="155"/>
    </row>
    <row r="12" spans="1:31">
      <c r="A12" s="15">
        <v>45474</v>
      </c>
      <c r="B12" s="16">
        <v>1398431</v>
      </c>
      <c r="C12" s="16">
        <v>9248</v>
      </c>
      <c r="D12" s="17">
        <v>99373</v>
      </c>
      <c r="E12" s="17">
        <v>75800</v>
      </c>
      <c r="F12" s="17">
        <v>2076200</v>
      </c>
      <c r="G12" s="18">
        <f t="shared" si="0"/>
        <v>1407679</v>
      </c>
      <c r="H12" s="129">
        <f t="shared" si="5"/>
        <v>2251373</v>
      </c>
      <c r="I12" s="15">
        <v>45474</v>
      </c>
      <c r="J12" s="20">
        <f t="shared" si="1"/>
        <v>91851.05475000001</v>
      </c>
      <c r="K12" s="21">
        <f t="shared" si="2"/>
        <v>140147.96924999999</v>
      </c>
      <c r="L12" s="22">
        <f t="shared" si="3"/>
        <v>231999.024</v>
      </c>
      <c r="M12" s="15">
        <v>45474</v>
      </c>
      <c r="N12" s="23">
        <v>4465183.0429999996</v>
      </c>
      <c r="O12" s="23">
        <v>955931.201</v>
      </c>
      <c r="P12" s="24">
        <f t="shared" si="4"/>
        <v>5421114.2439999999</v>
      </c>
      <c r="Q12" s="175"/>
      <c r="R12" s="238"/>
      <c r="S12" s="237"/>
      <c r="T12" s="236"/>
      <c r="X12" s="155"/>
      <c r="Y12" s="155"/>
      <c r="AA12" s="155"/>
      <c r="AB12" s="155"/>
    </row>
    <row r="13" spans="1:31">
      <c r="A13" s="15">
        <v>45505</v>
      </c>
      <c r="B13" s="16">
        <v>1451648</v>
      </c>
      <c r="C13" s="16">
        <v>11833</v>
      </c>
      <c r="D13" s="17">
        <v>187273</v>
      </c>
      <c r="E13" s="17">
        <v>75800</v>
      </c>
      <c r="F13" s="17">
        <v>1596800</v>
      </c>
      <c r="G13" s="18">
        <f t="shared" si="0"/>
        <v>1463481</v>
      </c>
      <c r="H13" s="129">
        <f t="shared" si="5"/>
        <v>1859873</v>
      </c>
      <c r="I13" s="15">
        <v>45505</v>
      </c>
      <c r="J13" s="20">
        <f t="shared" si="1"/>
        <v>95492.135250000007</v>
      </c>
      <c r="K13" s="21">
        <f t="shared" si="2"/>
        <v>115777.09424999999</v>
      </c>
      <c r="L13" s="22">
        <f t="shared" si="3"/>
        <v>211269.22950000002</v>
      </c>
      <c r="M13" s="15">
        <v>45505</v>
      </c>
      <c r="N13" s="23">
        <v>3872304.5490000001</v>
      </c>
      <c r="O13" s="23">
        <v>537490.47699999996</v>
      </c>
      <c r="P13" s="24">
        <f t="shared" si="4"/>
        <v>4409795.0260000005</v>
      </c>
      <c r="Q13" s="175"/>
      <c r="R13" s="236"/>
      <c r="S13" s="236"/>
      <c r="T13" s="236"/>
      <c r="X13" s="155"/>
      <c r="Y13" s="155"/>
      <c r="AA13" s="155"/>
      <c r="AB13" s="155"/>
    </row>
    <row r="14" spans="1:31">
      <c r="A14" s="15">
        <v>45536</v>
      </c>
      <c r="B14" s="16">
        <v>1369213</v>
      </c>
      <c r="C14" s="16">
        <v>8451</v>
      </c>
      <c r="D14" s="17">
        <v>197855</v>
      </c>
      <c r="E14" s="17">
        <v>75800</v>
      </c>
      <c r="F14" s="17">
        <v>2040000</v>
      </c>
      <c r="G14" s="18">
        <f t="shared" si="0"/>
        <v>1377664</v>
      </c>
      <c r="H14" s="129">
        <f t="shared" si="5"/>
        <v>2313655</v>
      </c>
      <c r="I14" s="15">
        <v>45536</v>
      </c>
      <c r="J14" s="20">
        <f t="shared" si="1"/>
        <v>89892.576000000001</v>
      </c>
      <c r="K14" s="21">
        <f t="shared" si="2"/>
        <v>144025.02374999999</v>
      </c>
      <c r="L14" s="22">
        <f t="shared" si="3"/>
        <v>233917.59974999999</v>
      </c>
      <c r="M14" s="15">
        <v>45536</v>
      </c>
      <c r="N14" s="23">
        <v>2994360.0240000002</v>
      </c>
      <c r="O14" s="23">
        <v>718111.57700000005</v>
      </c>
      <c r="P14" s="24">
        <f t="shared" si="4"/>
        <v>3712471.6010000003</v>
      </c>
      <c r="Q14" s="175"/>
      <c r="R14" s="236"/>
      <c r="S14" s="236"/>
      <c r="T14" s="236"/>
      <c r="X14" s="155"/>
      <c r="Y14" s="155"/>
      <c r="AA14" s="155"/>
      <c r="AB14" s="155"/>
    </row>
    <row r="15" spans="1:31">
      <c r="A15" s="15">
        <v>45566</v>
      </c>
      <c r="B15" s="16">
        <v>1240069</v>
      </c>
      <c r="C15" s="16">
        <v>8448</v>
      </c>
      <c r="D15" s="17">
        <v>193968</v>
      </c>
      <c r="E15" s="17">
        <v>75800</v>
      </c>
      <c r="F15" s="17">
        <v>1963200</v>
      </c>
      <c r="G15" s="18">
        <f t="shared" si="0"/>
        <v>1248517</v>
      </c>
      <c r="H15" s="129">
        <f t="shared" si="5"/>
        <v>2232968</v>
      </c>
      <c r="I15" s="15">
        <v>45566</v>
      </c>
      <c r="J15" s="20">
        <f t="shared" si="1"/>
        <v>81465.734250000009</v>
      </c>
      <c r="K15" s="21">
        <f t="shared" si="2"/>
        <v>139002.258</v>
      </c>
      <c r="L15" s="22">
        <f t="shared" si="3"/>
        <v>220467.99225000001</v>
      </c>
      <c r="M15" s="15">
        <v>45566</v>
      </c>
      <c r="N15" s="23">
        <v>2684607.6869999999</v>
      </c>
      <c r="O15" s="23">
        <v>275017.88500000001</v>
      </c>
      <c r="P15" s="24">
        <f t="shared" si="4"/>
        <v>2959625.5719999997</v>
      </c>
      <c r="Q15" s="175"/>
      <c r="R15" s="236"/>
      <c r="S15" s="236"/>
      <c r="T15" s="236"/>
      <c r="X15" s="155"/>
      <c r="Y15" s="155"/>
      <c r="AA15" s="155"/>
      <c r="AB15" s="155"/>
    </row>
    <row r="16" spans="1:31">
      <c r="A16" s="15">
        <v>45597</v>
      </c>
      <c r="B16" s="16">
        <v>1242610</v>
      </c>
      <c r="C16" s="16">
        <v>9315</v>
      </c>
      <c r="D16" s="17">
        <v>136873</v>
      </c>
      <c r="E16" s="17">
        <v>75800</v>
      </c>
      <c r="F16" s="17">
        <v>1711800</v>
      </c>
      <c r="G16" s="18">
        <f>B16+C16</f>
        <v>1251925</v>
      </c>
      <c r="H16" s="129">
        <f t="shared" si="5"/>
        <v>1924473</v>
      </c>
      <c r="I16" s="15">
        <v>45597</v>
      </c>
      <c r="J16" s="20">
        <f t="shared" si="1"/>
        <v>81688.106249999997</v>
      </c>
      <c r="K16" s="21">
        <f t="shared" si="2"/>
        <v>119798.44425</v>
      </c>
      <c r="L16" s="22">
        <f t="shared" si="3"/>
        <v>201486.55050000001</v>
      </c>
      <c r="M16" s="15">
        <v>45597</v>
      </c>
      <c r="N16" s="23">
        <v>1957858.743</v>
      </c>
      <c r="O16" s="23">
        <v>416679.03899999999</v>
      </c>
      <c r="P16" s="24">
        <f t="shared" si="4"/>
        <v>2374537.7820000001</v>
      </c>
      <c r="Q16" s="175"/>
      <c r="R16" s="236"/>
      <c r="S16" s="236"/>
      <c r="T16" s="236"/>
      <c r="X16" s="155"/>
      <c r="Y16" s="155"/>
      <c r="AA16" s="155"/>
      <c r="AB16" s="155"/>
    </row>
    <row r="17" spans="1:29">
      <c r="A17" s="15">
        <v>45627</v>
      </c>
      <c r="B17" s="16">
        <v>1321804</v>
      </c>
      <c r="C17" s="16">
        <v>8238</v>
      </c>
      <c r="D17" s="17">
        <v>197952</v>
      </c>
      <c r="E17" s="17">
        <v>75800</v>
      </c>
      <c r="F17" s="17">
        <v>1616200</v>
      </c>
      <c r="G17" s="18">
        <f t="shared" si="0"/>
        <v>1330042</v>
      </c>
      <c r="H17" s="129">
        <f t="shared" si="5"/>
        <v>1889952</v>
      </c>
      <c r="I17" s="15">
        <v>45627</v>
      </c>
      <c r="J17" s="20">
        <f t="shared" si="1"/>
        <v>86785.2405</v>
      </c>
      <c r="K17" s="21">
        <f t="shared" si="2"/>
        <v>117649.512</v>
      </c>
      <c r="L17" s="22">
        <f t="shared" si="3"/>
        <v>204434.7525</v>
      </c>
      <c r="M17" s="15">
        <v>45627</v>
      </c>
      <c r="N17" s="23">
        <v>1773862.608</v>
      </c>
      <c r="O17" s="23">
        <v>397644.47600000002</v>
      </c>
      <c r="P17" s="24">
        <f t="shared" si="4"/>
        <v>2171507.0839999998</v>
      </c>
      <c r="Q17" s="175"/>
      <c r="R17" s="236"/>
      <c r="S17" s="236"/>
      <c r="T17" s="236"/>
      <c r="X17" s="155"/>
      <c r="Y17" s="155"/>
      <c r="AA17" s="155"/>
      <c r="AB17" s="155"/>
      <c r="AC17" s="155"/>
    </row>
    <row r="18" spans="1:29">
      <c r="A18" s="26"/>
      <c r="B18" s="27"/>
      <c r="C18" s="27"/>
      <c r="D18" s="27"/>
      <c r="E18" s="27"/>
      <c r="F18" s="27"/>
      <c r="G18" s="27"/>
      <c r="H18" s="130"/>
      <c r="I18" s="28"/>
      <c r="J18" s="29"/>
      <c r="K18" s="29"/>
      <c r="L18" s="30"/>
      <c r="M18" s="31"/>
      <c r="N18" s="151"/>
      <c r="O18" s="152"/>
      <c r="P18" s="7"/>
      <c r="R18" s="236"/>
      <c r="S18" s="236"/>
      <c r="T18" s="236"/>
      <c r="X18" s="155"/>
      <c r="Y18" s="155"/>
      <c r="AA18" s="159"/>
      <c r="AB18" s="155"/>
    </row>
    <row r="19" spans="1:29">
      <c r="A19" s="34" t="s">
        <v>11</v>
      </c>
      <c r="B19" s="35">
        <f t="shared" ref="B19:H19" si="6">SUM(B6:B17)</f>
        <v>15886285</v>
      </c>
      <c r="C19" s="35">
        <f t="shared" si="6"/>
        <v>108869</v>
      </c>
      <c r="D19" s="35">
        <f t="shared" si="6"/>
        <v>2625826</v>
      </c>
      <c r="E19" s="35">
        <f t="shared" si="6"/>
        <v>1352000</v>
      </c>
      <c r="F19" s="35">
        <f>SUM(F6:F17)</f>
        <v>22484800</v>
      </c>
      <c r="G19" s="35">
        <f t="shared" si="6"/>
        <v>15995154</v>
      </c>
      <c r="H19" s="35">
        <f t="shared" si="6"/>
        <v>26462626</v>
      </c>
      <c r="I19" s="37" t="s">
        <v>8</v>
      </c>
      <c r="J19" s="38">
        <f>SUM(J6:J17)</f>
        <v>1043683.7985</v>
      </c>
      <c r="K19" s="38">
        <f>SUM(K6:K17)</f>
        <v>1647298.4685</v>
      </c>
      <c r="L19" s="39">
        <f>SUM(L6:L17)</f>
        <v>2690982.267</v>
      </c>
      <c r="M19" s="12" t="s">
        <v>11</v>
      </c>
      <c r="N19" s="150">
        <f>SUM(N6:N17)</f>
        <v>33451887.107999999</v>
      </c>
      <c r="O19" s="150">
        <f>SUM(O6:O17)</f>
        <v>10178774.070000002</v>
      </c>
      <c r="P19" s="36">
        <f>SUM(P6:P17)</f>
        <v>43630661.177999996</v>
      </c>
      <c r="R19" s="237"/>
      <c r="S19" s="239"/>
      <c r="T19" s="236"/>
      <c r="X19" s="155"/>
      <c r="Y19" s="155"/>
    </row>
    <row r="20" spans="1:29" ht="15.75" thickBot="1">
      <c r="A20" s="42"/>
      <c r="B20" s="155"/>
      <c r="C20" s="43"/>
      <c r="D20" s="44"/>
      <c r="E20" s="29"/>
      <c r="F20" s="45"/>
      <c r="G20" s="46" t="s">
        <v>13</v>
      </c>
      <c r="H20" s="234">
        <f>G19+H19</f>
        <v>42457780</v>
      </c>
      <c r="I20" s="48"/>
      <c r="J20" s="49"/>
      <c r="K20" s="33"/>
      <c r="L20" s="33"/>
      <c r="M20" s="31"/>
      <c r="N20" s="32"/>
      <c r="O20" s="33"/>
      <c r="P20" s="50"/>
    </row>
    <row r="21" spans="1:29" ht="20.25" thickBot="1">
      <c r="A21" s="281" t="s">
        <v>126</v>
      </c>
      <c r="B21" s="282"/>
      <c r="C21" s="283"/>
      <c r="D21" s="283"/>
      <c r="E21" s="283"/>
      <c r="F21" s="283"/>
      <c r="G21" s="283"/>
      <c r="H21" s="283"/>
      <c r="I21" s="283"/>
      <c r="J21" s="283"/>
      <c r="K21" s="283"/>
      <c r="L21" s="283"/>
      <c r="M21" s="283"/>
      <c r="N21" s="283"/>
      <c r="O21" s="283"/>
      <c r="P21" s="284"/>
      <c r="Y21" s="155"/>
    </row>
    <row r="22" spans="1:29">
      <c r="B22" s="256" t="s">
        <v>14</v>
      </c>
      <c r="C22" s="257"/>
      <c r="D22" s="257"/>
      <c r="E22" s="257"/>
      <c r="F22" s="257"/>
      <c r="G22" s="258"/>
      <c r="H22" s="285" t="s">
        <v>15</v>
      </c>
      <c r="I22" s="286"/>
      <c r="J22" s="286"/>
      <c r="K22" s="287"/>
    </row>
    <row r="23" spans="1:29">
      <c r="B23" s="288" t="s">
        <v>16</v>
      </c>
      <c r="C23" s="289"/>
      <c r="D23" s="289" t="s">
        <v>17</v>
      </c>
      <c r="E23" s="289"/>
      <c r="F23" s="68" t="s">
        <v>18</v>
      </c>
      <c r="G23" s="55" t="s">
        <v>19</v>
      </c>
      <c r="H23" s="56" t="s">
        <v>20</v>
      </c>
      <c r="I23" s="56" t="s">
        <v>21</v>
      </c>
      <c r="J23" s="56" t="s">
        <v>22</v>
      </c>
      <c r="K23" s="57" t="s">
        <v>23</v>
      </c>
      <c r="L23" s="93" t="s">
        <v>24</v>
      </c>
      <c r="M23" s="95" t="s">
        <v>26</v>
      </c>
      <c r="N23" s="131" t="s">
        <v>27</v>
      </c>
    </row>
    <row r="24" spans="1:29">
      <c r="A24" s="58">
        <v>2015</v>
      </c>
      <c r="B24" s="265">
        <v>14403.35</v>
      </c>
      <c r="C24" s="265"/>
      <c r="D24" s="265"/>
      <c r="E24" s="265"/>
      <c r="F24" s="59"/>
      <c r="G24" s="69">
        <f>B24+E24+F24</f>
        <v>14403.35</v>
      </c>
      <c r="H24" s="60"/>
      <c r="I24" s="60">
        <v>7279.47</v>
      </c>
      <c r="J24" s="60"/>
      <c r="K24" s="77">
        <f>H24+I24+J24</f>
        <v>7279.47</v>
      </c>
      <c r="L24" s="92">
        <f>K24+G24</f>
        <v>21682.82</v>
      </c>
      <c r="M24" s="94">
        <v>48000</v>
      </c>
      <c r="N24" s="190">
        <f>M24-L24</f>
        <v>26317.18</v>
      </c>
    </row>
    <row r="25" spans="1:29">
      <c r="A25" s="58">
        <v>2016</v>
      </c>
      <c r="B25" s="265">
        <v>140859.08000000002</v>
      </c>
      <c r="C25" s="265"/>
      <c r="D25" s="265">
        <v>26043.62</v>
      </c>
      <c r="E25" s="265"/>
      <c r="F25" s="59">
        <v>848972.16</v>
      </c>
      <c r="G25" s="71">
        <v>1015874.86</v>
      </c>
      <c r="H25" s="64">
        <v>103152.92</v>
      </c>
      <c r="I25" s="63">
        <v>0</v>
      </c>
      <c r="J25" s="63">
        <v>138399.5</v>
      </c>
      <c r="K25" s="79">
        <v>241552.42</v>
      </c>
      <c r="L25" s="90">
        <v>1257427.28</v>
      </c>
      <c r="M25" s="91">
        <v>1531000</v>
      </c>
      <c r="N25" s="190">
        <f t="shared" ref="N25:N88" si="7">M25-L25</f>
        <v>273572.71999999997</v>
      </c>
    </row>
    <row r="26" spans="1:29">
      <c r="A26" s="58">
        <v>2017</v>
      </c>
      <c r="B26" s="265">
        <v>70743.100000000006</v>
      </c>
      <c r="C26" s="265"/>
      <c r="D26" s="265">
        <v>13581.08</v>
      </c>
      <c r="E26" s="265"/>
      <c r="F26" s="59">
        <v>4520.1000000000004</v>
      </c>
      <c r="G26" s="71">
        <v>88844.280000000013</v>
      </c>
      <c r="H26" s="64">
        <v>47823.259999999995</v>
      </c>
      <c r="I26" s="63">
        <v>27652.13</v>
      </c>
      <c r="J26" s="63">
        <v>126504.25</v>
      </c>
      <c r="K26" s="79">
        <v>201979.63999999996</v>
      </c>
      <c r="L26" s="90">
        <v>290823.92</v>
      </c>
      <c r="M26" s="91">
        <v>601000</v>
      </c>
      <c r="N26" s="190">
        <f t="shared" si="7"/>
        <v>310176.08</v>
      </c>
      <c r="P26" s="155"/>
    </row>
    <row r="27" spans="1:29">
      <c r="A27" s="58">
        <v>2018</v>
      </c>
      <c r="B27" s="265">
        <v>54852.389999999992</v>
      </c>
      <c r="C27" s="265"/>
      <c r="D27" s="265">
        <v>8808.26</v>
      </c>
      <c r="E27" s="265"/>
      <c r="F27" s="59">
        <v>0</v>
      </c>
      <c r="G27" s="71">
        <v>63660.649999999994</v>
      </c>
      <c r="H27" s="64">
        <v>13278.43</v>
      </c>
      <c r="I27" s="63">
        <v>10643.83</v>
      </c>
      <c r="J27" s="63">
        <v>83403.570000000007</v>
      </c>
      <c r="K27" s="79">
        <v>107325.82999999999</v>
      </c>
      <c r="L27" s="90">
        <v>170986.47999999998</v>
      </c>
      <c r="M27" s="91">
        <v>612000</v>
      </c>
      <c r="N27" s="190">
        <f t="shared" si="7"/>
        <v>441013.52</v>
      </c>
    </row>
    <row r="28" spans="1:29" hidden="1">
      <c r="A28" s="15">
        <v>43466</v>
      </c>
      <c r="B28" s="263">
        <v>1930</v>
      </c>
      <c r="C28" s="263"/>
      <c r="D28" s="263">
        <v>0</v>
      </c>
      <c r="E28" s="263"/>
      <c r="F28" s="62">
        <v>0</v>
      </c>
      <c r="G28" s="115">
        <f t="shared" ref="G28:G39" si="8">B28+D28+F28</f>
        <v>1930</v>
      </c>
      <c r="H28" s="29">
        <v>0</v>
      </c>
      <c r="I28" s="62">
        <v>0</v>
      </c>
      <c r="J28" s="62">
        <v>2040</v>
      </c>
      <c r="K28" s="80">
        <f t="shared" ref="K28:K39" si="9">H28+I28+J28</f>
        <v>2040</v>
      </c>
      <c r="L28" s="74">
        <f t="shared" ref="L28:L78" si="10">K28+G28</f>
        <v>3970</v>
      </c>
      <c r="M28" s="89">
        <v>16580</v>
      </c>
      <c r="N28" s="190">
        <f t="shared" si="7"/>
        <v>12610</v>
      </c>
    </row>
    <row r="29" spans="1:29" hidden="1">
      <c r="A29" s="15">
        <v>43497</v>
      </c>
      <c r="B29" s="263">
        <v>3985.12</v>
      </c>
      <c r="C29" s="263"/>
      <c r="D29" s="263">
        <v>0</v>
      </c>
      <c r="E29" s="263"/>
      <c r="F29" s="62">
        <v>0</v>
      </c>
      <c r="G29" s="115">
        <f t="shared" si="8"/>
        <v>3985.12</v>
      </c>
      <c r="H29" s="29">
        <v>0</v>
      </c>
      <c r="I29" s="62">
        <v>0</v>
      </c>
      <c r="J29" s="62">
        <v>0</v>
      </c>
      <c r="K29" s="80">
        <f t="shared" si="9"/>
        <v>0</v>
      </c>
      <c r="L29" s="74">
        <f t="shared" si="10"/>
        <v>3985.12</v>
      </c>
      <c r="M29" s="89">
        <v>16580</v>
      </c>
      <c r="N29" s="190">
        <f t="shared" si="7"/>
        <v>12594.880000000001</v>
      </c>
    </row>
    <row r="30" spans="1:29" hidden="1">
      <c r="A30" s="15">
        <v>43525</v>
      </c>
      <c r="B30" s="263">
        <v>3799.53</v>
      </c>
      <c r="C30" s="263"/>
      <c r="D30" s="263">
        <v>0</v>
      </c>
      <c r="E30" s="263"/>
      <c r="F30" s="62">
        <v>0</v>
      </c>
      <c r="G30" s="115">
        <f t="shared" si="8"/>
        <v>3799.53</v>
      </c>
      <c r="H30" s="29">
        <v>9477.06</v>
      </c>
      <c r="I30" s="62">
        <v>0</v>
      </c>
      <c r="J30" s="62">
        <v>0</v>
      </c>
      <c r="K30" s="80">
        <f t="shared" si="9"/>
        <v>9477.06</v>
      </c>
      <c r="L30" s="74">
        <f t="shared" si="10"/>
        <v>13276.59</v>
      </c>
      <c r="M30" s="89">
        <v>16580</v>
      </c>
      <c r="N30" s="190">
        <f t="shared" si="7"/>
        <v>3303.41</v>
      </c>
    </row>
    <row r="31" spans="1:29" hidden="1">
      <c r="A31" s="15">
        <v>43556</v>
      </c>
      <c r="B31" s="263">
        <v>2076</v>
      </c>
      <c r="C31" s="263"/>
      <c r="D31" s="263">
        <v>3126.63</v>
      </c>
      <c r="E31" s="263"/>
      <c r="F31" s="62">
        <v>0</v>
      </c>
      <c r="G31" s="115">
        <f t="shared" si="8"/>
        <v>5202.63</v>
      </c>
      <c r="H31" s="29">
        <v>523.04</v>
      </c>
      <c r="I31" s="62">
        <v>0</v>
      </c>
      <c r="J31" s="62">
        <v>0</v>
      </c>
      <c r="K31" s="80">
        <f t="shared" si="9"/>
        <v>523.04</v>
      </c>
      <c r="L31" s="74">
        <f t="shared" si="10"/>
        <v>5725.67</v>
      </c>
      <c r="M31" s="89">
        <v>16580</v>
      </c>
      <c r="N31" s="190">
        <f t="shared" si="7"/>
        <v>10854.33</v>
      </c>
    </row>
    <row r="32" spans="1:29" hidden="1">
      <c r="A32" s="15">
        <v>43586</v>
      </c>
      <c r="B32" s="263">
        <v>6061.98</v>
      </c>
      <c r="C32" s="263"/>
      <c r="D32" s="263">
        <v>867.86</v>
      </c>
      <c r="E32" s="263"/>
      <c r="F32" s="62">
        <v>0</v>
      </c>
      <c r="G32" s="115">
        <f t="shared" si="8"/>
        <v>6929.8399999999992</v>
      </c>
      <c r="H32" s="29">
        <v>0</v>
      </c>
      <c r="I32" s="62">
        <v>0</v>
      </c>
      <c r="J32" s="62">
        <v>5120</v>
      </c>
      <c r="K32" s="80">
        <f t="shared" si="9"/>
        <v>5120</v>
      </c>
      <c r="L32" s="74">
        <f t="shared" si="10"/>
        <v>12049.84</v>
      </c>
      <c r="M32" s="89">
        <v>16580</v>
      </c>
      <c r="N32" s="190">
        <f t="shared" si="7"/>
        <v>4530.16</v>
      </c>
    </row>
    <row r="33" spans="1:14" hidden="1">
      <c r="A33" s="15">
        <v>43617</v>
      </c>
      <c r="B33" s="263">
        <v>3191</v>
      </c>
      <c r="C33" s="263"/>
      <c r="D33" s="263">
        <v>24.03</v>
      </c>
      <c r="E33" s="263"/>
      <c r="F33" s="62">
        <v>0</v>
      </c>
      <c r="G33" s="115">
        <f t="shared" si="8"/>
        <v>3215.03</v>
      </c>
      <c r="H33" s="29">
        <v>10056.94</v>
      </c>
      <c r="I33" s="62">
        <v>0</v>
      </c>
      <c r="J33" s="62">
        <v>27522.68</v>
      </c>
      <c r="K33" s="80">
        <f t="shared" si="9"/>
        <v>37579.620000000003</v>
      </c>
      <c r="L33" s="74">
        <f t="shared" si="10"/>
        <v>40794.65</v>
      </c>
      <c r="M33" s="89">
        <v>16580</v>
      </c>
      <c r="N33" s="190">
        <f t="shared" si="7"/>
        <v>-24214.65</v>
      </c>
    </row>
    <row r="34" spans="1:14" hidden="1">
      <c r="A34" s="15">
        <v>43647</v>
      </c>
      <c r="B34" s="263">
        <v>5423.72</v>
      </c>
      <c r="C34" s="263"/>
      <c r="D34" s="263">
        <v>0</v>
      </c>
      <c r="E34" s="263"/>
      <c r="F34" s="62">
        <v>0</v>
      </c>
      <c r="G34" s="115">
        <f t="shared" si="8"/>
        <v>5423.72</v>
      </c>
      <c r="H34" s="29">
        <v>0</v>
      </c>
      <c r="I34" s="62">
        <v>0</v>
      </c>
      <c r="J34" s="62">
        <v>1040</v>
      </c>
      <c r="K34" s="80">
        <f t="shared" si="9"/>
        <v>1040</v>
      </c>
      <c r="L34" s="74">
        <f t="shared" si="10"/>
        <v>6463.72</v>
      </c>
      <c r="M34" s="89">
        <v>16580</v>
      </c>
      <c r="N34" s="190">
        <f t="shared" si="7"/>
        <v>10116.279999999999</v>
      </c>
    </row>
    <row r="35" spans="1:14" hidden="1">
      <c r="A35" s="15">
        <v>43678</v>
      </c>
      <c r="B35" s="263">
        <v>3498.19</v>
      </c>
      <c r="C35" s="263"/>
      <c r="D35" s="263">
        <v>0</v>
      </c>
      <c r="E35" s="263"/>
      <c r="F35" s="62">
        <v>0</v>
      </c>
      <c r="G35" s="115">
        <f t="shared" si="8"/>
        <v>3498.19</v>
      </c>
      <c r="H35" s="29">
        <v>0</v>
      </c>
      <c r="I35" s="62">
        <v>0</v>
      </c>
      <c r="J35" s="62">
        <v>0</v>
      </c>
      <c r="K35" s="80">
        <f t="shared" si="9"/>
        <v>0</v>
      </c>
      <c r="L35" s="74">
        <f t="shared" si="10"/>
        <v>3498.19</v>
      </c>
      <c r="M35" s="89">
        <v>16580</v>
      </c>
      <c r="N35" s="190">
        <f t="shared" si="7"/>
        <v>13081.81</v>
      </c>
    </row>
    <row r="36" spans="1:14" hidden="1">
      <c r="A36" s="15">
        <v>43709</v>
      </c>
      <c r="B36" s="263">
        <v>4018.21</v>
      </c>
      <c r="C36" s="263"/>
      <c r="D36" s="263">
        <v>0</v>
      </c>
      <c r="E36" s="263"/>
      <c r="F36" s="62">
        <v>0</v>
      </c>
      <c r="G36" s="115">
        <f t="shared" si="8"/>
        <v>4018.21</v>
      </c>
      <c r="H36" s="29">
        <v>0</v>
      </c>
      <c r="I36" s="62">
        <v>0</v>
      </c>
      <c r="J36" s="62">
        <v>2080</v>
      </c>
      <c r="K36" s="80">
        <f t="shared" si="9"/>
        <v>2080</v>
      </c>
      <c r="L36" s="74">
        <f t="shared" si="10"/>
        <v>6098.21</v>
      </c>
      <c r="M36" s="89">
        <v>16580</v>
      </c>
      <c r="N36" s="190">
        <f t="shared" si="7"/>
        <v>10481.790000000001</v>
      </c>
    </row>
    <row r="37" spans="1:14" hidden="1">
      <c r="A37" s="15">
        <v>43739</v>
      </c>
      <c r="B37" s="263">
        <v>1464</v>
      </c>
      <c r="C37" s="263"/>
      <c r="D37" s="263">
        <v>0</v>
      </c>
      <c r="E37" s="263"/>
      <c r="F37" s="62">
        <v>0</v>
      </c>
      <c r="G37" s="115">
        <f t="shared" si="8"/>
        <v>1464</v>
      </c>
      <c r="H37" s="29">
        <v>0</v>
      </c>
      <c r="I37" s="62">
        <v>0</v>
      </c>
      <c r="J37" s="62">
        <v>1040</v>
      </c>
      <c r="K37" s="80">
        <f t="shared" si="9"/>
        <v>1040</v>
      </c>
      <c r="L37" s="74">
        <f t="shared" si="10"/>
        <v>2504</v>
      </c>
      <c r="M37" s="89">
        <v>16580</v>
      </c>
      <c r="N37" s="190">
        <f t="shared" si="7"/>
        <v>14076</v>
      </c>
    </row>
    <row r="38" spans="1:14" hidden="1">
      <c r="A38" s="15">
        <v>43770</v>
      </c>
      <c r="B38" s="263">
        <v>10036</v>
      </c>
      <c r="C38" s="263"/>
      <c r="D38" s="263">
        <v>0</v>
      </c>
      <c r="E38" s="263"/>
      <c r="F38" s="62">
        <v>0</v>
      </c>
      <c r="G38" s="115">
        <f t="shared" si="8"/>
        <v>10036</v>
      </c>
      <c r="H38" s="29">
        <v>0</v>
      </c>
      <c r="I38" s="62">
        <v>0</v>
      </c>
      <c r="J38" s="62">
        <v>1040</v>
      </c>
      <c r="K38" s="80">
        <f t="shared" si="9"/>
        <v>1040</v>
      </c>
      <c r="L38" s="74">
        <f t="shared" si="10"/>
        <v>11076</v>
      </c>
      <c r="M38" s="89">
        <v>16580</v>
      </c>
      <c r="N38" s="190">
        <f t="shared" si="7"/>
        <v>5504</v>
      </c>
    </row>
    <row r="39" spans="1:14" hidden="1">
      <c r="A39" s="15">
        <v>43800</v>
      </c>
      <c r="B39" s="263">
        <v>4542.46</v>
      </c>
      <c r="C39" s="263"/>
      <c r="D39" s="263">
        <v>3731.52</v>
      </c>
      <c r="E39" s="263"/>
      <c r="F39" s="62">
        <v>7880</v>
      </c>
      <c r="G39" s="116">
        <f t="shared" si="8"/>
        <v>16153.98</v>
      </c>
      <c r="H39" s="29">
        <v>0</v>
      </c>
      <c r="I39" s="62">
        <v>0</v>
      </c>
      <c r="J39" s="62">
        <v>1040</v>
      </c>
      <c r="K39" s="80">
        <f t="shared" si="9"/>
        <v>1040</v>
      </c>
      <c r="L39" s="74">
        <f t="shared" si="10"/>
        <v>17193.98</v>
      </c>
      <c r="M39" s="89">
        <v>16580</v>
      </c>
      <c r="N39" s="190">
        <f t="shared" si="7"/>
        <v>-613.97999999999956</v>
      </c>
    </row>
    <row r="40" spans="1:14">
      <c r="A40" s="58">
        <v>2019</v>
      </c>
      <c r="B40" s="265">
        <f>SUM(B28:B39)</f>
        <v>50026.21</v>
      </c>
      <c r="C40" s="265"/>
      <c r="D40" s="265">
        <f>SUM(D28:D39)</f>
        <v>7750.0400000000009</v>
      </c>
      <c r="E40" s="265"/>
      <c r="F40" s="59">
        <f t="shared" ref="F40:K40" si="11">SUM(F28:F39)</f>
        <v>7880</v>
      </c>
      <c r="G40" s="71">
        <f t="shared" si="11"/>
        <v>65656.25</v>
      </c>
      <c r="H40" s="64">
        <f t="shared" si="11"/>
        <v>20057.04</v>
      </c>
      <c r="I40" s="63">
        <f t="shared" si="11"/>
        <v>0</v>
      </c>
      <c r="J40" s="63">
        <f t="shared" si="11"/>
        <v>40922.68</v>
      </c>
      <c r="K40" s="79">
        <f t="shared" si="11"/>
        <v>60979.72</v>
      </c>
      <c r="L40" s="164">
        <f t="shared" si="10"/>
        <v>126635.97</v>
      </c>
      <c r="M40" s="165">
        <f>SUM(M28:M39)</f>
        <v>198960</v>
      </c>
      <c r="N40" s="190">
        <f t="shared" si="7"/>
        <v>72324.03</v>
      </c>
    </row>
    <row r="41" spans="1:14" hidden="1">
      <c r="A41" s="169">
        <v>43831</v>
      </c>
      <c r="B41" s="263">
        <v>4606.24</v>
      </c>
      <c r="C41" s="263"/>
      <c r="D41" s="263">
        <v>0</v>
      </c>
      <c r="E41" s="263"/>
      <c r="F41" s="62">
        <v>31149.68</v>
      </c>
      <c r="G41" s="85">
        <f t="shared" ref="G41:G52" si="12">B41+D41+F41</f>
        <v>35755.919999999998</v>
      </c>
      <c r="H41" s="62">
        <v>0</v>
      </c>
      <c r="I41" s="62">
        <v>0</v>
      </c>
      <c r="J41" s="62">
        <v>1040</v>
      </c>
      <c r="K41" s="87">
        <f t="shared" ref="K41:K52" si="13">SUM(H41:J41)</f>
        <v>1040</v>
      </c>
      <c r="L41" s="74">
        <f t="shared" si="10"/>
        <v>36795.919999999998</v>
      </c>
      <c r="M41" s="89">
        <v>66250</v>
      </c>
      <c r="N41" s="190">
        <f t="shared" si="7"/>
        <v>29454.080000000002</v>
      </c>
    </row>
    <row r="42" spans="1:14" hidden="1">
      <c r="A42" s="169">
        <v>43862</v>
      </c>
      <c r="B42" s="263">
        <v>6914.72</v>
      </c>
      <c r="C42" s="263"/>
      <c r="D42" s="263">
        <v>0</v>
      </c>
      <c r="E42" s="263"/>
      <c r="F42" s="62">
        <v>26617.759999999998</v>
      </c>
      <c r="G42" s="85">
        <f t="shared" si="12"/>
        <v>33532.479999999996</v>
      </c>
      <c r="H42" s="62">
        <v>0</v>
      </c>
      <c r="I42" s="62">
        <v>0</v>
      </c>
      <c r="J42" s="62">
        <v>0</v>
      </c>
      <c r="K42" s="87">
        <f t="shared" si="13"/>
        <v>0</v>
      </c>
      <c r="L42" s="74">
        <f t="shared" si="10"/>
        <v>33532.479999999996</v>
      </c>
      <c r="M42" s="89">
        <v>66250</v>
      </c>
      <c r="N42" s="190">
        <f t="shared" si="7"/>
        <v>32717.520000000004</v>
      </c>
    </row>
    <row r="43" spans="1:14" hidden="1">
      <c r="A43" s="169">
        <v>43891</v>
      </c>
      <c r="B43" s="263">
        <v>4282.12</v>
      </c>
      <c r="C43" s="263"/>
      <c r="D43" s="263">
        <v>0</v>
      </c>
      <c r="E43" s="263"/>
      <c r="F43" s="62">
        <v>62064</v>
      </c>
      <c r="G43" s="85">
        <f t="shared" si="12"/>
        <v>66346.12</v>
      </c>
      <c r="H43" s="62">
        <v>0</v>
      </c>
      <c r="I43" s="62">
        <v>0</v>
      </c>
      <c r="J43" s="62">
        <v>0</v>
      </c>
      <c r="K43" s="87">
        <f t="shared" si="13"/>
        <v>0</v>
      </c>
      <c r="L43" s="74">
        <f t="shared" si="10"/>
        <v>66346.12</v>
      </c>
      <c r="M43" s="89">
        <v>66250</v>
      </c>
      <c r="N43" s="190">
        <f t="shared" si="7"/>
        <v>-96.119999999995343</v>
      </c>
    </row>
    <row r="44" spans="1:14" hidden="1">
      <c r="A44" s="169">
        <v>43922</v>
      </c>
      <c r="B44" s="263">
        <v>5582.21</v>
      </c>
      <c r="C44" s="263"/>
      <c r="D44" s="263">
        <v>608.66</v>
      </c>
      <c r="E44" s="263"/>
      <c r="F44" s="62">
        <v>35039.839999999997</v>
      </c>
      <c r="G44" s="85">
        <f t="shared" si="12"/>
        <v>41230.71</v>
      </c>
      <c r="H44" s="62">
        <v>0</v>
      </c>
      <c r="I44" s="62">
        <v>0</v>
      </c>
      <c r="J44" s="62">
        <v>0</v>
      </c>
      <c r="K44" s="87">
        <f t="shared" si="13"/>
        <v>0</v>
      </c>
      <c r="L44" s="74">
        <f t="shared" si="10"/>
        <v>41230.71</v>
      </c>
      <c r="M44" s="89">
        <v>66250</v>
      </c>
      <c r="N44" s="190">
        <f t="shared" si="7"/>
        <v>25019.29</v>
      </c>
    </row>
    <row r="45" spans="1:14" hidden="1">
      <c r="A45" s="169">
        <v>43952</v>
      </c>
      <c r="B45" s="263">
        <v>5719.88</v>
      </c>
      <c r="C45" s="263"/>
      <c r="D45" s="263">
        <v>0</v>
      </c>
      <c r="E45" s="263"/>
      <c r="F45" s="62">
        <v>12520.96</v>
      </c>
      <c r="G45" s="85">
        <f t="shared" si="12"/>
        <v>18240.84</v>
      </c>
      <c r="H45" s="62">
        <v>2050</v>
      </c>
      <c r="I45" s="62">
        <v>0</v>
      </c>
      <c r="J45" s="62">
        <v>0</v>
      </c>
      <c r="K45" s="87">
        <f t="shared" si="13"/>
        <v>2050</v>
      </c>
      <c r="L45" s="74">
        <f t="shared" si="10"/>
        <v>20290.84</v>
      </c>
      <c r="M45" s="89">
        <v>66250</v>
      </c>
      <c r="N45" s="190">
        <f t="shared" si="7"/>
        <v>45959.16</v>
      </c>
    </row>
    <row r="46" spans="1:14" hidden="1">
      <c r="A46" s="169">
        <v>43983</v>
      </c>
      <c r="B46" s="263">
        <v>6685.66</v>
      </c>
      <c r="C46" s="263"/>
      <c r="D46" s="263">
        <v>0</v>
      </c>
      <c r="E46" s="263"/>
      <c r="F46" s="62">
        <v>29811.4</v>
      </c>
      <c r="G46" s="85">
        <f t="shared" si="12"/>
        <v>36497.06</v>
      </c>
      <c r="H46" s="62">
        <v>0</v>
      </c>
      <c r="I46" s="62">
        <v>0</v>
      </c>
      <c r="J46" s="62">
        <v>0</v>
      </c>
      <c r="K46" s="87">
        <f t="shared" si="13"/>
        <v>0</v>
      </c>
      <c r="L46" s="74">
        <f t="shared" si="10"/>
        <v>36497.06</v>
      </c>
      <c r="M46" s="89">
        <v>66250</v>
      </c>
      <c r="N46" s="190">
        <f t="shared" si="7"/>
        <v>29752.940000000002</v>
      </c>
    </row>
    <row r="47" spans="1:14" hidden="1">
      <c r="A47" s="169">
        <v>44013</v>
      </c>
      <c r="B47" s="263">
        <v>5148</v>
      </c>
      <c r="C47" s="263"/>
      <c r="D47" s="263">
        <v>1264.1400000000001</v>
      </c>
      <c r="E47" s="263"/>
      <c r="F47" s="62">
        <v>374.56</v>
      </c>
      <c r="G47" s="85">
        <f t="shared" si="12"/>
        <v>6786.7000000000007</v>
      </c>
      <c r="H47" s="62">
        <v>4398.75</v>
      </c>
      <c r="I47" s="62">
        <v>0</v>
      </c>
      <c r="J47" s="62">
        <v>0</v>
      </c>
      <c r="K47" s="87">
        <f t="shared" si="13"/>
        <v>4398.75</v>
      </c>
      <c r="L47" s="74">
        <f t="shared" si="10"/>
        <v>11185.45</v>
      </c>
      <c r="M47" s="89">
        <v>66250</v>
      </c>
      <c r="N47" s="190">
        <f t="shared" si="7"/>
        <v>55064.55</v>
      </c>
    </row>
    <row r="48" spans="1:14" hidden="1">
      <c r="A48" s="169">
        <v>44044</v>
      </c>
      <c r="B48" s="263">
        <v>5948.88</v>
      </c>
      <c r="C48" s="263"/>
      <c r="D48" s="263">
        <v>0</v>
      </c>
      <c r="E48" s="263"/>
      <c r="F48" s="62">
        <v>-1500</v>
      </c>
      <c r="G48" s="85">
        <f t="shared" si="12"/>
        <v>4448.88</v>
      </c>
      <c r="H48" s="62">
        <v>16844</v>
      </c>
      <c r="I48" s="62">
        <v>12438</v>
      </c>
      <c r="J48" s="62">
        <v>0</v>
      </c>
      <c r="K48" s="87">
        <f t="shared" si="13"/>
        <v>29282</v>
      </c>
      <c r="L48" s="74">
        <f t="shared" si="10"/>
        <v>33730.879999999997</v>
      </c>
      <c r="M48" s="89">
        <v>66250</v>
      </c>
      <c r="N48" s="190">
        <f t="shared" si="7"/>
        <v>32519.120000000003</v>
      </c>
    </row>
    <row r="49" spans="1:14" hidden="1">
      <c r="A49" s="169">
        <v>44075</v>
      </c>
      <c r="B49" s="263">
        <v>3090</v>
      </c>
      <c r="C49" s="263"/>
      <c r="D49" s="263">
        <v>0</v>
      </c>
      <c r="E49" s="263"/>
      <c r="F49" s="62">
        <v>0</v>
      </c>
      <c r="G49" s="85">
        <f t="shared" si="12"/>
        <v>3090</v>
      </c>
      <c r="H49" s="62">
        <v>0</v>
      </c>
      <c r="I49" s="62">
        <v>0</v>
      </c>
      <c r="J49" s="62">
        <v>0</v>
      </c>
      <c r="K49" s="87">
        <f t="shared" si="13"/>
        <v>0</v>
      </c>
      <c r="L49" s="74">
        <f t="shared" si="10"/>
        <v>3090</v>
      </c>
      <c r="M49" s="89">
        <v>66250</v>
      </c>
      <c r="N49" s="190">
        <f t="shared" si="7"/>
        <v>63160</v>
      </c>
    </row>
    <row r="50" spans="1:14" hidden="1">
      <c r="A50" s="169">
        <v>44105</v>
      </c>
      <c r="B50" s="263">
        <v>5253</v>
      </c>
      <c r="C50" s="263"/>
      <c r="D50" s="263">
        <v>1439.72</v>
      </c>
      <c r="E50" s="263"/>
      <c r="F50" s="62">
        <v>0</v>
      </c>
      <c r="G50" s="85">
        <f t="shared" si="12"/>
        <v>6692.72</v>
      </c>
      <c r="H50" s="62">
        <v>0</v>
      </c>
      <c r="I50" s="62">
        <v>0</v>
      </c>
      <c r="J50" s="62">
        <v>0</v>
      </c>
      <c r="K50" s="87">
        <f t="shared" si="13"/>
        <v>0</v>
      </c>
      <c r="L50" s="74">
        <f t="shared" si="10"/>
        <v>6692.72</v>
      </c>
      <c r="M50" s="89">
        <v>66250</v>
      </c>
      <c r="N50" s="190">
        <f t="shared" si="7"/>
        <v>59557.279999999999</v>
      </c>
    </row>
    <row r="51" spans="1:14" hidden="1">
      <c r="A51" s="169">
        <v>44136</v>
      </c>
      <c r="B51" s="263">
        <v>4326</v>
      </c>
      <c r="C51" s="263"/>
      <c r="D51" s="263">
        <v>0</v>
      </c>
      <c r="E51" s="263"/>
      <c r="F51" s="62">
        <v>0</v>
      </c>
      <c r="G51" s="85">
        <f t="shared" si="12"/>
        <v>4326</v>
      </c>
      <c r="H51" s="62">
        <v>0</v>
      </c>
      <c r="I51" s="62">
        <v>0</v>
      </c>
      <c r="J51" s="62">
        <v>0</v>
      </c>
      <c r="K51" s="87">
        <f t="shared" si="13"/>
        <v>0</v>
      </c>
      <c r="L51" s="74">
        <f t="shared" si="10"/>
        <v>4326</v>
      </c>
      <c r="M51" s="89">
        <v>66250</v>
      </c>
      <c r="N51" s="190">
        <f t="shared" si="7"/>
        <v>61924</v>
      </c>
    </row>
    <row r="52" spans="1:14" hidden="1">
      <c r="A52" s="169">
        <v>44166</v>
      </c>
      <c r="B52" s="263">
        <v>3502</v>
      </c>
      <c r="C52" s="263"/>
      <c r="D52" s="263">
        <v>234.1</v>
      </c>
      <c r="E52" s="263"/>
      <c r="F52" s="62">
        <v>0</v>
      </c>
      <c r="G52" s="85">
        <f t="shared" si="12"/>
        <v>3736.1</v>
      </c>
      <c r="H52" s="62">
        <v>0</v>
      </c>
      <c r="I52" s="62">
        <v>0</v>
      </c>
      <c r="J52" s="62">
        <v>0</v>
      </c>
      <c r="K52" s="87">
        <f t="shared" si="13"/>
        <v>0</v>
      </c>
      <c r="L52" s="74">
        <f t="shared" si="10"/>
        <v>3736.1</v>
      </c>
      <c r="M52" s="89">
        <v>66250</v>
      </c>
      <c r="N52" s="190">
        <f t="shared" si="7"/>
        <v>62513.9</v>
      </c>
    </row>
    <row r="53" spans="1:14">
      <c r="A53" s="58">
        <v>2020</v>
      </c>
      <c r="B53" s="265">
        <f>SUM(B41:B52)</f>
        <v>61058.71</v>
      </c>
      <c r="C53" s="265"/>
      <c r="D53" s="265">
        <f>SUM(D41:D52)</f>
        <v>3546.6200000000003</v>
      </c>
      <c r="E53" s="265"/>
      <c r="F53" s="59">
        <f t="shared" ref="F53:K53" si="14">SUM(F41:F52)</f>
        <v>196078.19999999998</v>
      </c>
      <c r="G53" s="71">
        <f t="shared" si="14"/>
        <v>260683.53</v>
      </c>
      <c r="H53" s="64">
        <f t="shared" si="14"/>
        <v>23292.75</v>
      </c>
      <c r="I53" s="63">
        <f t="shared" si="14"/>
        <v>12438</v>
      </c>
      <c r="J53" s="63">
        <f t="shared" si="14"/>
        <v>1040</v>
      </c>
      <c r="K53" s="79">
        <f t="shared" si="14"/>
        <v>36770.75</v>
      </c>
      <c r="L53" s="164">
        <f t="shared" si="10"/>
        <v>297454.28000000003</v>
      </c>
      <c r="M53" s="165">
        <f>SUM(M41:M52)</f>
        <v>795000</v>
      </c>
      <c r="N53" s="190">
        <f t="shared" si="7"/>
        <v>497545.72</v>
      </c>
    </row>
    <row r="54" spans="1:14" hidden="1">
      <c r="A54" s="15">
        <v>44197</v>
      </c>
      <c r="B54" s="263">
        <v>8064</v>
      </c>
      <c r="C54" s="263"/>
      <c r="D54" s="263">
        <v>0</v>
      </c>
      <c r="E54" s="263"/>
      <c r="F54" s="62">
        <v>0</v>
      </c>
      <c r="G54" s="85">
        <f t="shared" ref="G54:G65" si="15">SUM(B54:F54)</f>
        <v>8064</v>
      </c>
      <c r="H54" s="62">
        <v>0</v>
      </c>
      <c r="I54" s="62">
        <v>0</v>
      </c>
      <c r="J54" s="62">
        <v>0</v>
      </c>
      <c r="K54" s="87">
        <f t="shared" ref="K54:K65" si="16">SUM(H54:J54)</f>
        <v>0</v>
      </c>
      <c r="L54" s="186">
        <f t="shared" si="10"/>
        <v>8064</v>
      </c>
      <c r="M54" s="89">
        <v>46666</v>
      </c>
      <c r="N54" s="190">
        <f t="shared" si="7"/>
        <v>38602</v>
      </c>
    </row>
    <row r="55" spans="1:14" hidden="1">
      <c r="A55" s="15">
        <v>44228</v>
      </c>
      <c r="B55" s="263">
        <v>5828</v>
      </c>
      <c r="C55" s="263"/>
      <c r="D55" s="263">
        <v>0</v>
      </c>
      <c r="E55" s="263"/>
      <c r="F55" s="62">
        <v>0</v>
      </c>
      <c r="G55" s="85">
        <f t="shared" si="15"/>
        <v>5828</v>
      </c>
      <c r="H55" s="62">
        <v>0</v>
      </c>
      <c r="I55" s="62">
        <v>0</v>
      </c>
      <c r="J55" s="62">
        <v>0</v>
      </c>
      <c r="K55" s="87">
        <f t="shared" si="16"/>
        <v>0</v>
      </c>
      <c r="L55" s="186">
        <f t="shared" si="10"/>
        <v>5828</v>
      </c>
      <c r="M55" s="89">
        <v>46666</v>
      </c>
      <c r="N55" s="190">
        <f t="shared" si="7"/>
        <v>40838</v>
      </c>
    </row>
    <row r="56" spans="1:14" hidden="1">
      <c r="A56" s="15">
        <v>44256</v>
      </c>
      <c r="B56" s="263">
        <v>7059</v>
      </c>
      <c r="C56" s="263"/>
      <c r="D56" s="263">
        <v>0</v>
      </c>
      <c r="E56" s="263"/>
      <c r="F56" s="62">
        <v>0</v>
      </c>
      <c r="G56" s="85">
        <f t="shared" si="15"/>
        <v>7059</v>
      </c>
      <c r="H56" s="62">
        <v>0</v>
      </c>
      <c r="I56" s="62">
        <v>0</v>
      </c>
      <c r="J56" s="62">
        <v>0</v>
      </c>
      <c r="K56" s="87">
        <f t="shared" si="16"/>
        <v>0</v>
      </c>
      <c r="L56" s="186">
        <f t="shared" si="10"/>
        <v>7059</v>
      </c>
      <c r="M56" s="89">
        <v>46666</v>
      </c>
      <c r="N56" s="190">
        <f t="shared" si="7"/>
        <v>39607</v>
      </c>
    </row>
    <row r="57" spans="1:14" hidden="1">
      <c r="A57" s="15">
        <v>44287</v>
      </c>
      <c r="B57" s="263">
        <v>5413.53</v>
      </c>
      <c r="C57" s="263"/>
      <c r="D57" s="263">
        <v>795.94</v>
      </c>
      <c r="E57" s="263"/>
      <c r="F57" s="62">
        <v>0</v>
      </c>
      <c r="G57" s="85">
        <f t="shared" si="15"/>
        <v>6209.4699999999993</v>
      </c>
      <c r="H57" s="62">
        <v>0</v>
      </c>
      <c r="I57" s="62">
        <v>0</v>
      </c>
      <c r="J57" s="62">
        <v>0</v>
      </c>
      <c r="K57" s="87">
        <f t="shared" si="16"/>
        <v>0</v>
      </c>
      <c r="L57" s="186">
        <f t="shared" si="10"/>
        <v>6209.4699999999993</v>
      </c>
      <c r="M57" s="89">
        <v>46666</v>
      </c>
      <c r="N57" s="190">
        <f t="shared" si="7"/>
        <v>40456.53</v>
      </c>
    </row>
    <row r="58" spans="1:14" hidden="1">
      <c r="A58" s="15">
        <v>44317</v>
      </c>
      <c r="B58" s="263">
        <v>4044.5</v>
      </c>
      <c r="C58" s="263"/>
      <c r="D58" s="263">
        <v>0</v>
      </c>
      <c r="E58" s="263"/>
      <c r="F58" s="62">
        <v>0</v>
      </c>
      <c r="G58" s="85">
        <f t="shared" si="15"/>
        <v>4044.5</v>
      </c>
      <c r="H58" s="62">
        <v>0</v>
      </c>
      <c r="I58" s="62">
        <v>0</v>
      </c>
      <c r="J58" s="62">
        <v>0</v>
      </c>
      <c r="K58" s="87">
        <f t="shared" si="16"/>
        <v>0</v>
      </c>
      <c r="L58" s="186">
        <f t="shared" si="10"/>
        <v>4044.5</v>
      </c>
      <c r="M58" s="89">
        <v>46666</v>
      </c>
      <c r="N58" s="190">
        <f t="shared" si="7"/>
        <v>42621.5</v>
      </c>
    </row>
    <row r="59" spans="1:14" hidden="1">
      <c r="A59" s="15">
        <v>44348</v>
      </c>
      <c r="B59" s="263">
        <v>4678.5</v>
      </c>
      <c r="C59" s="263"/>
      <c r="D59" s="263">
        <v>0</v>
      </c>
      <c r="E59" s="263"/>
      <c r="F59" s="62">
        <v>0</v>
      </c>
      <c r="G59" s="85">
        <f t="shared" si="15"/>
        <v>4678.5</v>
      </c>
      <c r="H59" s="62">
        <v>9880</v>
      </c>
      <c r="I59" s="62">
        <v>0</v>
      </c>
      <c r="J59" s="62">
        <v>0</v>
      </c>
      <c r="K59" s="87">
        <f t="shared" si="16"/>
        <v>9880</v>
      </c>
      <c r="L59" s="186">
        <f t="shared" si="10"/>
        <v>14558.5</v>
      </c>
      <c r="M59" s="89">
        <v>46666</v>
      </c>
      <c r="N59" s="190">
        <f t="shared" si="7"/>
        <v>32107.5</v>
      </c>
    </row>
    <row r="60" spans="1:14" hidden="1">
      <c r="A60" s="15">
        <v>44378</v>
      </c>
      <c r="B60" s="263">
        <v>3708</v>
      </c>
      <c r="C60" s="263"/>
      <c r="D60" s="263">
        <v>0</v>
      </c>
      <c r="E60" s="263"/>
      <c r="F60" s="62">
        <v>0</v>
      </c>
      <c r="G60" s="85">
        <f t="shared" si="15"/>
        <v>3708</v>
      </c>
      <c r="H60" s="62">
        <v>0</v>
      </c>
      <c r="I60" s="62">
        <v>0</v>
      </c>
      <c r="J60" s="62">
        <v>0</v>
      </c>
      <c r="K60" s="87">
        <f t="shared" si="16"/>
        <v>0</v>
      </c>
      <c r="L60" s="186">
        <f t="shared" si="10"/>
        <v>3708</v>
      </c>
      <c r="M60" s="89">
        <v>46666</v>
      </c>
      <c r="N60" s="190">
        <f t="shared" si="7"/>
        <v>42958</v>
      </c>
    </row>
    <row r="61" spans="1:14" hidden="1">
      <c r="A61" s="15">
        <v>44409</v>
      </c>
      <c r="B61" s="263">
        <v>4223</v>
      </c>
      <c r="C61" s="263"/>
      <c r="D61" s="263">
        <v>0</v>
      </c>
      <c r="E61" s="263"/>
      <c r="F61" s="62">
        <v>0</v>
      </c>
      <c r="G61" s="85">
        <f t="shared" si="15"/>
        <v>4223</v>
      </c>
      <c r="H61" s="62">
        <v>33.6</v>
      </c>
      <c r="I61" s="62">
        <v>0</v>
      </c>
      <c r="J61" s="62">
        <v>0</v>
      </c>
      <c r="K61" s="87">
        <f t="shared" si="16"/>
        <v>33.6</v>
      </c>
      <c r="L61" s="186">
        <f t="shared" si="10"/>
        <v>4256.6000000000004</v>
      </c>
      <c r="M61" s="89">
        <v>46666</v>
      </c>
      <c r="N61" s="190">
        <f t="shared" si="7"/>
        <v>42409.4</v>
      </c>
    </row>
    <row r="62" spans="1:14" hidden="1">
      <c r="A62" s="15">
        <v>44440</v>
      </c>
      <c r="B62" s="263">
        <v>4223</v>
      </c>
      <c r="C62" s="263"/>
      <c r="D62" s="263">
        <v>1966.44</v>
      </c>
      <c r="E62" s="263"/>
      <c r="F62" s="62">
        <v>0</v>
      </c>
      <c r="G62" s="85">
        <f t="shared" si="15"/>
        <v>6189.4400000000005</v>
      </c>
      <c r="H62" s="62">
        <v>812.5</v>
      </c>
      <c r="I62" s="62">
        <v>2875.23</v>
      </c>
      <c r="J62" s="62">
        <v>0</v>
      </c>
      <c r="K62" s="87">
        <f t="shared" si="16"/>
        <v>3687.73</v>
      </c>
      <c r="L62" s="186">
        <f t="shared" si="10"/>
        <v>9877.17</v>
      </c>
      <c r="M62" s="89">
        <v>46666</v>
      </c>
      <c r="N62" s="190">
        <f t="shared" si="7"/>
        <v>36788.83</v>
      </c>
    </row>
    <row r="63" spans="1:14" hidden="1">
      <c r="A63" s="15">
        <v>44470</v>
      </c>
      <c r="B63" s="263">
        <v>2575</v>
      </c>
      <c r="C63" s="263"/>
      <c r="D63" s="263">
        <v>0</v>
      </c>
      <c r="E63" s="263"/>
      <c r="F63" s="62">
        <v>0</v>
      </c>
      <c r="G63" s="85">
        <f t="shared" si="15"/>
        <v>2575</v>
      </c>
      <c r="H63" s="62">
        <v>930</v>
      </c>
      <c r="I63" s="62">
        <v>0</v>
      </c>
      <c r="J63" s="62">
        <v>0</v>
      </c>
      <c r="K63" s="87">
        <f t="shared" si="16"/>
        <v>930</v>
      </c>
      <c r="L63" s="186">
        <f t="shared" si="10"/>
        <v>3505</v>
      </c>
      <c r="M63" s="89">
        <v>46666</v>
      </c>
      <c r="N63" s="190">
        <f t="shared" si="7"/>
        <v>43161</v>
      </c>
    </row>
    <row r="64" spans="1:14" hidden="1">
      <c r="A64" s="15">
        <v>44501</v>
      </c>
      <c r="B64" s="263">
        <v>4841</v>
      </c>
      <c r="C64" s="263"/>
      <c r="D64" s="263">
        <v>0</v>
      </c>
      <c r="E64" s="263"/>
      <c r="F64" s="62">
        <v>0</v>
      </c>
      <c r="G64" s="85">
        <f t="shared" si="15"/>
        <v>4841</v>
      </c>
      <c r="H64" s="62">
        <v>0</v>
      </c>
      <c r="I64" s="62">
        <v>0</v>
      </c>
      <c r="J64" s="62">
        <v>0</v>
      </c>
      <c r="K64" s="87">
        <f t="shared" si="16"/>
        <v>0</v>
      </c>
      <c r="L64" s="186">
        <f t="shared" si="10"/>
        <v>4841</v>
      </c>
      <c r="M64" s="89">
        <v>46666</v>
      </c>
      <c r="N64" s="190">
        <f t="shared" si="7"/>
        <v>41825</v>
      </c>
    </row>
    <row r="65" spans="1:14" hidden="1">
      <c r="A65" s="15">
        <v>44531</v>
      </c>
      <c r="B65" s="263">
        <v>4944</v>
      </c>
      <c r="C65" s="263"/>
      <c r="D65" s="263">
        <v>0</v>
      </c>
      <c r="E65" s="263"/>
      <c r="F65" s="62">
        <v>0</v>
      </c>
      <c r="G65" s="85">
        <f t="shared" si="15"/>
        <v>4944</v>
      </c>
      <c r="H65" s="62">
        <v>0</v>
      </c>
      <c r="I65" s="62">
        <v>0</v>
      </c>
      <c r="J65" s="62">
        <v>0</v>
      </c>
      <c r="K65" s="87">
        <f t="shared" si="16"/>
        <v>0</v>
      </c>
      <c r="L65" s="186">
        <f t="shared" si="10"/>
        <v>4944</v>
      </c>
      <c r="M65" s="89">
        <v>46666</v>
      </c>
      <c r="N65" s="190">
        <f t="shared" si="7"/>
        <v>41722</v>
      </c>
    </row>
    <row r="66" spans="1:14">
      <c r="A66" s="58">
        <v>2021</v>
      </c>
      <c r="B66" s="265">
        <f>SUM(B54:B65)</f>
        <v>59601.53</v>
      </c>
      <c r="C66" s="265"/>
      <c r="D66" s="265">
        <f>SUM(D54:D65)</f>
        <v>2762.38</v>
      </c>
      <c r="E66" s="265"/>
      <c r="F66" s="59">
        <f t="shared" ref="F66:K66" si="17">SUM(F54:F65)</f>
        <v>0</v>
      </c>
      <c r="G66" s="71">
        <f t="shared" si="17"/>
        <v>62363.91</v>
      </c>
      <c r="H66" s="64">
        <f t="shared" si="17"/>
        <v>11656.1</v>
      </c>
      <c r="I66" s="63">
        <f t="shared" si="17"/>
        <v>2875.23</v>
      </c>
      <c r="J66" s="63">
        <f t="shared" si="17"/>
        <v>0</v>
      </c>
      <c r="K66" s="79">
        <f t="shared" si="17"/>
        <v>14531.33</v>
      </c>
      <c r="L66" s="164">
        <f t="shared" si="10"/>
        <v>76895.240000000005</v>
      </c>
      <c r="M66" s="165">
        <f>SUM(M54:M65)</f>
        <v>559992</v>
      </c>
      <c r="N66" s="190">
        <f t="shared" si="7"/>
        <v>483096.76</v>
      </c>
    </row>
    <row r="67" spans="1:14" hidden="1">
      <c r="A67" s="169">
        <v>44562</v>
      </c>
      <c r="B67" s="263">
        <v>6798</v>
      </c>
      <c r="C67" s="263"/>
      <c r="D67" s="263">
        <v>0</v>
      </c>
      <c r="E67" s="263"/>
      <c r="F67" s="62">
        <v>0</v>
      </c>
      <c r="G67" s="85">
        <f>SUM(B67:F67)</f>
        <v>6798</v>
      </c>
      <c r="H67" s="62">
        <v>0</v>
      </c>
      <c r="I67" s="62">
        <v>0</v>
      </c>
      <c r="J67" s="62">
        <v>0</v>
      </c>
      <c r="K67" s="87">
        <f t="shared" ref="K67:K78" si="18">SUM(H67:J67)</f>
        <v>0</v>
      </c>
      <c r="L67" s="186">
        <f t="shared" si="10"/>
        <v>6798</v>
      </c>
      <c r="M67" s="89">
        <v>40000</v>
      </c>
      <c r="N67" s="190">
        <f t="shared" si="7"/>
        <v>33202</v>
      </c>
    </row>
    <row r="68" spans="1:14" hidden="1">
      <c r="A68" s="169">
        <v>44593</v>
      </c>
      <c r="B68" s="263">
        <v>3456</v>
      </c>
      <c r="C68" s="263"/>
      <c r="D68" s="263">
        <v>0</v>
      </c>
      <c r="E68" s="263"/>
      <c r="F68" s="62">
        <v>0</v>
      </c>
      <c r="G68" s="85">
        <f>SUM(B68:F68)</f>
        <v>3456</v>
      </c>
      <c r="H68" s="62">
        <v>0</v>
      </c>
      <c r="I68" s="62">
        <v>0</v>
      </c>
      <c r="J68" s="62">
        <v>0</v>
      </c>
      <c r="K68" s="87">
        <f t="shared" si="18"/>
        <v>0</v>
      </c>
      <c r="L68" s="186">
        <f t="shared" si="10"/>
        <v>3456</v>
      </c>
      <c r="M68" s="89">
        <v>40000</v>
      </c>
      <c r="N68" s="190">
        <f t="shared" si="7"/>
        <v>36544</v>
      </c>
    </row>
    <row r="69" spans="1:14" hidden="1">
      <c r="A69" s="169">
        <v>44621</v>
      </c>
      <c r="B69" s="263">
        <v>5794</v>
      </c>
      <c r="C69" s="263"/>
      <c r="D69" s="263">
        <v>0</v>
      </c>
      <c r="E69" s="263"/>
      <c r="F69" s="62">
        <v>0</v>
      </c>
      <c r="G69" s="85">
        <f t="shared" ref="G69:G78" si="19">SUM(B69:F69)</f>
        <v>5794</v>
      </c>
      <c r="H69" s="62">
        <v>2030</v>
      </c>
      <c r="I69" s="62">
        <v>1020</v>
      </c>
      <c r="J69" s="62">
        <v>0</v>
      </c>
      <c r="K69" s="87">
        <f t="shared" si="18"/>
        <v>3050</v>
      </c>
      <c r="L69" s="186">
        <f t="shared" si="10"/>
        <v>8844</v>
      </c>
      <c r="M69" s="89">
        <v>40000</v>
      </c>
      <c r="N69" s="190">
        <f t="shared" si="7"/>
        <v>31156</v>
      </c>
    </row>
    <row r="70" spans="1:14" hidden="1">
      <c r="A70" s="169">
        <v>44652</v>
      </c>
      <c r="B70" s="263">
        <v>5057</v>
      </c>
      <c r="C70" s="263"/>
      <c r="D70" s="263">
        <v>0</v>
      </c>
      <c r="E70" s="263"/>
      <c r="F70" s="62">
        <v>0</v>
      </c>
      <c r="G70" s="85">
        <f t="shared" si="19"/>
        <v>5057</v>
      </c>
      <c r="H70" s="62">
        <v>0</v>
      </c>
      <c r="I70" s="62">
        <v>0</v>
      </c>
      <c r="J70" s="62">
        <v>0</v>
      </c>
      <c r="K70" s="87">
        <f t="shared" si="18"/>
        <v>0</v>
      </c>
      <c r="L70" s="186">
        <f t="shared" si="10"/>
        <v>5057</v>
      </c>
      <c r="M70" s="89">
        <v>40000</v>
      </c>
      <c r="N70" s="190">
        <f t="shared" si="7"/>
        <v>34943</v>
      </c>
    </row>
    <row r="71" spans="1:14" hidden="1">
      <c r="A71" s="169">
        <v>44682</v>
      </c>
      <c r="B71" s="263">
        <v>3685</v>
      </c>
      <c r="C71" s="263"/>
      <c r="D71" s="263">
        <v>1047.42</v>
      </c>
      <c r="E71" s="263"/>
      <c r="F71" s="62">
        <v>0</v>
      </c>
      <c r="G71" s="85">
        <f t="shared" si="19"/>
        <v>4732.42</v>
      </c>
      <c r="H71" s="62">
        <v>3457</v>
      </c>
      <c r="I71" s="62">
        <v>1392</v>
      </c>
      <c r="J71" s="62">
        <v>0</v>
      </c>
      <c r="K71" s="87">
        <f t="shared" si="18"/>
        <v>4849</v>
      </c>
      <c r="L71" s="186">
        <f t="shared" si="10"/>
        <v>9581.42</v>
      </c>
      <c r="M71" s="89">
        <v>40000</v>
      </c>
      <c r="N71" s="190">
        <f t="shared" si="7"/>
        <v>30418.58</v>
      </c>
    </row>
    <row r="72" spans="1:14" hidden="1">
      <c r="A72" s="169">
        <v>44713</v>
      </c>
      <c r="B72" s="263">
        <v>0</v>
      </c>
      <c r="C72" s="263"/>
      <c r="D72" s="263">
        <v>0</v>
      </c>
      <c r="E72" s="263"/>
      <c r="F72" s="62">
        <v>0</v>
      </c>
      <c r="G72" s="85">
        <f t="shared" si="19"/>
        <v>0</v>
      </c>
      <c r="H72" s="62">
        <v>0</v>
      </c>
      <c r="I72" s="62">
        <v>0</v>
      </c>
      <c r="J72" s="62">
        <v>0</v>
      </c>
      <c r="K72" s="87">
        <f t="shared" si="18"/>
        <v>0</v>
      </c>
      <c r="L72" s="186">
        <f t="shared" si="10"/>
        <v>0</v>
      </c>
      <c r="M72" s="89">
        <v>40000</v>
      </c>
      <c r="N72" s="190">
        <f t="shared" si="7"/>
        <v>40000</v>
      </c>
    </row>
    <row r="73" spans="1:14" hidden="1">
      <c r="A73" s="169">
        <v>44743</v>
      </c>
      <c r="B73" s="263">
        <v>0</v>
      </c>
      <c r="C73" s="263"/>
      <c r="D73" s="263">
        <v>0</v>
      </c>
      <c r="E73" s="263"/>
      <c r="F73" s="62">
        <v>0</v>
      </c>
      <c r="G73" s="85">
        <f t="shared" si="19"/>
        <v>0</v>
      </c>
      <c r="H73" s="62">
        <v>0</v>
      </c>
      <c r="I73" s="62">
        <v>0</v>
      </c>
      <c r="J73" s="62">
        <v>0</v>
      </c>
      <c r="K73" s="87">
        <f t="shared" si="18"/>
        <v>0</v>
      </c>
      <c r="L73" s="186">
        <f t="shared" si="10"/>
        <v>0</v>
      </c>
      <c r="M73" s="89">
        <v>40000</v>
      </c>
      <c r="N73" s="190">
        <f t="shared" si="7"/>
        <v>40000</v>
      </c>
    </row>
    <row r="74" spans="1:14" hidden="1">
      <c r="A74" s="169">
        <v>44774</v>
      </c>
      <c r="B74" s="263">
        <v>89</v>
      </c>
      <c r="C74" s="263"/>
      <c r="D74" s="263">
        <v>0</v>
      </c>
      <c r="E74" s="263"/>
      <c r="F74" s="62">
        <v>0</v>
      </c>
      <c r="G74" s="85">
        <f t="shared" si="19"/>
        <v>89</v>
      </c>
      <c r="H74" s="62">
        <v>2765</v>
      </c>
      <c r="I74" s="62">
        <v>0</v>
      </c>
      <c r="J74" s="62">
        <v>0</v>
      </c>
      <c r="K74" s="87">
        <f t="shared" si="18"/>
        <v>2765</v>
      </c>
      <c r="L74" s="186">
        <f t="shared" si="10"/>
        <v>2854</v>
      </c>
      <c r="M74" s="89">
        <v>40000</v>
      </c>
      <c r="N74" s="190">
        <f t="shared" si="7"/>
        <v>37146</v>
      </c>
    </row>
    <row r="75" spans="1:14" hidden="1">
      <c r="A75" s="169">
        <v>44805</v>
      </c>
      <c r="B75" s="263">
        <v>0</v>
      </c>
      <c r="C75" s="263"/>
      <c r="D75" s="263">
        <v>0</v>
      </c>
      <c r="E75" s="263"/>
      <c r="F75" s="62">
        <v>0</v>
      </c>
      <c r="G75" s="85">
        <f t="shared" si="19"/>
        <v>0</v>
      </c>
      <c r="H75" s="62">
        <v>0</v>
      </c>
      <c r="I75" s="62">
        <v>0</v>
      </c>
      <c r="J75" s="62">
        <v>0</v>
      </c>
      <c r="K75" s="87">
        <f t="shared" si="18"/>
        <v>0</v>
      </c>
      <c r="L75" s="186">
        <f t="shared" si="10"/>
        <v>0</v>
      </c>
      <c r="M75" s="89">
        <v>40000</v>
      </c>
      <c r="N75" s="190">
        <f t="shared" si="7"/>
        <v>40000</v>
      </c>
    </row>
    <row r="76" spans="1:14" hidden="1">
      <c r="A76" s="169">
        <v>44835</v>
      </c>
      <c r="B76" s="263">
        <v>0</v>
      </c>
      <c r="C76" s="263"/>
      <c r="D76" s="263">
        <v>0</v>
      </c>
      <c r="E76" s="263"/>
      <c r="F76" s="62">
        <v>0</v>
      </c>
      <c r="G76" s="85">
        <f t="shared" si="19"/>
        <v>0</v>
      </c>
      <c r="H76" s="62">
        <v>0</v>
      </c>
      <c r="I76" s="62">
        <v>0</v>
      </c>
      <c r="J76" s="62">
        <v>0</v>
      </c>
      <c r="K76" s="87">
        <f t="shared" si="18"/>
        <v>0</v>
      </c>
      <c r="L76" s="186">
        <f t="shared" si="10"/>
        <v>0</v>
      </c>
      <c r="M76" s="89">
        <v>40000</v>
      </c>
      <c r="N76" s="190">
        <f t="shared" si="7"/>
        <v>40000</v>
      </c>
    </row>
    <row r="77" spans="1:14" hidden="1">
      <c r="A77" s="169">
        <v>44866</v>
      </c>
      <c r="B77" s="263">
        <v>4104</v>
      </c>
      <c r="C77" s="263"/>
      <c r="D77" s="263">
        <v>0</v>
      </c>
      <c r="E77" s="263"/>
      <c r="F77" s="62">
        <v>0</v>
      </c>
      <c r="G77" s="85">
        <f t="shared" si="19"/>
        <v>4104</v>
      </c>
      <c r="H77" s="62">
        <v>0</v>
      </c>
      <c r="I77" s="62">
        <v>0</v>
      </c>
      <c r="J77" s="62">
        <v>0</v>
      </c>
      <c r="K77" s="87">
        <f t="shared" si="18"/>
        <v>0</v>
      </c>
      <c r="L77" s="186">
        <f t="shared" si="10"/>
        <v>4104</v>
      </c>
      <c r="M77" s="89">
        <v>40000</v>
      </c>
      <c r="N77" s="190">
        <f t="shared" si="7"/>
        <v>35896</v>
      </c>
    </row>
    <row r="78" spans="1:14" hidden="1">
      <c r="A78" s="169">
        <v>44896</v>
      </c>
      <c r="B78" s="263">
        <v>7020</v>
      </c>
      <c r="C78" s="263"/>
      <c r="D78" s="263">
        <v>1932</v>
      </c>
      <c r="E78" s="263"/>
      <c r="F78" s="62">
        <v>0</v>
      </c>
      <c r="G78" s="85">
        <f t="shared" si="19"/>
        <v>8952</v>
      </c>
      <c r="H78" s="62">
        <v>0</v>
      </c>
      <c r="I78" s="62">
        <v>0</v>
      </c>
      <c r="J78" s="62">
        <v>0</v>
      </c>
      <c r="K78" s="87">
        <f t="shared" si="18"/>
        <v>0</v>
      </c>
      <c r="L78" s="186">
        <f t="shared" si="10"/>
        <v>8952</v>
      </c>
      <c r="M78" s="89">
        <v>40000</v>
      </c>
      <c r="N78" s="190">
        <f t="shared" si="7"/>
        <v>31048</v>
      </c>
    </row>
    <row r="79" spans="1:14">
      <c r="A79" s="58">
        <v>2022</v>
      </c>
      <c r="B79" s="265">
        <f>SUM(B67:B78)</f>
        <v>36003</v>
      </c>
      <c r="C79" s="265"/>
      <c r="D79" s="265">
        <f>SUM(D67:D78)</f>
        <v>2979.42</v>
      </c>
      <c r="E79" s="265"/>
      <c r="F79" s="59">
        <f t="shared" ref="F79:K79" si="20">SUM(F67:F78)</f>
        <v>0</v>
      </c>
      <c r="G79" s="71">
        <f t="shared" si="20"/>
        <v>38982.42</v>
      </c>
      <c r="H79" s="64">
        <f t="shared" si="20"/>
        <v>8252</v>
      </c>
      <c r="I79" s="63">
        <f t="shared" si="20"/>
        <v>2412</v>
      </c>
      <c r="J79" s="63">
        <f t="shared" si="20"/>
        <v>0</v>
      </c>
      <c r="K79" s="79">
        <f t="shared" si="20"/>
        <v>10664</v>
      </c>
      <c r="L79" s="164">
        <f>K79+G79</f>
        <v>49646.42</v>
      </c>
      <c r="M79" s="165">
        <f>SUM(M67:M78)</f>
        <v>480000</v>
      </c>
      <c r="N79" s="190">
        <f t="shared" si="7"/>
        <v>430353.58</v>
      </c>
    </row>
    <row r="80" spans="1:14" hidden="1">
      <c r="A80" s="15">
        <v>44927</v>
      </c>
      <c r="B80" s="263">
        <v>3672</v>
      </c>
      <c r="C80" s="263"/>
      <c r="D80" s="263">
        <v>0</v>
      </c>
      <c r="E80" s="263"/>
      <c r="F80" s="62">
        <v>0</v>
      </c>
      <c r="G80" s="85">
        <f>SUM(B80:F80)</f>
        <v>3672</v>
      </c>
      <c r="H80" s="62">
        <v>0</v>
      </c>
      <c r="I80" s="62">
        <v>0</v>
      </c>
      <c r="J80" s="62">
        <v>0</v>
      </c>
      <c r="K80" s="87">
        <f t="shared" ref="K80:K91" si="21">SUM(H80:J80)</f>
        <v>0</v>
      </c>
      <c r="L80" s="186">
        <f t="shared" ref="L80:L91" si="22">K80+G80</f>
        <v>3672</v>
      </c>
      <c r="M80" s="89">
        <v>53333</v>
      </c>
      <c r="N80" s="190">
        <f t="shared" si="7"/>
        <v>49661</v>
      </c>
    </row>
    <row r="81" spans="1:14" hidden="1">
      <c r="A81" s="15">
        <v>44958</v>
      </c>
      <c r="B81" s="263">
        <v>6480</v>
      </c>
      <c r="C81" s="263"/>
      <c r="D81" s="263">
        <v>0</v>
      </c>
      <c r="E81" s="263"/>
      <c r="F81" s="62">
        <v>0</v>
      </c>
      <c r="G81" s="85">
        <f>SUM(B81:F81)</f>
        <v>6480</v>
      </c>
      <c r="H81" s="62">
        <v>766.4</v>
      </c>
      <c r="I81" s="62">
        <v>0</v>
      </c>
      <c r="J81" s="62">
        <v>0</v>
      </c>
      <c r="K81" s="87">
        <f t="shared" si="21"/>
        <v>766.4</v>
      </c>
      <c r="L81" s="186">
        <f t="shared" si="22"/>
        <v>7246.4</v>
      </c>
      <c r="M81" s="89">
        <v>53333</v>
      </c>
      <c r="N81" s="190">
        <f t="shared" si="7"/>
        <v>46086.6</v>
      </c>
    </row>
    <row r="82" spans="1:14" hidden="1">
      <c r="A82" s="15">
        <v>44986</v>
      </c>
      <c r="B82" s="263">
        <v>5292</v>
      </c>
      <c r="C82" s="263"/>
      <c r="D82" s="263">
        <v>728</v>
      </c>
      <c r="E82" s="263"/>
      <c r="F82" s="62">
        <v>0</v>
      </c>
      <c r="G82" s="85">
        <f t="shared" ref="G82:G91" si="23">SUM(B82:F82)</f>
        <v>6020</v>
      </c>
      <c r="H82" s="62">
        <v>0</v>
      </c>
      <c r="I82" s="62">
        <v>0</v>
      </c>
      <c r="J82" s="62">
        <v>0</v>
      </c>
      <c r="K82" s="87">
        <f t="shared" si="21"/>
        <v>0</v>
      </c>
      <c r="L82" s="186">
        <f t="shared" si="22"/>
        <v>6020</v>
      </c>
      <c r="M82" s="89">
        <v>53333</v>
      </c>
      <c r="N82" s="190">
        <f t="shared" si="7"/>
        <v>47313</v>
      </c>
    </row>
    <row r="83" spans="1:14" hidden="1">
      <c r="A83" s="15">
        <v>45017</v>
      </c>
      <c r="B83" s="263">
        <v>3240</v>
      </c>
      <c r="C83" s="263"/>
      <c r="D83" s="263">
        <v>0</v>
      </c>
      <c r="E83" s="263"/>
      <c r="F83" s="62">
        <v>0</v>
      </c>
      <c r="G83" s="85">
        <f t="shared" si="23"/>
        <v>3240</v>
      </c>
      <c r="H83" s="62">
        <v>0</v>
      </c>
      <c r="I83" s="62">
        <v>43.81</v>
      </c>
      <c r="J83" s="62">
        <v>0</v>
      </c>
      <c r="K83" s="87">
        <f t="shared" si="21"/>
        <v>43.81</v>
      </c>
      <c r="L83" s="186">
        <f t="shared" si="22"/>
        <v>3283.81</v>
      </c>
      <c r="M83" s="89">
        <v>53333</v>
      </c>
      <c r="N83" s="190">
        <f t="shared" si="7"/>
        <v>50049.19</v>
      </c>
    </row>
    <row r="84" spans="1:14" hidden="1">
      <c r="A84" s="15">
        <v>45047</v>
      </c>
      <c r="B84" s="263">
        <v>3723.06</v>
      </c>
      <c r="C84" s="263"/>
      <c r="D84" s="263">
        <v>0</v>
      </c>
      <c r="E84" s="263"/>
      <c r="F84" s="62">
        <v>0</v>
      </c>
      <c r="G84" s="85">
        <f t="shared" si="23"/>
        <v>3723.06</v>
      </c>
      <c r="H84" s="62">
        <v>4518.26</v>
      </c>
      <c r="I84" s="62">
        <v>963.85</v>
      </c>
      <c r="J84" s="62">
        <v>0</v>
      </c>
      <c r="K84" s="87">
        <f t="shared" si="21"/>
        <v>5482.1100000000006</v>
      </c>
      <c r="L84" s="186">
        <f t="shared" si="22"/>
        <v>9205.17</v>
      </c>
      <c r="M84" s="89">
        <v>53333</v>
      </c>
      <c r="N84" s="190">
        <f t="shared" si="7"/>
        <v>44127.83</v>
      </c>
    </row>
    <row r="85" spans="1:14" hidden="1">
      <c r="A85" s="15">
        <v>45078</v>
      </c>
      <c r="B85" s="263">
        <v>4320</v>
      </c>
      <c r="C85" s="263"/>
      <c r="D85" s="263">
        <v>0</v>
      </c>
      <c r="E85" s="263"/>
      <c r="F85" s="62">
        <v>0</v>
      </c>
      <c r="G85" s="85">
        <f t="shared" si="23"/>
        <v>4320</v>
      </c>
      <c r="H85" s="62">
        <v>956</v>
      </c>
      <c r="I85" s="62">
        <v>16501.439999999999</v>
      </c>
      <c r="J85" s="62">
        <v>0</v>
      </c>
      <c r="K85" s="87">
        <f t="shared" si="21"/>
        <v>17457.439999999999</v>
      </c>
      <c r="L85" s="186">
        <f t="shared" si="22"/>
        <v>21777.439999999999</v>
      </c>
      <c r="M85" s="89">
        <v>53333</v>
      </c>
      <c r="N85" s="190">
        <f t="shared" si="7"/>
        <v>31555.56</v>
      </c>
    </row>
    <row r="86" spans="1:14" hidden="1">
      <c r="A86" s="15">
        <v>45108</v>
      </c>
      <c r="B86" s="263">
        <v>3888</v>
      </c>
      <c r="C86" s="263"/>
      <c r="D86" s="263">
        <v>0</v>
      </c>
      <c r="E86" s="263"/>
      <c r="F86" s="62">
        <v>0</v>
      </c>
      <c r="G86" s="85">
        <f t="shared" si="23"/>
        <v>3888</v>
      </c>
      <c r="H86" s="62">
        <v>2294.83</v>
      </c>
      <c r="I86" s="62">
        <v>0</v>
      </c>
      <c r="J86" s="62">
        <v>0</v>
      </c>
      <c r="K86" s="87">
        <f t="shared" si="21"/>
        <v>2294.83</v>
      </c>
      <c r="L86" s="186">
        <f t="shared" si="22"/>
        <v>6182.83</v>
      </c>
      <c r="M86" s="89">
        <v>53333</v>
      </c>
      <c r="N86" s="190">
        <f t="shared" si="7"/>
        <v>47150.17</v>
      </c>
    </row>
    <row r="87" spans="1:14" hidden="1">
      <c r="A87" s="15">
        <v>45139</v>
      </c>
      <c r="B87" s="263">
        <v>4200</v>
      </c>
      <c r="C87" s="263"/>
      <c r="D87" s="263">
        <v>0</v>
      </c>
      <c r="E87" s="263"/>
      <c r="F87" s="62">
        <v>0</v>
      </c>
      <c r="G87" s="85">
        <f t="shared" si="23"/>
        <v>4200</v>
      </c>
      <c r="H87" s="62">
        <v>0</v>
      </c>
      <c r="I87" s="62">
        <v>0</v>
      </c>
      <c r="J87" s="62">
        <v>0</v>
      </c>
      <c r="K87" s="87">
        <f t="shared" si="21"/>
        <v>0</v>
      </c>
      <c r="L87" s="186">
        <f t="shared" si="22"/>
        <v>4200</v>
      </c>
      <c r="M87" s="89">
        <v>53333</v>
      </c>
      <c r="N87" s="190">
        <f t="shared" si="7"/>
        <v>49133</v>
      </c>
    </row>
    <row r="88" spans="1:14" hidden="1">
      <c r="A88" s="15">
        <v>45170</v>
      </c>
      <c r="B88" s="263">
        <v>2736</v>
      </c>
      <c r="C88" s="263"/>
      <c r="D88" s="263">
        <v>676</v>
      </c>
      <c r="E88" s="263"/>
      <c r="F88" s="62">
        <v>0</v>
      </c>
      <c r="G88" s="85">
        <f t="shared" si="23"/>
        <v>3412</v>
      </c>
      <c r="H88" s="62">
        <v>0</v>
      </c>
      <c r="I88" s="62">
        <v>0</v>
      </c>
      <c r="J88" s="62">
        <v>0</v>
      </c>
      <c r="K88" s="87">
        <f t="shared" si="21"/>
        <v>0</v>
      </c>
      <c r="L88" s="186">
        <f t="shared" si="22"/>
        <v>3412</v>
      </c>
      <c r="M88" s="89">
        <v>53333</v>
      </c>
      <c r="N88" s="190">
        <f t="shared" si="7"/>
        <v>49921</v>
      </c>
    </row>
    <row r="89" spans="1:14" hidden="1">
      <c r="A89" s="15">
        <v>45200</v>
      </c>
      <c r="B89" s="263">
        <v>5832</v>
      </c>
      <c r="C89" s="263"/>
      <c r="D89" s="263">
        <v>0</v>
      </c>
      <c r="E89" s="263"/>
      <c r="F89" s="62">
        <v>0</v>
      </c>
      <c r="G89" s="85">
        <f t="shared" si="23"/>
        <v>5832</v>
      </c>
      <c r="H89" s="62">
        <v>0</v>
      </c>
      <c r="I89" s="62">
        <v>5025.1399999999994</v>
      </c>
      <c r="J89" s="62">
        <v>0</v>
      </c>
      <c r="K89" s="87">
        <f t="shared" si="21"/>
        <v>5025.1399999999994</v>
      </c>
      <c r="L89" s="186">
        <f t="shared" si="22"/>
        <v>10857.14</v>
      </c>
      <c r="M89" s="89">
        <v>53333</v>
      </c>
      <c r="N89" s="190">
        <f t="shared" ref="N89:N91" si="24">M89-L89</f>
        <v>42475.86</v>
      </c>
    </row>
    <row r="90" spans="1:14" hidden="1">
      <c r="A90" s="15">
        <v>45231</v>
      </c>
      <c r="B90" s="263">
        <v>2376</v>
      </c>
      <c r="C90" s="263"/>
      <c r="D90" s="263">
        <v>0</v>
      </c>
      <c r="E90" s="263"/>
      <c r="F90" s="62">
        <v>0</v>
      </c>
      <c r="G90" s="85">
        <f t="shared" si="23"/>
        <v>2376</v>
      </c>
      <c r="H90" s="62">
        <v>0</v>
      </c>
      <c r="I90" s="62">
        <v>0</v>
      </c>
      <c r="J90" s="62">
        <v>0</v>
      </c>
      <c r="K90" s="87">
        <f t="shared" si="21"/>
        <v>0</v>
      </c>
      <c r="L90" s="186">
        <f t="shared" si="22"/>
        <v>2376</v>
      </c>
      <c r="M90" s="89">
        <v>53333</v>
      </c>
      <c r="N90" s="190">
        <f t="shared" si="24"/>
        <v>50957</v>
      </c>
    </row>
    <row r="91" spans="1:14" hidden="1">
      <c r="A91" s="15">
        <v>45261</v>
      </c>
      <c r="B91" s="263">
        <v>3576</v>
      </c>
      <c r="C91" s="263"/>
      <c r="D91" s="263">
        <v>0</v>
      </c>
      <c r="E91" s="263"/>
      <c r="F91" s="62">
        <v>0</v>
      </c>
      <c r="G91" s="85">
        <f t="shared" si="23"/>
        <v>3576</v>
      </c>
      <c r="H91" s="62">
        <v>0</v>
      </c>
      <c r="I91" s="62">
        <v>31.67</v>
      </c>
      <c r="J91" s="62">
        <v>0</v>
      </c>
      <c r="K91" s="87">
        <f t="shared" si="21"/>
        <v>31.67</v>
      </c>
      <c r="L91" s="186">
        <f t="shared" si="22"/>
        <v>3607.67</v>
      </c>
      <c r="M91" s="89">
        <v>53337</v>
      </c>
      <c r="N91" s="190">
        <f t="shared" si="24"/>
        <v>49729.33</v>
      </c>
    </row>
    <row r="92" spans="1:14">
      <c r="A92" s="58">
        <v>2023</v>
      </c>
      <c r="B92" s="265">
        <f>SUM(B80:B91)</f>
        <v>49335.06</v>
      </c>
      <c r="C92" s="265"/>
      <c r="D92" s="265">
        <f>SUM(D80:D91)</f>
        <v>1404</v>
      </c>
      <c r="E92" s="265"/>
      <c r="F92" s="59">
        <f t="shared" ref="F92:K92" si="25">SUM(F80:F91)</f>
        <v>0</v>
      </c>
      <c r="G92" s="71">
        <f t="shared" si="25"/>
        <v>50739.06</v>
      </c>
      <c r="H92" s="64">
        <f t="shared" si="25"/>
        <v>8535.49</v>
      </c>
      <c r="I92" s="63">
        <f t="shared" si="25"/>
        <v>22565.909999999996</v>
      </c>
      <c r="J92" s="63">
        <f t="shared" si="25"/>
        <v>0</v>
      </c>
      <c r="K92" s="79">
        <f t="shared" si="25"/>
        <v>31101.399999999994</v>
      </c>
      <c r="L92" s="164">
        <f>K92+G92</f>
        <v>81840.459999999992</v>
      </c>
      <c r="M92" s="165">
        <f>SUM(M80:M91)</f>
        <v>640000</v>
      </c>
      <c r="N92" s="190">
        <f>M92-L92</f>
        <v>558159.54</v>
      </c>
    </row>
    <row r="93" spans="1:14">
      <c r="A93" s="15">
        <v>45292</v>
      </c>
      <c r="B93" s="304">
        <v>3024</v>
      </c>
      <c r="C93" s="304"/>
      <c r="D93" s="304">
        <v>0</v>
      </c>
      <c r="E93" s="304"/>
      <c r="F93" s="67">
        <v>0</v>
      </c>
      <c r="G93" s="85">
        <f>SUM(B93:F93)</f>
        <v>3024</v>
      </c>
      <c r="H93" s="67">
        <v>0</v>
      </c>
      <c r="I93" s="67">
        <v>1638.74</v>
      </c>
      <c r="J93" s="67">
        <v>0</v>
      </c>
      <c r="K93" s="87">
        <f t="shared" ref="K93:K104" si="26">SUM(H93:J93)</f>
        <v>1638.74</v>
      </c>
      <c r="L93" s="186">
        <f>K93+G93</f>
        <v>4662.74</v>
      </c>
      <c r="M93" s="89">
        <v>50000</v>
      </c>
      <c r="N93" s="89">
        <f>M93-L93</f>
        <v>45337.26</v>
      </c>
    </row>
    <row r="94" spans="1:14">
      <c r="A94" s="15">
        <v>45323</v>
      </c>
      <c r="B94" s="255">
        <v>3240</v>
      </c>
      <c r="C94" s="255"/>
      <c r="D94" s="255">
        <v>0</v>
      </c>
      <c r="E94" s="255"/>
      <c r="F94" s="67">
        <v>0</v>
      </c>
      <c r="G94" s="85">
        <f t="shared" ref="G94:G104" si="27">SUM(B94:F94)</f>
        <v>3240</v>
      </c>
      <c r="H94" s="67">
        <v>0</v>
      </c>
      <c r="I94" s="67">
        <v>0</v>
      </c>
      <c r="J94" s="67">
        <v>0</v>
      </c>
      <c r="K94" s="87">
        <f t="shared" si="26"/>
        <v>0</v>
      </c>
      <c r="L94" s="186">
        <f t="shared" ref="L94:L104" si="28">K94+G94</f>
        <v>3240</v>
      </c>
      <c r="M94" s="89">
        <v>50000</v>
      </c>
      <c r="N94" s="89">
        <f t="shared" ref="N94:N104" si="29">M94-L94</f>
        <v>46760</v>
      </c>
    </row>
    <row r="95" spans="1:14">
      <c r="A95" s="15">
        <v>45352</v>
      </c>
      <c r="B95" s="255">
        <v>912</v>
      </c>
      <c r="C95" s="255"/>
      <c r="D95" s="255">
        <v>0</v>
      </c>
      <c r="E95" s="255">
        <v>0</v>
      </c>
      <c r="F95" s="67">
        <v>0</v>
      </c>
      <c r="G95" s="85">
        <f t="shared" si="27"/>
        <v>912</v>
      </c>
      <c r="H95" s="67">
        <v>2500</v>
      </c>
      <c r="I95" s="67">
        <v>0</v>
      </c>
      <c r="J95" s="67">
        <v>0</v>
      </c>
      <c r="K95" s="87">
        <f t="shared" si="26"/>
        <v>2500</v>
      </c>
      <c r="L95" s="186">
        <f t="shared" si="28"/>
        <v>3412</v>
      </c>
      <c r="M95" s="89">
        <v>50000</v>
      </c>
      <c r="N95" s="89">
        <f t="shared" si="29"/>
        <v>46588</v>
      </c>
    </row>
    <row r="96" spans="1:14">
      <c r="A96" s="15">
        <v>45383</v>
      </c>
      <c r="B96" s="255">
        <v>176</v>
      </c>
      <c r="C96" s="255"/>
      <c r="D96" s="255">
        <v>0</v>
      </c>
      <c r="E96" s="255"/>
      <c r="F96" s="67">
        <v>0</v>
      </c>
      <c r="G96" s="85">
        <f t="shared" si="27"/>
        <v>176</v>
      </c>
      <c r="H96" s="67">
        <v>0</v>
      </c>
      <c r="I96" s="67">
        <v>0</v>
      </c>
      <c r="J96" s="67">
        <v>0</v>
      </c>
      <c r="K96" s="87">
        <f t="shared" si="26"/>
        <v>0</v>
      </c>
      <c r="L96" s="186">
        <f t="shared" si="28"/>
        <v>176</v>
      </c>
      <c r="M96" s="89">
        <v>50000</v>
      </c>
      <c r="N96" s="89">
        <f t="shared" si="29"/>
        <v>49824</v>
      </c>
    </row>
    <row r="97" spans="1:14">
      <c r="A97" s="15">
        <v>45413</v>
      </c>
      <c r="B97" s="255">
        <v>0</v>
      </c>
      <c r="C97" s="255"/>
      <c r="D97" s="255">
        <v>0</v>
      </c>
      <c r="E97" s="255"/>
      <c r="F97" s="67">
        <v>0</v>
      </c>
      <c r="G97" s="85">
        <f t="shared" si="27"/>
        <v>0</v>
      </c>
      <c r="H97" s="67">
        <v>0</v>
      </c>
      <c r="I97" s="67">
        <v>0</v>
      </c>
      <c r="J97" s="67">
        <v>0</v>
      </c>
      <c r="K97" s="87">
        <f t="shared" si="26"/>
        <v>0</v>
      </c>
      <c r="L97" s="186">
        <f t="shared" si="28"/>
        <v>0</v>
      </c>
      <c r="M97" s="89">
        <v>50000</v>
      </c>
      <c r="N97" s="89">
        <f t="shared" si="29"/>
        <v>50000</v>
      </c>
    </row>
    <row r="98" spans="1:14">
      <c r="A98" s="15">
        <v>45444</v>
      </c>
      <c r="B98" s="255">
        <v>0</v>
      </c>
      <c r="C98" s="255"/>
      <c r="D98" s="255">
        <v>0</v>
      </c>
      <c r="E98" s="255"/>
      <c r="F98" s="67">
        <v>0</v>
      </c>
      <c r="G98" s="85">
        <f t="shared" si="27"/>
        <v>0</v>
      </c>
      <c r="H98" s="67">
        <v>0</v>
      </c>
      <c r="I98" s="67">
        <v>0</v>
      </c>
      <c r="J98" s="67">
        <v>0</v>
      </c>
      <c r="K98" s="87">
        <f t="shared" si="26"/>
        <v>0</v>
      </c>
      <c r="L98" s="186">
        <f t="shared" si="28"/>
        <v>0</v>
      </c>
      <c r="M98" s="89">
        <v>50000</v>
      </c>
      <c r="N98" s="89">
        <f t="shared" si="29"/>
        <v>50000</v>
      </c>
    </row>
    <row r="99" spans="1:14">
      <c r="A99" s="15">
        <v>45474</v>
      </c>
      <c r="B99" s="255">
        <v>4428</v>
      </c>
      <c r="C99" s="255"/>
      <c r="D99" s="255">
        <v>0</v>
      </c>
      <c r="E99" s="255"/>
      <c r="F99" s="67">
        <v>0</v>
      </c>
      <c r="G99" s="85">
        <f t="shared" si="27"/>
        <v>4428</v>
      </c>
      <c r="H99" s="67">
        <v>0</v>
      </c>
      <c r="I99" s="67">
        <v>0</v>
      </c>
      <c r="J99" s="67">
        <v>0</v>
      </c>
      <c r="K99" s="87">
        <f t="shared" si="26"/>
        <v>0</v>
      </c>
      <c r="L99" s="186">
        <f t="shared" si="28"/>
        <v>4428</v>
      </c>
      <c r="M99" s="89">
        <v>50000</v>
      </c>
      <c r="N99" s="89">
        <f t="shared" si="29"/>
        <v>45572</v>
      </c>
    </row>
    <row r="100" spans="1:14">
      <c r="A100" s="15">
        <v>45505</v>
      </c>
      <c r="B100" s="255">
        <v>3888</v>
      </c>
      <c r="C100" s="255"/>
      <c r="D100" s="255">
        <v>1800</v>
      </c>
      <c r="E100" s="255"/>
      <c r="F100" s="67">
        <v>0</v>
      </c>
      <c r="G100" s="85">
        <f t="shared" si="27"/>
        <v>5688</v>
      </c>
      <c r="H100" s="67">
        <v>0</v>
      </c>
      <c r="I100" s="67">
        <v>8.39</v>
      </c>
      <c r="J100" s="67">
        <v>0</v>
      </c>
      <c r="K100" s="87">
        <f t="shared" si="26"/>
        <v>8.39</v>
      </c>
      <c r="L100" s="186">
        <f t="shared" si="28"/>
        <v>5696.39</v>
      </c>
      <c r="M100" s="89">
        <v>50000</v>
      </c>
      <c r="N100" s="89">
        <f t="shared" si="29"/>
        <v>44303.61</v>
      </c>
    </row>
    <row r="101" spans="1:14">
      <c r="A101" s="15">
        <v>45536</v>
      </c>
      <c r="B101" s="255">
        <v>4104</v>
      </c>
      <c r="C101" s="255"/>
      <c r="D101" s="255">
        <v>0</v>
      </c>
      <c r="E101" s="255"/>
      <c r="F101" s="67">
        <v>0</v>
      </c>
      <c r="G101" s="85">
        <f t="shared" si="27"/>
        <v>4104</v>
      </c>
      <c r="H101" s="67">
        <v>0</v>
      </c>
      <c r="I101" s="67">
        <v>0</v>
      </c>
      <c r="J101" s="67">
        <v>0</v>
      </c>
      <c r="K101" s="87">
        <f t="shared" si="26"/>
        <v>0</v>
      </c>
      <c r="L101" s="186">
        <f t="shared" si="28"/>
        <v>4104</v>
      </c>
      <c r="M101" s="89">
        <v>50000</v>
      </c>
      <c r="N101" s="89">
        <f t="shared" si="29"/>
        <v>45896</v>
      </c>
    </row>
    <row r="102" spans="1:14">
      <c r="A102" s="15">
        <v>45566</v>
      </c>
      <c r="B102" s="255">
        <v>3024</v>
      </c>
      <c r="C102" s="255"/>
      <c r="D102" s="255">
        <v>0</v>
      </c>
      <c r="E102" s="255"/>
      <c r="F102" s="67">
        <v>0</v>
      </c>
      <c r="G102" s="85">
        <f t="shared" si="27"/>
        <v>3024</v>
      </c>
      <c r="H102" s="67">
        <v>0</v>
      </c>
      <c r="I102" s="67">
        <v>0</v>
      </c>
      <c r="J102" s="67">
        <v>0</v>
      </c>
      <c r="K102" s="87">
        <f t="shared" si="26"/>
        <v>0</v>
      </c>
      <c r="L102" s="186">
        <f t="shared" si="28"/>
        <v>3024</v>
      </c>
      <c r="M102" s="89">
        <v>50000</v>
      </c>
      <c r="N102" s="89">
        <f t="shared" si="29"/>
        <v>46976</v>
      </c>
    </row>
    <row r="103" spans="1:14">
      <c r="A103" s="15">
        <v>45597</v>
      </c>
      <c r="B103" s="255">
        <v>3672</v>
      </c>
      <c r="C103" s="255"/>
      <c r="D103" s="255">
        <v>0</v>
      </c>
      <c r="E103" s="255"/>
      <c r="F103" s="67">
        <v>0</v>
      </c>
      <c r="G103" s="85">
        <f t="shared" si="27"/>
        <v>3672</v>
      </c>
      <c r="H103" s="67">
        <v>0</v>
      </c>
      <c r="I103" s="67">
        <v>0</v>
      </c>
      <c r="J103" s="67">
        <v>0</v>
      </c>
      <c r="K103" s="87">
        <f t="shared" si="26"/>
        <v>0</v>
      </c>
      <c r="L103" s="186">
        <f t="shared" si="28"/>
        <v>3672</v>
      </c>
      <c r="M103" s="89">
        <v>50000</v>
      </c>
      <c r="N103" s="89">
        <f t="shared" si="29"/>
        <v>46328</v>
      </c>
    </row>
    <row r="104" spans="1:14">
      <c r="A104" s="15">
        <v>45627</v>
      </c>
      <c r="B104" s="255">
        <v>3456</v>
      </c>
      <c r="C104" s="255"/>
      <c r="D104" s="255">
        <v>400</v>
      </c>
      <c r="E104" s="255"/>
      <c r="F104" s="67">
        <v>0</v>
      </c>
      <c r="G104" s="85">
        <f t="shared" si="27"/>
        <v>3856</v>
      </c>
      <c r="H104" s="67">
        <v>0</v>
      </c>
      <c r="I104" s="67">
        <v>0</v>
      </c>
      <c r="J104" s="67">
        <v>0</v>
      </c>
      <c r="K104" s="87">
        <f t="shared" si="26"/>
        <v>0</v>
      </c>
      <c r="L104" s="186">
        <f t="shared" si="28"/>
        <v>3856</v>
      </c>
      <c r="M104" s="89">
        <v>50000</v>
      </c>
      <c r="N104" s="89">
        <f t="shared" si="29"/>
        <v>46144</v>
      </c>
    </row>
    <row r="105" spans="1:14">
      <c r="A105" s="58">
        <v>2024</v>
      </c>
      <c r="B105" s="265">
        <f>SUM(B93:B104)</f>
        <v>29924</v>
      </c>
      <c r="C105" s="265"/>
      <c r="D105" s="265">
        <f>SUM(D93:D104)</f>
        <v>2200</v>
      </c>
      <c r="E105" s="265"/>
      <c r="F105" s="230">
        <f>SUM(F93:F104)</f>
        <v>0</v>
      </c>
      <c r="G105" s="231">
        <f>SUM(G93:G104)</f>
        <v>32124</v>
      </c>
      <c r="H105" s="64">
        <f>SUM(H93:H104)</f>
        <v>2500</v>
      </c>
      <c r="I105" s="64">
        <f>SUM(I93:I104)</f>
        <v>1647.13</v>
      </c>
      <c r="J105" s="64">
        <f>SUM(J93:J104)</f>
        <v>0</v>
      </c>
      <c r="K105" s="79">
        <f t="shared" ref="K105" si="30">SUM(K93:K104)</f>
        <v>4147.13</v>
      </c>
      <c r="L105" s="164">
        <f>K105+G105</f>
        <v>36271.129999999997</v>
      </c>
      <c r="M105" s="165">
        <f>SUM(M93:M104)</f>
        <v>600000</v>
      </c>
      <c r="N105" s="165">
        <f t="shared" ref="N105" si="31">M105-L105</f>
        <v>563728.87</v>
      </c>
    </row>
    <row r="106" spans="1:14">
      <c r="B106" s="54"/>
      <c r="F106" s="54"/>
      <c r="G106" s="84"/>
      <c r="H106" s="54"/>
      <c r="I106" s="54"/>
      <c r="J106" s="54"/>
      <c r="K106" s="86"/>
      <c r="L106" s="82"/>
      <c r="M106" s="88"/>
      <c r="N106" s="88"/>
    </row>
    <row r="107" spans="1:14">
      <c r="A107" s="66" t="s">
        <v>25</v>
      </c>
      <c r="B107" s="298">
        <f>B24+B25+B26+B27+B40+B53+B66+B79+B92+B105</f>
        <v>566806.43000000017</v>
      </c>
      <c r="C107" s="298"/>
      <c r="D107" s="298">
        <f>D24+D25+D26+D27+D40+D53+D66+D79+D92+D105</f>
        <v>69075.42</v>
      </c>
      <c r="E107" s="298"/>
      <c r="F107" s="229">
        <f>F24+F25+F26+F27+F40+F53+F66+F79+F92</f>
        <v>1057450.46</v>
      </c>
      <c r="G107" s="229">
        <f>G24+G25+G26+G27+G40+G53+G66+G79+G92+G105</f>
        <v>1693332.3099999998</v>
      </c>
      <c r="H107" s="89">
        <f>H26+H25+H24+H27+H40+H53+H66+H79+H92+H105</f>
        <v>238547.99</v>
      </c>
      <c r="I107" s="89">
        <f>I26+I25+I24+I27+I40+I53+I66+I79+I92+I105</f>
        <v>87513.700000000012</v>
      </c>
      <c r="J107" s="89">
        <f>J26+J25+J24+J27+J40+J53+J66+J79+J92+J105</f>
        <v>390270</v>
      </c>
      <c r="K107" s="89">
        <f>K26+K25+K24+K27+K40+K53+K66+K79+K92+K105</f>
        <v>716331.68999999983</v>
      </c>
      <c r="L107" s="83">
        <f>L24+L25+L26+L27+L40+L53+L66+L79+L92+L105</f>
        <v>2409664</v>
      </c>
      <c r="M107" s="89">
        <f>M26+M25+M24+M27+M40+M53+M66+M79+M92+M105</f>
        <v>6065952</v>
      </c>
      <c r="N107" s="89">
        <f>N26+N25+N24+N27+N40+N53+N66+N79+N92+N105</f>
        <v>3656288</v>
      </c>
    </row>
    <row r="108" spans="1:14">
      <c r="M108" s="46" t="s">
        <v>50</v>
      </c>
      <c r="N108" s="89">
        <f>N107-B111-B112-B113-B114-B115-B116-B117-B118-B119-B120+B122+B123+B124+B125+B126+B127+B128+B129</f>
        <v>3110466.18</v>
      </c>
    </row>
    <row r="109" spans="1:14">
      <c r="M109" s="46"/>
      <c r="N109" s="89"/>
    </row>
    <row r="110" spans="1:14" ht="15" customHeight="1">
      <c r="A110" s="259" t="s">
        <v>28</v>
      </c>
      <c r="B110" s="260"/>
      <c r="D110" s="291" t="s">
        <v>40</v>
      </c>
      <c r="E110" s="292"/>
      <c r="F110" s="292"/>
      <c r="G110" s="292"/>
      <c r="H110" s="161"/>
    </row>
    <row r="111" spans="1:14" ht="15" customHeight="1">
      <c r="A111" s="97">
        <v>2015</v>
      </c>
      <c r="B111" s="65">
        <v>40.200000000000003</v>
      </c>
      <c r="D111" s="118"/>
      <c r="E111" s="119"/>
      <c r="F111" s="119"/>
      <c r="G111" s="119"/>
      <c r="H111" s="119"/>
      <c r="I111" s="119"/>
      <c r="J111" s="119"/>
      <c r="K111" s="119"/>
      <c r="L111" s="119"/>
      <c r="M111" s="120"/>
    </row>
    <row r="112" spans="1:14" ht="15" customHeight="1">
      <c r="A112" s="109">
        <v>2016</v>
      </c>
      <c r="B112" s="61">
        <v>32832.730000000003</v>
      </c>
      <c r="C112" s="109"/>
      <c r="D112" s="42"/>
      <c r="E112" s="106">
        <v>2017</v>
      </c>
      <c r="F112" s="106">
        <v>2018</v>
      </c>
      <c r="G112" s="106">
        <v>2019</v>
      </c>
      <c r="H112" s="106">
        <v>2020</v>
      </c>
      <c r="I112" s="106">
        <v>2021</v>
      </c>
      <c r="J112" s="106">
        <v>2022</v>
      </c>
      <c r="K112" s="106">
        <v>2023</v>
      </c>
      <c r="L112" s="106">
        <v>2024</v>
      </c>
      <c r="M112" s="124" t="s">
        <v>48</v>
      </c>
    </row>
    <row r="113" spans="1:13" ht="15" customHeight="1">
      <c r="A113" s="109">
        <v>2017</v>
      </c>
      <c r="B113" s="61">
        <v>58533.86</v>
      </c>
      <c r="D113" s="15" t="s">
        <v>83</v>
      </c>
      <c r="E113" s="117">
        <v>71641.881599999993</v>
      </c>
      <c r="F113" s="117">
        <v>133647.984</v>
      </c>
      <c r="G113" s="117">
        <v>117227.62239999999</v>
      </c>
      <c r="H113" s="117">
        <v>117804.99</v>
      </c>
      <c r="I113" s="117">
        <v>125175.2</v>
      </c>
      <c r="J113" s="117">
        <v>148120.29999999999</v>
      </c>
      <c r="K113" s="117">
        <v>74892.990000000005</v>
      </c>
      <c r="L113" s="117">
        <v>83795.17</v>
      </c>
      <c r="M113" s="125">
        <f>SUM(E113:L113)</f>
        <v>872306.13799999992</v>
      </c>
    </row>
    <row r="114" spans="1:13" ht="15" customHeight="1">
      <c r="A114" s="109">
        <v>2018</v>
      </c>
      <c r="B114" s="61">
        <v>66021.39</v>
      </c>
      <c r="D114" s="15" t="s">
        <v>84</v>
      </c>
      <c r="E114" s="117">
        <v>103217.232</v>
      </c>
      <c r="F114" s="117">
        <v>160511.21</v>
      </c>
      <c r="G114" s="117">
        <v>142404.03520000001</v>
      </c>
      <c r="H114" s="117">
        <v>174952.23</v>
      </c>
      <c r="I114" s="117">
        <v>130138.23999999999</v>
      </c>
      <c r="J114" s="117">
        <v>168732.04</v>
      </c>
      <c r="K114" s="117">
        <v>143704.61000000002</v>
      </c>
      <c r="L114" s="117">
        <v>124536.86</v>
      </c>
      <c r="M114" s="125">
        <f>SUM(E114:L114)</f>
        <v>1148196.4572000001</v>
      </c>
    </row>
    <row r="115" spans="1:13" ht="15" customHeight="1">
      <c r="A115" s="109">
        <v>2019</v>
      </c>
      <c r="B115" s="61">
        <v>72631.259999999995</v>
      </c>
      <c r="D115" s="15" t="s">
        <v>85</v>
      </c>
      <c r="E115" s="117">
        <v>184422.94560000001</v>
      </c>
      <c r="F115" s="117">
        <v>218879.92480000001</v>
      </c>
      <c r="G115" s="117">
        <v>186812.32</v>
      </c>
      <c r="H115" s="117">
        <v>210776.78999999998</v>
      </c>
      <c r="I115" s="117">
        <v>182767.34</v>
      </c>
      <c r="J115" s="117">
        <v>220063.8</v>
      </c>
      <c r="K115" s="117">
        <v>167691.66</v>
      </c>
      <c r="L115" s="117">
        <v>164113.33000000002</v>
      </c>
      <c r="M115" s="125">
        <f t="shared" ref="M115:M124" si="32">SUM(E115:L115)</f>
        <v>1535528.1103999999</v>
      </c>
    </row>
    <row r="116" spans="1:13" ht="15" customHeight="1">
      <c r="A116" s="109">
        <v>2020</v>
      </c>
      <c r="B116" s="61">
        <v>75195.7</v>
      </c>
      <c r="D116" s="15" t="s">
        <v>86</v>
      </c>
      <c r="E116" s="117">
        <v>240114.48480000001</v>
      </c>
      <c r="F116" s="117">
        <v>245234.62239999999</v>
      </c>
      <c r="G116" s="117">
        <v>221598.6496</v>
      </c>
      <c r="H116" s="117">
        <v>264051.7</v>
      </c>
      <c r="I116" s="117">
        <v>267319.21000000002</v>
      </c>
      <c r="J116" s="117">
        <v>252828.52</v>
      </c>
      <c r="K116" s="117">
        <v>233406.39</v>
      </c>
      <c r="L116" s="117">
        <v>239936</v>
      </c>
      <c r="M116" s="125">
        <f t="shared" si="32"/>
        <v>1964489.5767999999</v>
      </c>
    </row>
    <row r="117" spans="1:13" ht="15" customHeight="1">
      <c r="A117" s="109">
        <v>2021</v>
      </c>
      <c r="B117" s="61">
        <v>62802.69</v>
      </c>
      <c r="D117" s="15" t="s">
        <v>87</v>
      </c>
      <c r="E117" s="117">
        <v>307594.83840000001</v>
      </c>
      <c r="F117" s="117">
        <v>289271.40639999998</v>
      </c>
      <c r="G117" s="117">
        <v>257961.05919999999</v>
      </c>
      <c r="H117" s="117">
        <v>297136.25</v>
      </c>
      <c r="I117" s="117">
        <v>311530.37</v>
      </c>
      <c r="J117" s="117">
        <v>285906.65000000002</v>
      </c>
      <c r="K117" s="117">
        <v>237003.84</v>
      </c>
      <c r="L117" s="117">
        <v>287721.08999999997</v>
      </c>
      <c r="M117" s="125">
        <f t="shared" si="32"/>
        <v>2274125.5040000002</v>
      </c>
    </row>
    <row r="118" spans="1:13" ht="15" customHeight="1">
      <c r="A118" s="109">
        <v>2022</v>
      </c>
      <c r="B118" s="61">
        <v>57756.150000000009</v>
      </c>
      <c r="D118" s="15" t="s">
        <v>88</v>
      </c>
      <c r="E118" s="117">
        <v>343369.848</v>
      </c>
      <c r="F118" s="117">
        <v>357936.80320000002</v>
      </c>
      <c r="G118" s="117">
        <v>299351.77119999996</v>
      </c>
      <c r="H118" s="117">
        <v>297781.21000000002</v>
      </c>
      <c r="I118" s="117">
        <v>316938.55999999994</v>
      </c>
      <c r="J118" s="117">
        <v>264668.87</v>
      </c>
      <c r="K118" s="117">
        <v>253740.69</v>
      </c>
      <c r="L118" s="117">
        <v>292015.75</v>
      </c>
      <c r="M118" s="125">
        <f t="shared" si="32"/>
        <v>2425803.5024000001</v>
      </c>
    </row>
    <row r="119" spans="1:13" ht="15" customHeight="1">
      <c r="A119" s="109">
        <v>2023</v>
      </c>
      <c r="B119" s="61">
        <v>77595.94</v>
      </c>
      <c r="D119" s="15" t="s">
        <v>89</v>
      </c>
      <c r="E119" s="117">
        <v>294802.82400000002</v>
      </c>
      <c r="F119" s="117">
        <v>296439.69280000002</v>
      </c>
      <c r="G119" s="117">
        <v>297071.33919999999</v>
      </c>
      <c r="H119" s="117">
        <v>315992.53000000003</v>
      </c>
      <c r="I119" s="117">
        <v>266058.59999999998</v>
      </c>
      <c r="J119" s="117">
        <v>261981.65</v>
      </c>
      <c r="K119" s="117">
        <v>270933.86</v>
      </c>
      <c r="L119" s="117">
        <v>286203.03000000003</v>
      </c>
      <c r="M119" s="125">
        <f t="shared" si="32"/>
        <v>2289483.5259999996</v>
      </c>
    </row>
    <row r="120" spans="1:13" ht="15" customHeight="1">
      <c r="A120" s="109">
        <v>2024</v>
      </c>
      <c r="B120" s="61">
        <v>92911.9</v>
      </c>
      <c r="D120" s="15" t="s">
        <v>90</v>
      </c>
      <c r="E120" s="117">
        <v>276616.23360000004</v>
      </c>
      <c r="F120" s="117">
        <v>274808.21919999999</v>
      </c>
      <c r="G120" s="117">
        <v>312297.64480000001</v>
      </c>
      <c r="H120" s="117">
        <v>305916.78999999998</v>
      </c>
      <c r="I120" s="117">
        <v>272449.84999999998</v>
      </c>
      <c r="J120" s="117">
        <v>237370.82</v>
      </c>
      <c r="K120" s="117">
        <v>208420.29</v>
      </c>
      <c r="L120" s="117">
        <v>232805.38</v>
      </c>
      <c r="M120" s="125">
        <f t="shared" si="32"/>
        <v>2120685.2276000003</v>
      </c>
    </row>
    <row r="121" spans="1:13" ht="15" customHeight="1" thickBot="1">
      <c r="A121" s="296" t="s">
        <v>29</v>
      </c>
      <c r="B121" s="297"/>
      <c r="D121" s="15" t="s">
        <v>91</v>
      </c>
      <c r="E121" s="117">
        <v>224961.41279999999</v>
      </c>
      <c r="F121" s="117">
        <v>278233.408</v>
      </c>
      <c r="G121" s="117">
        <v>258465.98560000001</v>
      </c>
      <c r="H121" s="117">
        <v>252311.87</v>
      </c>
      <c r="I121" s="117">
        <v>253404.39</v>
      </c>
      <c r="J121" s="117">
        <v>221895.80000000002</v>
      </c>
      <c r="K121" s="117">
        <v>192416.74</v>
      </c>
      <c r="L121" s="117">
        <v>195986.69999999998</v>
      </c>
      <c r="M121" s="125">
        <f t="shared" si="32"/>
        <v>1877676.3063999999</v>
      </c>
    </row>
    <row r="122" spans="1:13" ht="15" customHeight="1">
      <c r="A122" s="170">
        <v>2017</v>
      </c>
      <c r="B122" s="171">
        <v>16050</v>
      </c>
      <c r="D122" s="15" t="s">
        <v>92</v>
      </c>
      <c r="E122" s="117">
        <v>227837.5344</v>
      </c>
      <c r="F122" s="117">
        <v>179731.15359999999</v>
      </c>
      <c r="G122" s="117">
        <v>229214.89120000001</v>
      </c>
      <c r="H122" s="117">
        <v>165085.15</v>
      </c>
      <c r="I122" s="117">
        <v>165984.75</v>
      </c>
      <c r="J122" s="117">
        <v>181832.75</v>
      </c>
      <c r="K122" s="117">
        <v>170319.59</v>
      </c>
      <c r="L122" s="117">
        <v>156236.43000000002</v>
      </c>
      <c r="M122" s="125">
        <f t="shared" si="32"/>
        <v>1476242.2492</v>
      </c>
    </row>
    <row r="123" spans="1:13" ht="15" customHeight="1">
      <c r="A123" s="172">
        <v>2018</v>
      </c>
      <c r="B123" s="173">
        <v>17550</v>
      </c>
      <c r="D123" s="15" t="s">
        <v>93</v>
      </c>
      <c r="E123" s="117">
        <v>136140.03840000002</v>
      </c>
      <c r="F123" s="117">
        <v>146292.016</v>
      </c>
      <c r="G123" s="117">
        <v>134938.54694560001</v>
      </c>
      <c r="H123" s="117">
        <v>143566.1</v>
      </c>
      <c r="I123" s="117">
        <v>151161.73000000001</v>
      </c>
      <c r="J123" s="117">
        <v>109463.59</v>
      </c>
      <c r="K123" s="117">
        <v>104274.16</v>
      </c>
      <c r="L123" s="117">
        <v>125343.79000000001</v>
      </c>
      <c r="M123" s="125">
        <f t="shared" si="32"/>
        <v>1051179.9713456</v>
      </c>
    </row>
    <row r="124" spans="1:13" ht="15" customHeight="1">
      <c r="A124" s="172">
        <v>2019</v>
      </c>
      <c r="B124" s="173">
        <v>12300</v>
      </c>
      <c r="D124" s="15" t="s">
        <v>94</v>
      </c>
      <c r="E124" s="117">
        <v>129102.16799999999</v>
      </c>
      <c r="F124" s="117">
        <v>85459.71</v>
      </c>
      <c r="G124" s="117">
        <v>83674.489600000001</v>
      </c>
      <c r="H124" s="117">
        <v>93847.77</v>
      </c>
      <c r="I124" s="117">
        <v>109998.28</v>
      </c>
      <c r="J124" s="117">
        <v>77670.25</v>
      </c>
      <c r="K124" s="117">
        <v>94886.819999999992</v>
      </c>
      <c r="L124" s="117">
        <v>114623.78</v>
      </c>
      <c r="M124" s="125">
        <f t="shared" si="32"/>
        <v>789263.26760000002</v>
      </c>
    </row>
    <row r="125" spans="1:13" ht="15" customHeight="1">
      <c r="A125" s="172">
        <v>2020</v>
      </c>
      <c r="B125" s="173">
        <v>1900</v>
      </c>
      <c r="D125" s="42"/>
      <c r="M125" s="50"/>
    </row>
    <row r="126" spans="1:13" ht="15" customHeight="1">
      <c r="A126" s="172">
        <v>2021</v>
      </c>
      <c r="B126" s="173">
        <v>1050</v>
      </c>
      <c r="D126" s="107" t="s">
        <v>45</v>
      </c>
      <c r="E126" s="108">
        <f t="shared" ref="E126:M126" si="33">SUM(E113:E124)</f>
        <v>2539821.4416</v>
      </c>
      <c r="F126" s="108">
        <f t="shared" si="33"/>
        <v>2666446.1503999997</v>
      </c>
      <c r="G126" s="108">
        <f t="shared" si="33"/>
        <v>2541018.3549456</v>
      </c>
      <c r="H126" s="108">
        <f t="shared" si="33"/>
        <v>2639223.38</v>
      </c>
      <c r="I126" s="108">
        <f t="shared" si="33"/>
        <v>2552926.52</v>
      </c>
      <c r="J126" s="108">
        <f t="shared" si="33"/>
        <v>2430535.04</v>
      </c>
      <c r="K126" s="108">
        <f t="shared" si="33"/>
        <v>2151691.64</v>
      </c>
      <c r="L126" s="108">
        <f t="shared" si="33"/>
        <v>2303317.3099999996</v>
      </c>
      <c r="M126" s="126">
        <f t="shared" si="33"/>
        <v>19824979.836945597</v>
      </c>
    </row>
    <row r="127" spans="1:13">
      <c r="A127" s="172">
        <v>2022</v>
      </c>
      <c r="B127" s="173">
        <v>1450</v>
      </c>
    </row>
    <row r="128" spans="1:13">
      <c r="A128" s="172">
        <v>2023</v>
      </c>
      <c r="B128" s="173">
        <v>50</v>
      </c>
    </row>
    <row r="129" spans="1:2" ht="15.75" thickBot="1">
      <c r="A129" s="174">
        <v>2024</v>
      </c>
      <c r="B129" s="185">
        <v>150</v>
      </c>
    </row>
  </sheetData>
  <mergeCells count="182">
    <mergeCell ref="R6:S6"/>
    <mergeCell ref="A21:P21"/>
    <mergeCell ref="B22:G22"/>
    <mergeCell ref="H22:K22"/>
    <mergeCell ref="B23:C23"/>
    <mergeCell ref="D23:E23"/>
    <mergeCell ref="A1:P1"/>
    <mergeCell ref="A3:H3"/>
    <mergeCell ref="I3:L3"/>
    <mergeCell ref="M3:P3"/>
    <mergeCell ref="B4:C4"/>
    <mergeCell ref="D4:F4"/>
    <mergeCell ref="G4:H4"/>
    <mergeCell ref="B27:C27"/>
    <mergeCell ref="D27:E27"/>
    <mergeCell ref="B28:C28"/>
    <mergeCell ref="D28:E28"/>
    <mergeCell ref="B29:C29"/>
    <mergeCell ref="D29:E29"/>
    <mergeCell ref="B24:C24"/>
    <mergeCell ref="D24:E24"/>
    <mergeCell ref="B25:C25"/>
    <mergeCell ref="D25:E25"/>
    <mergeCell ref="B26:C26"/>
    <mergeCell ref="D26:E26"/>
    <mergeCell ref="B33:C33"/>
    <mergeCell ref="D33:E33"/>
    <mergeCell ref="B34:C34"/>
    <mergeCell ref="D34:E34"/>
    <mergeCell ref="B35:C35"/>
    <mergeCell ref="D35:E35"/>
    <mergeCell ref="B30:C30"/>
    <mergeCell ref="D30:E30"/>
    <mergeCell ref="B31:C31"/>
    <mergeCell ref="D31:E31"/>
    <mergeCell ref="B32:C32"/>
    <mergeCell ref="D32:E32"/>
    <mergeCell ref="B39:C39"/>
    <mergeCell ref="D39:E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 ref="B51:C51"/>
    <mergeCell ref="D51:E51"/>
    <mergeCell ref="B52:C52"/>
    <mergeCell ref="D52:E52"/>
    <mergeCell ref="B53:C53"/>
    <mergeCell ref="D53:E53"/>
    <mergeCell ref="B48:C48"/>
    <mergeCell ref="D48:E48"/>
    <mergeCell ref="B49:C49"/>
    <mergeCell ref="D49:E49"/>
    <mergeCell ref="B50:C50"/>
    <mergeCell ref="D50:E50"/>
    <mergeCell ref="B57:C57"/>
    <mergeCell ref="D57:E57"/>
    <mergeCell ref="B58:C58"/>
    <mergeCell ref="D58:E58"/>
    <mergeCell ref="B59:C59"/>
    <mergeCell ref="D59:E59"/>
    <mergeCell ref="B54:C54"/>
    <mergeCell ref="D54:E54"/>
    <mergeCell ref="B55:C55"/>
    <mergeCell ref="D55:E55"/>
    <mergeCell ref="B56:C56"/>
    <mergeCell ref="D56:E56"/>
    <mergeCell ref="B63:C63"/>
    <mergeCell ref="D63:E63"/>
    <mergeCell ref="B64:C64"/>
    <mergeCell ref="D64:E64"/>
    <mergeCell ref="B65:C65"/>
    <mergeCell ref="D65:E65"/>
    <mergeCell ref="B60:C60"/>
    <mergeCell ref="D60:E60"/>
    <mergeCell ref="B61:C61"/>
    <mergeCell ref="D61:E61"/>
    <mergeCell ref="B62:C62"/>
    <mergeCell ref="D62:E62"/>
    <mergeCell ref="B69:C69"/>
    <mergeCell ref="D69:E69"/>
    <mergeCell ref="B70:C70"/>
    <mergeCell ref="D70:E70"/>
    <mergeCell ref="B71:C71"/>
    <mergeCell ref="D71:E71"/>
    <mergeCell ref="B66:C66"/>
    <mergeCell ref="D66:E66"/>
    <mergeCell ref="B67:C67"/>
    <mergeCell ref="D67:E67"/>
    <mergeCell ref="B68:C68"/>
    <mergeCell ref="D68:E68"/>
    <mergeCell ref="B75:C75"/>
    <mergeCell ref="D75:E75"/>
    <mergeCell ref="B76:C76"/>
    <mergeCell ref="D76:E76"/>
    <mergeCell ref="B77:C77"/>
    <mergeCell ref="D77:E77"/>
    <mergeCell ref="B72:C72"/>
    <mergeCell ref="D72:E72"/>
    <mergeCell ref="B73:C73"/>
    <mergeCell ref="D73:E73"/>
    <mergeCell ref="B74:C74"/>
    <mergeCell ref="D74:E74"/>
    <mergeCell ref="B81:C81"/>
    <mergeCell ref="D81:E81"/>
    <mergeCell ref="B82:C82"/>
    <mergeCell ref="D82:E82"/>
    <mergeCell ref="B83:C83"/>
    <mergeCell ref="D83:E83"/>
    <mergeCell ref="B78:C78"/>
    <mergeCell ref="D78:E78"/>
    <mergeCell ref="B79:C79"/>
    <mergeCell ref="D79:E79"/>
    <mergeCell ref="B80:C80"/>
    <mergeCell ref="D80:E80"/>
    <mergeCell ref="B87:C87"/>
    <mergeCell ref="D87:E87"/>
    <mergeCell ref="B88:C88"/>
    <mergeCell ref="D88:E88"/>
    <mergeCell ref="B89:C89"/>
    <mergeCell ref="D89:E89"/>
    <mergeCell ref="B84:C84"/>
    <mergeCell ref="D84:E84"/>
    <mergeCell ref="B85:C85"/>
    <mergeCell ref="D85:E85"/>
    <mergeCell ref="B86:C86"/>
    <mergeCell ref="D86:E86"/>
    <mergeCell ref="B107:C107"/>
    <mergeCell ref="D107:E107"/>
    <mergeCell ref="A110:B110"/>
    <mergeCell ref="D110:G110"/>
    <mergeCell ref="A121:B121"/>
    <mergeCell ref="B105:C105"/>
    <mergeCell ref="D105:E105"/>
    <mergeCell ref="B90:C90"/>
    <mergeCell ref="D90:E90"/>
    <mergeCell ref="B91:C91"/>
    <mergeCell ref="D91:E91"/>
    <mergeCell ref="B92:C92"/>
    <mergeCell ref="D92:E92"/>
    <mergeCell ref="B93:C93"/>
    <mergeCell ref="D93:E93"/>
    <mergeCell ref="B94:C94"/>
    <mergeCell ref="D94:E94"/>
    <mergeCell ref="B95:C95"/>
    <mergeCell ref="B96:C96"/>
    <mergeCell ref="D95:E95"/>
    <mergeCell ref="D96:E96"/>
    <mergeCell ref="D97:E97"/>
    <mergeCell ref="D98:E98"/>
    <mergeCell ref="D99:E99"/>
    <mergeCell ref="D100:E100"/>
    <mergeCell ref="D101:E101"/>
    <mergeCell ref="D102:E102"/>
    <mergeCell ref="D103:E103"/>
    <mergeCell ref="D104:E104"/>
    <mergeCell ref="B97:C97"/>
    <mergeCell ref="B98:C98"/>
    <mergeCell ref="B99:C99"/>
    <mergeCell ref="B100:C100"/>
    <mergeCell ref="B101:C101"/>
    <mergeCell ref="B102:C102"/>
    <mergeCell ref="B103:C103"/>
    <mergeCell ref="B104:C104"/>
  </mergeCells>
  <conditionalFormatting sqref="N108:N109">
    <cfRule type="colorScale" priority="1">
      <colorScale>
        <cfvo type="min"/>
        <cfvo type="max"/>
        <color rgb="FFFCFCFF"/>
        <color rgb="FF63BE7B"/>
      </colorScale>
    </cfRule>
  </conditionalFormatting>
  <pageMargins left="0.7" right="0.7" top="0.75" bottom="0.75" header="0.3" footer="0.3"/>
  <pageSetup scale="48"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15f7ff5-c50d-4ad2-8a28-8be49b36b77c">
      <Terms xmlns="http://schemas.microsoft.com/office/infopath/2007/PartnerControls"/>
    </lcf76f155ced4ddcb4097134ff3c332f>
    <_ip_UnifiedCompliancePolicyProperties xmlns="http://schemas.microsoft.com/sharepoint/v3" xsi:nil="true"/>
    <TaxCatchAll xmlns="bae499ce-ad6a-4d28-8576-ba1b141d01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09C7CB39A274E98DA4FA7D2D05804" ma:contentTypeVersion="20" ma:contentTypeDescription="Create a new document." ma:contentTypeScope="" ma:versionID="c2837b69afe09023e3f402c5764f34ac">
  <xsd:schema xmlns:xsd="http://www.w3.org/2001/XMLSchema" xmlns:xs="http://www.w3.org/2001/XMLSchema" xmlns:p="http://schemas.microsoft.com/office/2006/metadata/properties" xmlns:ns1="http://schemas.microsoft.com/sharepoint/v3" xmlns:ns2="215f7ff5-c50d-4ad2-8a28-8be49b36b77c" xmlns:ns3="bae499ce-ad6a-4d28-8576-ba1b141d0181" targetNamespace="http://schemas.microsoft.com/office/2006/metadata/properties" ma:root="true" ma:fieldsID="39ff0c8afaa7d2d43e0fc4c4be896df3" ns1:_="" ns2:_="" ns3:_="">
    <xsd:import namespace="http://schemas.microsoft.com/sharepoint/v3"/>
    <xsd:import namespace="215f7ff5-c50d-4ad2-8a28-8be49b36b77c"/>
    <xsd:import namespace="bae499ce-ad6a-4d28-8576-ba1b141d018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Location"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5f7ff5-c50d-4ad2-8a28-8be49b36b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e499ce-ad6a-4d28-8576-ba1b141d01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0fe19c2-dafe-415c-b266-ebb00d23a412}" ma:internalName="TaxCatchAll" ma:showField="CatchAllData" ma:web="bae499ce-ad6a-4d28-8576-ba1b141d01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AC68C-57BE-45D0-928A-E79EBC2CD73F}">
  <ds:schemaRefs>
    <ds:schemaRef ds:uri="http://schemas.microsoft.com/sharepoint/v3/contenttype/forms"/>
  </ds:schemaRefs>
</ds:datastoreItem>
</file>

<file path=customXml/itemProps2.xml><?xml version="1.0" encoding="utf-8"?>
<ds:datastoreItem xmlns:ds="http://schemas.openxmlformats.org/officeDocument/2006/customXml" ds:itemID="{CDCFC921-B9BB-4DFE-9B78-7B4E206715A7}">
  <ds:schemaRefs>
    <ds:schemaRef ds:uri="http://schemas.microsoft.com/office/2006/metadata/properties"/>
    <ds:schemaRef ds:uri="http://schemas.microsoft.com/office/infopath/2007/PartnerControls"/>
    <ds:schemaRef ds:uri="http://schemas.microsoft.com/sharepoint/v3"/>
    <ds:schemaRef ds:uri="215f7ff5-c50d-4ad2-8a28-8be49b36b77c"/>
    <ds:schemaRef ds:uri="bae499ce-ad6a-4d28-8576-ba1b141d0181"/>
  </ds:schemaRefs>
</ds:datastoreItem>
</file>

<file path=customXml/itemProps3.xml><?xml version="1.0" encoding="utf-8"?>
<ds:datastoreItem xmlns:ds="http://schemas.openxmlformats.org/officeDocument/2006/customXml" ds:itemID="{42672E46-B17E-4E05-8D7F-9DCA51354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5f7ff5-c50d-4ad2-8a28-8be49b36b77c"/>
    <ds:schemaRef ds:uri="bae499ce-ad6a-4d28-8576-ba1b141d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Summary</vt:lpstr>
      <vt:lpstr>2017 Dashboard</vt:lpstr>
      <vt:lpstr>2018 Dashboard</vt:lpstr>
      <vt:lpstr>2019 Dashboard</vt:lpstr>
      <vt:lpstr>2020 Dashboard</vt:lpstr>
      <vt:lpstr>2021 Dashboard</vt:lpstr>
      <vt:lpstr>2022 Dashboard</vt:lpstr>
      <vt:lpstr>2023 Dashboard</vt:lpstr>
      <vt:lpstr>2024 Dashboard</vt:lpstr>
      <vt:lpstr>Solar Credits Donated</vt:lpstr>
      <vt:lpstr>'2022 Dashboard'!Print_Area</vt:lpstr>
      <vt:lpstr>'2023 Dashboard'!Print_Area</vt:lpstr>
      <vt:lpstr>'2024 Dashboard'!Print_Area</vt:lpstr>
      <vt:lpstr>Summary!Print_Area</vt:lpstr>
    </vt:vector>
  </TitlesOfParts>
  <Company>Pacificorp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Hoopiiaina, Keven</dc:creator>
  <cp:lastModifiedBy>Fred Nass</cp:lastModifiedBy>
  <cp:lastPrinted>2025-04-16T17:21:14Z</cp:lastPrinted>
  <dcterms:created xsi:type="dcterms:W3CDTF">2018-03-29T13:37:25Z</dcterms:created>
  <dcterms:modified xsi:type="dcterms:W3CDTF">2025-04-17T18:02:11Z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0x01010030009C7CB39A274E98DA4FA7D2D05804</vt:lpwstr>
  </property>
  <property fmtid="{D5CDD505-2E9C-101B-9397-08002B2CF9AE}" pid="3" name="MediaServiceImageTags">
    <vt:lpwstr/>
  </property>
</Properties>
</file>