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0AF08AF8-C185-4C22-A99F-5F8E07F362D3}" xr6:coauthVersionLast="47" xr6:coauthVersionMax="47" xr10:uidLastSave="{00000000-0000-0000-0000-000000000000}"/>
  <bookViews>
    <workbookView xWindow="1170" yWindow="1170" windowWidth="22560" windowHeight="19875" tabRatio="593" xr2:uid="{00000000-000D-0000-FFFF-FFFF00000000}"/>
  </bookViews>
  <sheets>
    <sheet name="Table of Contents" sheetId="15" r:id="rId1"/>
    <sheet name="Table G.1" sheetId="8" r:id="rId2"/>
    <sheet name="Table G.2" sheetId="12" r:id="rId3"/>
    <sheet name="Table G.3" sheetId="13" r:id="rId4"/>
    <sheet name="Table G.4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8" l="1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U9" i="8"/>
  <c r="U10" i="8"/>
  <c r="U11" i="8"/>
  <c r="U12" i="8"/>
  <c r="U13" i="8"/>
  <c r="U14" i="8"/>
  <c r="U15" i="8"/>
  <c r="U16" i="8"/>
  <c r="U17" i="8"/>
  <c r="U8" i="8"/>
  <c r="Q8" i="8" l="1"/>
  <c r="T8" i="8" s="1"/>
  <c r="D12" i="14"/>
  <c r="C12" i="14"/>
  <c r="B12" i="14"/>
  <c r="D23" i="13"/>
  <c r="C23" i="13"/>
  <c r="B23" i="13"/>
  <c r="D15" i="13"/>
  <c r="C15" i="13"/>
  <c r="B15" i="13"/>
  <c r="B21" i="12"/>
  <c r="D21" i="12"/>
  <c r="C21" i="12"/>
  <c r="D13" i="12"/>
  <c r="C13" i="12"/>
  <c r="B13" i="12"/>
  <c r="F18" i="8" l="1"/>
  <c r="H8" i="8" l="1"/>
  <c r="R8" i="8"/>
  <c r="H7" i="14"/>
  <c r="H18" i="13"/>
  <c r="G18" i="13" s="1"/>
  <c r="F18" i="13" s="1"/>
  <c r="E18" i="13" s="1"/>
  <c r="H8" i="13"/>
  <c r="H16" i="12"/>
  <c r="G16" i="12" s="1"/>
  <c r="F16" i="12" s="1"/>
  <c r="E16" i="12" s="1"/>
  <c r="H7" i="12"/>
  <c r="G7" i="12" s="1"/>
  <c r="Q17" i="8"/>
  <c r="T17" i="8" s="1"/>
  <c r="Q16" i="8"/>
  <c r="T16" i="8" s="1"/>
  <c r="Q15" i="8"/>
  <c r="T15" i="8" s="1"/>
  <c r="Q14" i="8"/>
  <c r="T14" i="8" s="1"/>
  <c r="Q13" i="8"/>
  <c r="T13" i="8" s="1"/>
  <c r="Q12" i="8"/>
  <c r="T12" i="8" s="1"/>
  <c r="Q11" i="8"/>
  <c r="T11" i="8" s="1"/>
  <c r="Q10" i="8"/>
  <c r="T10" i="8" s="1"/>
  <c r="Q9" i="8"/>
  <c r="T9" i="8" s="1"/>
  <c r="H17" i="8"/>
  <c r="H16" i="8"/>
  <c r="H15" i="8"/>
  <c r="H14" i="8"/>
  <c r="H13" i="8"/>
  <c r="H12" i="8"/>
  <c r="H11" i="8"/>
  <c r="H10" i="8"/>
  <c r="H9" i="8"/>
  <c r="H11" i="13" l="1"/>
  <c r="H12" i="13"/>
  <c r="H13" i="13"/>
  <c r="H14" i="13"/>
  <c r="H10" i="13"/>
  <c r="H9" i="13"/>
  <c r="G8" i="13"/>
  <c r="F7" i="12"/>
  <c r="G7" i="14"/>
  <c r="H10" i="14"/>
  <c r="H9" i="14"/>
  <c r="H11" i="14"/>
  <c r="H8" i="14"/>
  <c r="H20" i="13"/>
  <c r="H21" i="13"/>
  <c r="H19" i="13"/>
  <c r="H22" i="13"/>
  <c r="G22" i="13" l="1"/>
  <c r="G12" i="13"/>
  <c r="G13" i="13"/>
  <c r="G11" i="13"/>
  <c r="G14" i="13"/>
  <c r="G9" i="13"/>
  <c r="G10" i="13"/>
  <c r="G19" i="13"/>
  <c r="G20" i="13"/>
  <c r="G21" i="13"/>
  <c r="F8" i="13"/>
  <c r="G10" i="14"/>
  <c r="G11" i="14"/>
  <c r="F7" i="14"/>
  <c r="G8" i="14"/>
  <c r="G9" i="14"/>
  <c r="H12" i="14"/>
  <c r="E7" i="12"/>
  <c r="H23" i="13"/>
  <c r="F12" i="13" l="1"/>
  <c r="F13" i="13"/>
  <c r="F9" i="13"/>
  <c r="F14" i="13"/>
  <c r="F11" i="13"/>
  <c r="F10" i="13"/>
  <c r="G23" i="13"/>
  <c r="E8" i="13"/>
  <c r="E9" i="13" s="1"/>
  <c r="F21" i="13"/>
  <c r="F20" i="13"/>
  <c r="F19" i="13"/>
  <c r="F22" i="13"/>
  <c r="G12" i="14"/>
  <c r="F11" i="14"/>
  <c r="F10" i="14"/>
  <c r="E7" i="14"/>
  <c r="F8" i="14"/>
  <c r="F9" i="14"/>
  <c r="F23" i="13" l="1"/>
  <c r="E12" i="13"/>
  <c r="E14" i="13"/>
  <c r="E21" i="13"/>
  <c r="E10" i="13"/>
  <c r="E22" i="13"/>
  <c r="E19" i="13"/>
  <c r="E20" i="13"/>
  <c r="E11" i="13"/>
  <c r="E13" i="13"/>
  <c r="F12" i="14"/>
  <c r="E10" i="14"/>
  <c r="E8" i="14"/>
  <c r="E9" i="14"/>
  <c r="E11" i="14"/>
  <c r="E23" i="13" l="1"/>
  <c r="E12" i="14"/>
  <c r="M18" i="8"/>
  <c r="N18" i="8"/>
  <c r="O18" i="8"/>
  <c r="P18" i="8"/>
  <c r="D18" i="8" l="1"/>
  <c r="E18" i="8"/>
  <c r="G18" i="8"/>
  <c r="H18" i="8" s="1"/>
  <c r="H15" i="13" l="1"/>
  <c r="H13" i="12" l="1"/>
  <c r="H21" i="12"/>
  <c r="G15" i="13" l="1"/>
  <c r="F15" i="13"/>
  <c r="G21" i="12" l="1"/>
  <c r="F21" i="12"/>
  <c r="F13" i="12" l="1"/>
  <c r="G13" i="12"/>
  <c r="K8" i="8" l="1"/>
  <c r="E15" i="13" l="1"/>
  <c r="D16" i="13" l="1" a="1"/>
  <c r="D16" i="13" s="1"/>
  <c r="D24" i="13"/>
  <c r="K12" i="8"/>
  <c r="K16" i="8"/>
  <c r="K14" i="8"/>
  <c r="K10" i="8"/>
  <c r="R16" i="8"/>
  <c r="R10" i="8"/>
  <c r="R12" i="8"/>
  <c r="K11" i="8"/>
  <c r="R11" i="8"/>
  <c r="K17" i="8"/>
  <c r="R17" i="8"/>
  <c r="K9" i="8"/>
  <c r="K15" i="8"/>
  <c r="R15" i="8"/>
  <c r="R14" i="8"/>
  <c r="K13" i="8"/>
  <c r="R9" i="8"/>
  <c r="E13" i="12"/>
  <c r="E21" i="12"/>
  <c r="R13" i="8"/>
  <c r="D14" i="12" l="1" a="1"/>
  <c r="D14" i="12" s="1"/>
  <c r="D22" i="12" a="1"/>
  <c r="D22" i="12" s="1"/>
  <c r="D13" i="14"/>
  <c r="R18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1" savePassword="1" background="1" saveData="1">
    <dbPr connection="DSN=Visual FoxPro Tables;UID=;PWD=;SourceDB=c:\vfp\his;SourceType=DBF;Exclusive=No;BackgroundFetch=Yes;Collate=Machine;Null=Yes;Deleted=Yes;" command="SELECT comb_perf_yr.syr, comb_perf_yr.unitid, comb_perf_yr.nplt, comb_perf_yr.mdc, comb_perf_yr.af, comb_perf_yr.eaf, comb_perf_yr.oeaf, comb_perf_yr.cf, comb_perf_yr.ocf, comb_perf_yr.frcd, comb_perf_yr.efor, comb_perf_yr.pof, comb_perf_yr.sof, comb_perf_yr.sf, comb_perf_yr.sh, comb_perf_yr.hrs, comb_perf_yr.fd, comb_perf_yr.fo, comb_perf_yr.md, comb_perf_yr.mo, comb_perf_yr.n, comb_perf_yr.pd, comb_perf_yr.po, comb_perf_yr.r, comb_perf_yr.pohrs, comb_perf_yr.mohrs, comb_perf_yr.fohrs, comb_perf_yr.rshrs, comb_perf_yr.totpossmwh, comb_perf_yr.gross_gen, comb_perf_yr.net_gen, comb_perf_yr.attempts, comb_perf_yr.starts, comb_perf_yr.warm, comb_perf_yr.cold_x000d__x000a_FROM comb_perf_yr comb_perf_yr_x000d__x000a_WHERE (comb_perf_yr.syr&gt;=$2007)"/>
  </connection>
  <connection id="2" xr16:uid="{00000000-0015-0000-FFFF-FFFF01000000}" name="Connection1" type="1" refreshedVersion="1" savePassword="1" background="1" saveData="1">
    <dbPr connection="DSN=Visual FoxPro Tables;UID=;PWD=;SourceDB=c:\vfp\his;SourceType=DBF;Exclusive=No;BackgroundFetch=Yes;Collate=Machine;Null=Yes;Deleted=Yes;" command="SELECT comb_perf_yr.syr, comb_perf_yr.unitid, comb_perf_yr.nplt, comb_perf_yr.mdc, comb_perf_yr.af, comb_perf_yr.eaf, comb_perf_yr.oeaf, comb_perf_yr.cf, comb_perf_yr.ocf, comb_perf_yr.frcd, comb_perf_yr.efor, comb_perf_yr.pof, comb_perf_yr.sof, comb_perf_yr.sf, comb_perf_yr.sh, comb_perf_yr.hrs, comb_perf_yr.fd, comb_perf_yr.fo, comb_perf_yr.md, comb_perf_yr.mo, comb_perf_yr.n, comb_perf_yr.pd, comb_perf_yr.po, comb_perf_yr.r, comb_perf_yr.pohrs, comb_perf_yr.mohrs, comb_perf_yr.fohrs, comb_perf_yr.rshrs, comb_perf_yr.totpossmwh, comb_perf_yr.gross_gen, comb_perf_yr.net_gen, comb_perf_yr.attempts, comb_perf_yr.starts, comb_perf_yr.warm, comb_perf_yr.cold_x000d__x000a_FROM comb_perf_yr comb_perf_yr"/>
  </connection>
  <connection id="3" xr16:uid="{00000000-0015-0000-FFFF-FFFF02000000}" name="Connection2" type="1" refreshedVersion="1" savePassword="1" background="1" saveData="1">
    <dbPr connection="DSN=Visual FoxPro Tables;UID=;PWD=;SourceDB=c:\vfp\his;SourceType=DBF;Exclusive=No;BackgroundFetch=Yes;Collate=Machine;Null=Yes;Deleted=Yes;" command="SELECT comb_perf_yr.syr, comb_perf_yr.unitid, comb_perf_yr.nplt, comb_perf_yr.mdc, comb_perf_yr.af, comb_perf_yr.eaf, comb_perf_yr.oeaf, comb_perf_yr.cf, comb_perf_yr.ocf, comb_perf_yr.frcd, comb_perf_yr.efor, comb_perf_yr.pof, comb_perf_yr.sof, comb_perf_yr.sf, comb_perf_yr.sh, comb_perf_yr.hrs, comb_perf_yr.fd, comb_perf_yr.fo, comb_perf_yr.md, comb_perf_yr.mo, comb_perf_yr.n, comb_perf_yr.pd, comb_perf_yr.po, comb_perf_yr.r, comb_perf_yr.pohrs, comb_perf_yr.mohrs, comb_perf_yr.fohrs, comb_perf_yr.rshrs, comb_perf_yr.totpossmwh, comb_perf_yr.gross_gen, comb_perf_yr.net_gen, comb_perf_yr.attempts, comb_perf_yr.starts, comb_perf_yr.warm, comb_perf_yr.cold_x000d__x000a_FROM comb_perf_yr comb_perf_yr_x000d__x000a_WHERE (comb_perf_yr.syr&gt;=$2006)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<sst xmlns="http://schemas.openxmlformats.org/spreadsheetml/2006/main" count="105" uniqueCount="51">
  <si>
    <t>Chehalis</t>
  </si>
  <si>
    <t>Currant Creek</t>
  </si>
  <si>
    <t>Gadsby</t>
  </si>
  <si>
    <t>Huntington</t>
  </si>
  <si>
    <t>Hunter</t>
  </si>
  <si>
    <t>Jim Bridger</t>
  </si>
  <si>
    <t>Naughton</t>
  </si>
  <si>
    <t>Wyodak</t>
  </si>
  <si>
    <t>Plant Name</t>
  </si>
  <si>
    <t>Dave Johnston</t>
  </si>
  <si>
    <t>Air</t>
  </si>
  <si>
    <t>Cooling Media</t>
  </si>
  <si>
    <t>Yes</t>
  </si>
  <si>
    <t>Zero Discharge</t>
  </si>
  <si>
    <t>TOTAL</t>
  </si>
  <si>
    <t>PACIFICORP ENERGY THERMAL GENERATION</t>
  </si>
  <si>
    <t>Plants Owned and Operated by PacifiCorp</t>
  </si>
  <si>
    <t>Total water consumption and generation includes all owners for jointly-owned facilities</t>
  </si>
  <si>
    <t>Acre-Feet Per Year</t>
  </si>
  <si>
    <t>Generation Capacity (MW)</t>
  </si>
  <si>
    <t>Gals/ MWH</t>
  </si>
  <si>
    <t>GPM/ MW</t>
  </si>
  <si>
    <t>1 acre-foot of water is equivalent to:</t>
  </si>
  <si>
    <t>Gallons</t>
  </si>
  <si>
    <t>Cubic Feet</t>
  </si>
  <si>
    <t>WATER CONSUMPTION REPORT (acre-feet)</t>
  </si>
  <si>
    <t>NET WATER CONSUMPTION</t>
  </si>
  <si>
    <t>By State</t>
  </si>
  <si>
    <t>UTAH PLANTS</t>
  </si>
  <si>
    <t xml:space="preserve">Percent of total water consumption = </t>
  </si>
  <si>
    <t>WYOMING PLANTS</t>
  </si>
  <si>
    <t>NET WATER CONSUMPTION (acre-feet)</t>
  </si>
  <si>
    <t>By Fuel Type</t>
  </si>
  <si>
    <t>COAL FIRED PLANTS</t>
  </si>
  <si>
    <t>Plants Located in the Upper Colorado River Basin</t>
  </si>
  <si>
    <t>NATURAL GAS FIRED PLANTS</t>
  </si>
  <si>
    <t>* Beginning in 2014, net water consumed reflects "Raw Water Consumed" instead of "Raw Water Diversion"</t>
  </si>
  <si>
    <t>Acre-ft/MW</t>
  </si>
  <si>
    <t>4-year
Average</t>
  </si>
  <si>
    <t>4-year Average</t>
  </si>
  <si>
    <t>Water</t>
  </si>
  <si>
    <t>Base Year</t>
  </si>
  <si>
    <t>Net MWhs Per Year</t>
  </si>
  <si>
    <t>** Gadsby includes a mix of both Rankine steam units and Brayton peaking gas turbines</t>
  </si>
  <si>
    <t>Lakeside</t>
  </si>
  <si>
    <t>2023 Rate (Gallons/Net GWh)</t>
  </si>
  <si>
    <t>4 year avg (Gallons/Net GWh)</t>
  </si>
  <si>
    <t>Table G.1</t>
  </si>
  <si>
    <t>Table G.2</t>
  </si>
  <si>
    <t>Table G.3</t>
  </si>
  <si>
    <t>Table G.4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</si>
</sst>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0.0%"/>
    <numFmt numFmtId="168" formatCode="_(* #,##0.000_);_(* \(#,##0.000\);_(* &quot;-&quot;??_);_(@_)"/>
    <numFmt numFmtId="169" formatCode="#,##0.0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7" fillId="0" borderId="0" xfId="5" applyFont="1" applyFill="1" applyBorder="1"/>
    <xf numFmtId="3" fontId="4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 indent="1"/>
    </xf>
    <xf numFmtId="168" fontId="6" fillId="0" borderId="0" xfId="0" applyNumberFormat="1" applyFont="1"/>
    <xf numFmtId="169" fontId="6" fillId="0" borderId="0" xfId="0" applyNumberFormat="1" applyFont="1"/>
    <xf numFmtId="165" fontId="6" fillId="0" borderId="0" xfId="2" applyNumberFormat="1" applyFont="1" applyFill="1" applyBorder="1"/>
    <xf numFmtId="43" fontId="6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 indent="1"/>
    </xf>
    <xf numFmtId="37" fontId="3" fillId="0" borderId="0" xfId="0" applyNumberFormat="1" applyFont="1"/>
    <xf numFmtId="164" fontId="3" fillId="0" borderId="0" xfId="0" applyNumberFormat="1" applyFont="1" applyAlignment="1">
      <alignment horizontal="right" indent="1"/>
    </xf>
    <xf numFmtId="165" fontId="4" fillId="0" borderId="0" xfId="1" applyNumberFormat="1" applyFont="1" applyFill="1" applyBorder="1"/>
    <xf numFmtId="3" fontId="4" fillId="0" borderId="0" xfId="0" applyNumberFormat="1" applyFont="1" applyAlignment="1">
      <alignment horizontal="center"/>
    </xf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3" fontId="4" fillId="0" borderId="0" xfId="3" applyNumberFormat="1" applyFont="1" applyAlignment="1">
      <alignment horizontal="right" indent="1"/>
    </xf>
    <xf numFmtId="165" fontId="4" fillId="0" borderId="0" xfId="3" applyNumberFormat="1" applyFont="1" applyAlignment="1">
      <alignment horizontal="right" indent="1"/>
    </xf>
    <xf numFmtId="3" fontId="3" fillId="0" borderId="0" xfId="3" applyNumberFormat="1" applyFont="1" applyAlignment="1">
      <alignment horizontal="right"/>
    </xf>
    <xf numFmtId="165" fontId="3" fillId="0" borderId="0" xfId="3" applyNumberFormat="1" applyFont="1" applyAlignment="1">
      <alignment horizontal="center"/>
    </xf>
    <xf numFmtId="3" fontId="4" fillId="0" borderId="0" xfId="3" applyNumberFormat="1" applyFont="1"/>
    <xf numFmtId="0" fontId="4" fillId="0" borderId="0" xfId="3" applyFont="1" applyAlignment="1">
      <alignment horizontal="right"/>
    </xf>
    <xf numFmtId="167" fontId="4" fillId="0" borderId="0" xfId="2" applyNumberFormat="1" applyFont="1" applyFill="1" applyBorder="1"/>
    <xf numFmtId="0" fontId="4" fillId="0" borderId="0" xfId="4" applyNumberFormat="1" applyFont="1" applyFill="1" applyBorder="1" applyAlignment="1">
      <alignment horizontal="center"/>
    </xf>
    <xf numFmtId="167" fontId="4" fillId="0" borderId="0" xfId="4" applyNumberFormat="1" applyFont="1" applyFill="1" applyBorder="1" applyAlignment="1">
      <alignment horizontal="center"/>
    </xf>
    <xf numFmtId="167" fontId="4" fillId="0" borderId="0" xfId="3" applyNumberFormat="1" applyFont="1"/>
    <xf numFmtId="3" fontId="3" fillId="0" borderId="0" xfId="3" applyNumberFormat="1" applyFont="1" applyAlignment="1">
      <alignment horizontal="right" indent="1"/>
    </xf>
    <xf numFmtId="3" fontId="3" fillId="0" borderId="0" xfId="3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3" applyFont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2D02-39BE-43D4-818B-BB091E060566}">
  <sheetPr codeName="Sheet1"/>
  <dimension ref="A1:A4"/>
  <sheetViews>
    <sheetView tabSelected="1" zoomScaleNormal="100" workbookViewId="0"/>
  </sheetViews>
  <sheetFormatPr defaultRowHeight="12.75" x14ac:dyDescent="0.2"/>
  <cols>
    <col min="1" max="16384" width="9.140625" style="1"/>
  </cols>
  <sheetData>
    <row r="1" spans="1:1" x14ac:dyDescent="0.2">
      <c r="A1" s="2" t="s">
        <v>47</v>
      </c>
    </row>
    <row r="2" spans="1:1" x14ac:dyDescent="0.2">
      <c r="A2" s="2" t="s">
        <v>48</v>
      </c>
    </row>
    <row r="3" spans="1:1" x14ac:dyDescent="0.2">
      <c r="A3" s="2" t="s">
        <v>49</v>
      </c>
    </row>
    <row r="4" spans="1:1" x14ac:dyDescent="0.2">
      <c r="A4" s="2" t="s">
        <v>50</v>
      </c>
    </row>
  </sheetData>
  <hyperlinks>
    <hyperlink ref="A1" location="'Table G.1'!A1" display="Table G.1" xr:uid="{B8EFA93A-6A4F-4877-8B4D-D6CECAE5A74C}"/>
    <hyperlink ref="A2" location="'Table G.2'!A1" display="Table G.2" xr:uid="{722BEC15-24CE-4317-89C4-3F9774917DBA}"/>
    <hyperlink ref="A3" location="'Table G.3'!A1" display="Table G.3" xr:uid="{7E3B08AE-CB9E-44D2-824F-817326641FD2}"/>
    <hyperlink ref="A4" location="'Table G.4'!A1" display="Table G.4" xr:uid="{DB8F093C-C624-459C-A1AE-04237A324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27"/>
  <sheetViews>
    <sheetView zoomScaleNormal="100" workbookViewId="0">
      <selection activeCell="T22" sqref="T22"/>
    </sheetView>
  </sheetViews>
  <sheetFormatPr defaultRowHeight="12.75" x14ac:dyDescent="0.2"/>
  <cols>
    <col min="1" max="1" width="18.7109375" style="1" customWidth="1"/>
    <col min="2" max="2" width="11.7109375" style="1" customWidth="1"/>
    <col min="3" max="3" width="9.5703125" style="1" customWidth="1"/>
    <col min="4" max="8" width="10.7109375" style="1" customWidth="1"/>
    <col min="9" max="9" width="1.7109375" style="1" customWidth="1"/>
    <col min="10" max="10" width="17" style="1" customWidth="1"/>
    <col min="11" max="11" width="7.85546875" style="1" customWidth="1"/>
    <col min="12" max="12" width="9.140625" style="1" customWidth="1"/>
    <col min="13" max="16" width="13.7109375" style="1" customWidth="1"/>
    <col min="17" max="18" width="9.140625" style="1" customWidth="1"/>
    <col min="19" max="19" width="10.5703125" style="1" bestFit="1" customWidth="1"/>
    <col min="20" max="21" width="26.28515625" style="1" bestFit="1" customWidth="1"/>
    <col min="22" max="22" width="16.28515625" style="1" bestFit="1" customWidth="1"/>
    <col min="23" max="23" width="14.28515625" style="1" bestFit="1" customWidth="1"/>
    <col min="24" max="16384" width="9.140625" style="1"/>
  </cols>
  <sheetData>
    <row r="1" spans="1:23" ht="15.75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23" ht="15.75" x14ac:dyDescent="0.25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23" ht="15.75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23" ht="15.75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3" ht="15.75" x14ac:dyDescent="0.25">
      <c r="A5" s="10" t="s">
        <v>41</v>
      </c>
      <c r="B5" s="10">
        <v>2023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3" ht="15.75" x14ac:dyDescent="0.25">
      <c r="A6" s="10"/>
      <c r="B6" s="10"/>
      <c r="C6" s="10"/>
      <c r="D6" s="40" t="s">
        <v>18</v>
      </c>
      <c r="E6" s="40"/>
      <c r="F6" s="40"/>
      <c r="G6" s="40"/>
      <c r="H6" s="39"/>
      <c r="I6" s="10"/>
      <c r="J6" s="10"/>
      <c r="K6" s="10"/>
      <c r="L6" s="10"/>
      <c r="M6" s="40" t="s">
        <v>42</v>
      </c>
      <c r="N6" s="40"/>
      <c r="O6" s="40"/>
      <c r="P6" s="40"/>
      <c r="Q6" s="10" t="s">
        <v>39</v>
      </c>
      <c r="R6" s="10"/>
    </row>
    <row r="7" spans="1:23" ht="33" customHeight="1" x14ac:dyDescent="0.25">
      <c r="A7" s="4" t="s">
        <v>8</v>
      </c>
      <c r="B7" s="11" t="s">
        <v>13</v>
      </c>
      <c r="C7" s="11" t="s">
        <v>11</v>
      </c>
      <c r="D7" s="4">
        <v>2020</v>
      </c>
      <c r="E7" s="4">
        <v>2021</v>
      </c>
      <c r="F7" s="4">
        <v>2022</v>
      </c>
      <c r="G7" s="4">
        <v>2023</v>
      </c>
      <c r="H7" s="11" t="s">
        <v>38</v>
      </c>
      <c r="I7" s="10"/>
      <c r="J7" s="11" t="s">
        <v>19</v>
      </c>
      <c r="K7" s="11" t="s">
        <v>37</v>
      </c>
      <c r="L7" s="10"/>
      <c r="M7" s="4">
        <v>2020</v>
      </c>
      <c r="N7" s="4">
        <v>2021</v>
      </c>
      <c r="O7" s="4">
        <v>2022</v>
      </c>
      <c r="P7" s="4">
        <v>2023</v>
      </c>
      <c r="Q7" s="11" t="s">
        <v>20</v>
      </c>
      <c r="R7" s="11" t="s">
        <v>21</v>
      </c>
      <c r="T7" s="1" t="s">
        <v>46</v>
      </c>
      <c r="U7" s="1" t="s">
        <v>45</v>
      </c>
    </row>
    <row r="8" spans="1:23" ht="15.75" x14ac:dyDescent="0.25">
      <c r="A8" s="12" t="s">
        <v>0</v>
      </c>
      <c r="B8" s="13"/>
      <c r="C8" s="13" t="s">
        <v>10</v>
      </c>
      <c r="D8" s="3">
        <v>66</v>
      </c>
      <c r="E8" s="3">
        <v>71</v>
      </c>
      <c r="F8" s="3">
        <v>47</v>
      </c>
      <c r="G8" s="3">
        <v>44.669629063590413</v>
      </c>
      <c r="H8" s="3">
        <f t="shared" ref="H8:H18" si="0">AVERAGEIFS(D8:G8,$D$7:$G$7,"&lt;="&amp;$B$5,$D$7:$G$7,"&gt;="&amp;$B$5-3)</f>
        <v>57.167407265897602</v>
      </c>
      <c r="I8" s="10"/>
      <c r="J8" s="13">
        <v>477</v>
      </c>
      <c r="K8" s="14">
        <f t="shared" ref="K8:K17" si="1">H8/J8</f>
        <v>0.1198478139746281</v>
      </c>
      <c r="L8" s="10"/>
      <c r="M8" s="3">
        <v>2407519</v>
      </c>
      <c r="N8" s="3">
        <v>2248237</v>
      </c>
      <c r="O8" s="3">
        <v>2172465</v>
      </c>
      <c r="P8" s="3">
        <v>2239346</v>
      </c>
      <c r="Q8" s="15">
        <f t="shared" ref="Q8:Q17" si="2">(SUMIFS(D8:G8,$D$7:$G$7,"&lt;="&amp;$B$5,$D$7:$G$7,"&gt;="&amp;$B$5-3))*$B$21/(SUMIFS(M8:P8,$M$7:$P$7,"&lt;="&amp;$B$5,$M$7:$P$7,"&gt;="&amp;$B$5-3))</f>
        <v>8.2174443596611972</v>
      </c>
      <c r="R8" s="16">
        <f>+Q8/60</f>
        <v>0.1369574059943533</v>
      </c>
      <c r="T8" s="6">
        <f>Q8*1000</f>
        <v>8217.4443596611964</v>
      </c>
      <c r="U8" s="7">
        <f t="shared" ref="U8:U17" si="3">(G8*$B$21)/(P8/1000)</f>
        <v>6499.9527987189113</v>
      </c>
      <c r="V8" s="8"/>
      <c r="W8" s="8"/>
    </row>
    <row r="9" spans="1:23" ht="15.75" x14ac:dyDescent="0.25">
      <c r="A9" s="12" t="s">
        <v>1</v>
      </c>
      <c r="B9" s="17" t="s">
        <v>12</v>
      </c>
      <c r="C9" s="13" t="s">
        <v>10</v>
      </c>
      <c r="D9" s="3">
        <v>95</v>
      </c>
      <c r="E9" s="3">
        <v>113</v>
      </c>
      <c r="F9" s="3">
        <v>85</v>
      </c>
      <c r="G9" s="3">
        <v>132.60037511009634</v>
      </c>
      <c r="H9" s="3">
        <f t="shared" si="0"/>
        <v>106.40009377752409</v>
      </c>
      <c r="I9" s="10"/>
      <c r="J9" s="13">
        <v>524.20000000000005</v>
      </c>
      <c r="K9" s="14">
        <f t="shared" si="1"/>
        <v>0.20297614226921801</v>
      </c>
      <c r="L9" s="10"/>
      <c r="M9" s="3">
        <v>2335426</v>
      </c>
      <c r="N9" s="3">
        <v>2746290</v>
      </c>
      <c r="O9" s="3">
        <v>2805979</v>
      </c>
      <c r="P9" s="3">
        <v>2879943</v>
      </c>
      <c r="Q9" s="15">
        <f t="shared" si="2"/>
        <v>12.879547755041543</v>
      </c>
      <c r="R9" s="18">
        <f t="shared" ref="R9:R18" si="4">+Q9/60</f>
        <v>0.21465912925069239</v>
      </c>
      <c r="T9" s="6">
        <f t="shared" ref="T9:T17" si="5">Q9*1000</f>
        <v>12879.547755041543</v>
      </c>
      <c r="U9" s="7">
        <f t="shared" si="3"/>
        <v>15003.062501584231</v>
      </c>
      <c r="V9" s="8"/>
      <c r="W9" s="8"/>
    </row>
    <row r="10" spans="1:23" ht="15.75" x14ac:dyDescent="0.25">
      <c r="A10" s="12" t="s">
        <v>9</v>
      </c>
      <c r="B10" s="13"/>
      <c r="C10" s="13" t="s">
        <v>40</v>
      </c>
      <c r="D10" s="3">
        <v>7856</v>
      </c>
      <c r="E10" s="3">
        <v>6571</v>
      </c>
      <c r="F10" s="3">
        <v>5901</v>
      </c>
      <c r="G10" s="3">
        <v>12770.074450468604</v>
      </c>
      <c r="H10" s="3">
        <f t="shared" si="0"/>
        <v>8274.5186126171502</v>
      </c>
      <c r="I10" s="10"/>
      <c r="J10" s="13">
        <v>745</v>
      </c>
      <c r="K10" s="14">
        <f>H10/J10</f>
        <v>11.106736392774698</v>
      </c>
      <c r="L10" s="10"/>
      <c r="M10" s="3">
        <v>4325604</v>
      </c>
      <c r="N10" s="3">
        <v>3601242</v>
      </c>
      <c r="O10" s="3">
        <v>3581919</v>
      </c>
      <c r="P10" s="3">
        <v>3537695</v>
      </c>
      <c r="Q10" s="15">
        <f t="shared" si="2"/>
        <v>716.78259589030529</v>
      </c>
      <c r="R10" s="18">
        <f t="shared" si="4"/>
        <v>11.946376598171755</v>
      </c>
      <c r="T10" s="6">
        <f t="shared" si="5"/>
        <v>716782.59589030524</v>
      </c>
      <c r="U10" s="7">
        <f t="shared" si="3"/>
        <v>1176229.5872763607</v>
      </c>
      <c r="V10" s="8"/>
      <c r="W10" s="8"/>
    </row>
    <row r="11" spans="1:23" ht="15.75" x14ac:dyDescent="0.25">
      <c r="A11" s="12" t="s">
        <v>2</v>
      </c>
      <c r="B11" s="13"/>
      <c r="C11" s="13" t="s">
        <v>40</v>
      </c>
      <c r="D11" s="3">
        <v>409</v>
      </c>
      <c r="E11" s="3">
        <v>339</v>
      </c>
      <c r="F11" s="3">
        <v>454</v>
      </c>
      <c r="G11" s="3">
        <v>183.83065971870582</v>
      </c>
      <c r="H11" s="3">
        <f t="shared" si="0"/>
        <v>346.45766492967647</v>
      </c>
      <c r="I11" s="10"/>
      <c r="J11" s="13">
        <v>356.3</v>
      </c>
      <c r="K11" s="14">
        <f t="shared" si="1"/>
        <v>0.97237626979982161</v>
      </c>
      <c r="L11" s="10"/>
      <c r="M11" s="3">
        <v>133410</v>
      </c>
      <c r="N11" s="3">
        <v>83008</v>
      </c>
      <c r="O11" s="3">
        <v>118821</v>
      </c>
      <c r="P11" s="3">
        <v>236930</v>
      </c>
      <c r="Q11" s="15">
        <f t="shared" si="2"/>
        <v>789.23238815804427</v>
      </c>
      <c r="R11" s="18">
        <f t="shared" si="4"/>
        <v>13.153873135967405</v>
      </c>
      <c r="T11" s="6">
        <f t="shared" si="5"/>
        <v>789232.38815804431</v>
      </c>
      <c r="U11" s="7">
        <f t="shared" si="3"/>
        <v>252823.21487359141</v>
      </c>
      <c r="V11" s="8"/>
      <c r="W11" s="8"/>
    </row>
    <row r="12" spans="1:23" ht="15.75" x14ac:dyDescent="0.25">
      <c r="A12" s="12" t="s">
        <v>4</v>
      </c>
      <c r="B12" s="17" t="s">
        <v>12</v>
      </c>
      <c r="C12" s="13" t="s">
        <v>40</v>
      </c>
      <c r="D12" s="3">
        <v>15103</v>
      </c>
      <c r="E12" s="3">
        <v>16326</v>
      </c>
      <c r="F12" s="3">
        <v>13426</v>
      </c>
      <c r="G12" s="3">
        <v>8788</v>
      </c>
      <c r="H12" s="3">
        <f t="shared" si="0"/>
        <v>13410.75</v>
      </c>
      <c r="I12" s="10"/>
      <c r="J12" s="13">
        <v>1363</v>
      </c>
      <c r="K12" s="14">
        <f>H12/J12</f>
        <v>9.8391415994130593</v>
      </c>
      <c r="L12" s="10"/>
      <c r="M12" s="3">
        <v>7988203</v>
      </c>
      <c r="N12" s="3">
        <v>9248963</v>
      </c>
      <c r="O12" s="3">
        <v>7381184</v>
      </c>
      <c r="P12" s="3">
        <v>3410309</v>
      </c>
      <c r="Q12" s="15">
        <f t="shared" si="2"/>
        <v>623.63401663276147</v>
      </c>
      <c r="R12" s="18">
        <f t="shared" si="4"/>
        <v>10.39390027721269</v>
      </c>
      <c r="T12" s="6">
        <f t="shared" si="5"/>
        <v>623634.01663276146</v>
      </c>
      <c r="U12" s="7">
        <f t="shared" si="3"/>
        <v>839683.02813615999</v>
      </c>
      <c r="V12" s="8"/>
      <c r="W12" s="8"/>
    </row>
    <row r="13" spans="1:23" ht="15.75" x14ac:dyDescent="0.25">
      <c r="A13" s="12" t="s">
        <v>3</v>
      </c>
      <c r="B13" s="17" t="s">
        <v>12</v>
      </c>
      <c r="C13" s="13" t="s">
        <v>40</v>
      </c>
      <c r="D13" s="3">
        <v>7929</v>
      </c>
      <c r="E13" s="3">
        <v>12019</v>
      </c>
      <c r="F13" s="3">
        <v>11717</v>
      </c>
      <c r="G13" s="3">
        <v>7426.98</v>
      </c>
      <c r="H13" s="3">
        <f t="shared" si="0"/>
        <v>9772.994999999999</v>
      </c>
      <c r="I13" s="10"/>
      <c r="J13" s="13">
        <v>909</v>
      </c>
      <c r="K13" s="14">
        <f>H13/J13</f>
        <v>10.751369636963695</v>
      </c>
      <c r="L13" s="10"/>
      <c r="M13" s="3">
        <v>4515305</v>
      </c>
      <c r="N13" s="3">
        <v>6263658</v>
      </c>
      <c r="O13" s="3">
        <v>5673115</v>
      </c>
      <c r="P13" s="3">
        <v>3400758</v>
      </c>
      <c r="Q13" s="15">
        <f t="shared" si="2"/>
        <v>641.62927528238276</v>
      </c>
      <c r="R13" s="18">
        <f t="shared" si="4"/>
        <v>10.69382125470638</v>
      </c>
      <c r="T13" s="6">
        <f t="shared" si="5"/>
        <v>641629.27528238273</v>
      </c>
      <c r="U13" s="7">
        <f t="shared" si="3"/>
        <v>711632.1890531464</v>
      </c>
      <c r="V13" s="8"/>
      <c r="W13" s="8"/>
    </row>
    <row r="14" spans="1:23" ht="15.75" x14ac:dyDescent="0.25">
      <c r="A14" s="12" t="s">
        <v>5</v>
      </c>
      <c r="B14" s="17" t="s">
        <v>12</v>
      </c>
      <c r="C14" s="13" t="s">
        <v>40</v>
      </c>
      <c r="D14" s="3">
        <v>18184</v>
      </c>
      <c r="E14" s="3">
        <v>19103</v>
      </c>
      <c r="F14" s="3">
        <v>19076</v>
      </c>
      <c r="G14" s="3">
        <v>15054.376077465502</v>
      </c>
      <c r="H14" s="3">
        <f t="shared" si="0"/>
        <v>17854.344019366377</v>
      </c>
      <c r="I14" s="10"/>
      <c r="J14" s="13">
        <v>2119</v>
      </c>
      <c r="K14" s="14">
        <f>H14/J14</f>
        <v>8.4258348368883329</v>
      </c>
      <c r="L14" s="10"/>
      <c r="M14" s="3">
        <v>10458575</v>
      </c>
      <c r="N14" s="3">
        <v>10342840</v>
      </c>
      <c r="O14" s="3">
        <v>10662019</v>
      </c>
      <c r="P14" s="3">
        <v>6075458</v>
      </c>
      <c r="Q14" s="15">
        <f t="shared" si="2"/>
        <v>619.928350901199</v>
      </c>
      <c r="R14" s="18">
        <f t="shared" si="4"/>
        <v>10.332139181686649</v>
      </c>
      <c r="T14" s="6">
        <f t="shared" si="5"/>
        <v>619928.35090119904</v>
      </c>
      <c r="U14" s="7">
        <f t="shared" si="3"/>
        <v>807426.1231364304</v>
      </c>
      <c r="V14" s="8"/>
      <c r="W14" s="8"/>
    </row>
    <row r="15" spans="1:23" ht="15.75" x14ac:dyDescent="0.25">
      <c r="A15" s="12" t="s">
        <v>44</v>
      </c>
      <c r="B15" s="13"/>
      <c r="C15" s="13" t="s">
        <v>40</v>
      </c>
      <c r="D15" s="3">
        <v>4075</v>
      </c>
      <c r="E15" s="3">
        <v>4421</v>
      </c>
      <c r="F15" s="3">
        <v>4591</v>
      </c>
      <c r="G15" s="3">
        <v>4434.6000000000004</v>
      </c>
      <c r="H15" s="3">
        <f t="shared" si="0"/>
        <v>4380.3999999999996</v>
      </c>
      <c r="I15" s="10"/>
      <c r="J15" s="13">
        <v>1177.4000000000001</v>
      </c>
      <c r="K15" s="14">
        <f>H15/J15</f>
        <v>3.7204008833021907</v>
      </c>
      <c r="L15" s="10"/>
      <c r="M15" s="3">
        <v>5560112</v>
      </c>
      <c r="N15" s="3">
        <v>6389355</v>
      </c>
      <c r="O15" s="3">
        <v>6578673</v>
      </c>
      <c r="P15" s="3">
        <v>6456506</v>
      </c>
      <c r="Q15" s="15">
        <f t="shared" si="2"/>
        <v>228.51758162192891</v>
      </c>
      <c r="R15" s="18">
        <f t="shared" si="4"/>
        <v>3.8086263603654817</v>
      </c>
      <c r="T15" s="6">
        <f t="shared" si="5"/>
        <v>228517.5816219289</v>
      </c>
      <c r="U15" s="7">
        <f t="shared" si="3"/>
        <v>223808.17807650144</v>
      </c>
      <c r="V15" s="8"/>
      <c r="W15" s="8"/>
    </row>
    <row r="16" spans="1:23" ht="15.75" x14ac:dyDescent="0.25">
      <c r="A16" s="12" t="s">
        <v>6</v>
      </c>
      <c r="B16" s="13" t="s">
        <v>12</v>
      </c>
      <c r="C16" s="13" t="s">
        <v>40</v>
      </c>
      <c r="D16" s="3">
        <v>7622</v>
      </c>
      <c r="E16" s="3">
        <v>7236</v>
      </c>
      <c r="F16" s="3">
        <v>6929</v>
      </c>
      <c r="G16" s="3">
        <v>7570</v>
      </c>
      <c r="H16" s="3">
        <f t="shared" si="0"/>
        <v>7339.25</v>
      </c>
      <c r="I16" s="10"/>
      <c r="J16" s="13">
        <v>647</v>
      </c>
      <c r="K16" s="14">
        <f t="shared" si="1"/>
        <v>11.343508500772797</v>
      </c>
      <c r="L16" s="10"/>
      <c r="M16" s="3">
        <v>2659033</v>
      </c>
      <c r="N16" s="3">
        <v>2596446</v>
      </c>
      <c r="O16" s="3">
        <v>2456201</v>
      </c>
      <c r="P16" s="3">
        <v>2766289</v>
      </c>
      <c r="Q16" s="15">
        <f t="shared" si="2"/>
        <v>912.96393480454083</v>
      </c>
      <c r="R16" s="18">
        <f t="shared" si="4"/>
        <v>15.21606558007568</v>
      </c>
      <c r="T16" s="6">
        <f t="shared" si="5"/>
        <v>912963.93480454083</v>
      </c>
      <c r="U16" s="7">
        <f t="shared" si="3"/>
        <v>891697.16902319307</v>
      </c>
      <c r="V16" s="8"/>
      <c r="W16" s="8"/>
    </row>
    <row r="17" spans="1:23" ht="15.75" x14ac:dyDescent="0.25">
      <c r="A17" s="12" t="s">
        <v>7</v>
      </c>
      <c r="B17" s="17" t="s">
        <v>12</v>
      </c>
      <c r="C17" s="13" t="s">
        <v>10</v>
      </c>
      <c r="D17" s="3">
        <v>336</v>
      </c>
      <c r="E17" s="3">
        <v>333</v>
      </c>
      <c r="F17" s="3">
        <v>324</v>
      </c>
      <c r="G17" s="3">
        <v>283.25592955062285</v>
      </c>
      <c r="H17" s="3">
        <f t="shared" si="0"/>
        <v>319.0639823876557</v>
      </c>
      <c r="I17" s="10"/>
      <c r="J17" s="13">
        <v>332</v>
      </c>
      <c r="K17" s="14">
        <f t="shared" si="1"/>
        <v>0.96103609152908342</v>
      </c>
      <c r="L17" s="10"/>
      <c r="M17" s="3">
        <v>1732784</v>
      </c>
      <c r="N17" s="3">
        <v>1717528</v>
      </c>
      <c r="O17" s="3">
        <v>1779843</v>
      </c>
      <c r="P17" s="3">
        <v>1282117</v>
      </c>
      <c r="Q17" s="15">
        <f t="shared" si="2"/>
        <v>63.859321431905791</v>
      </c>
      <c r="R17" s="18">
        <f t="shared" si="4"/>
        <v>1.0643220238650966</v>
      </c>
      <c r="T17" s="6">
        <f t="shared" si="5"/>
        <v>63859.321431905788</v>
      </c>
      <c r="U17" s="7">
        <f t="shared" si="3"/>
        <v>71989.707569589984</v>
      </c>
      <c r="V17" s="8"/>
      <c r="W17" s="8"/>
    </row>
    <row r="18" spans="1:23" ht="15.75" x14ac:dyDescent="0.25">
      <c r="A18" s="41" t="s">
        <v>14</v>
      </c>
      <c r="B18" s="41"/>
      <c r="C18" s="41"/>
      <c r="D18" s="5">
        <f t="shared" ref="D18:G18" si="6">SUM(D8:D17)</f>
        <v>61675</v>
      </c>
      <c r="E18" s="5">
        <f t="shared" si="6"/>
        <v>66532</v>
      </c>
      <c r="F18" s="5">
        <f>SUM(F8:F17)</f>
        <v>62550</v>
      </c>
      <c r="G18" s="5">
        <f t="shared" si="6"/>
        <v>56688.387121377113</v>
      </c>
      <c r="H18" s="5">
        <f t="shared" si="0"/>
        <v>61861.346780344276</v>
      </c>
      <c r="I18" s="10"/>
      <c r="J18" s="10"/>
      <c r="K18" s="10"/>
      <c r="L18" s="10"/>
      <c r="M18" s="5">
        <f t="shared" ref="M18:P18" si="7">SUM(M8:M17)</f>
        <v>42115971</v>
      </c>
      <c r="N18" s="5">
        <f t="shared" si="7"/>
        <v>45237567</v>
      </c>
      <c r="O18" s="5">
        <f t="shared" si="7"/>
        <v>43210219</v>
      </c>
      <c r="P18" s="5">
        <f t="shared" si="7"/>
        <v>32285351</v>
      </c>
      <c r="Q18" s="19">
        <f>+(SUM(D18:G18)*$B$21)/SUM(M18:P18)</f>
        <v>495.12292593514144</v>
      </c>
      <c r="R18" s="20">
        <f t="shared" si="4"/>
        <v>8.2520487655856911</v>
      </c>
    </row>
    <row r="19" spans="1:23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23" ht="15.75" x14ac:dyDescent="0.25">
      <c r="A20" s="10" t="s">
        <v>22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3" ht="15.75" x14ac:dyDescent="0.25">
      <c r="A21" s="10"/>
      <c r="B21" s="21">
        <v>325851</v>
      </c>
      <c r="C21" s="10" t="s">
        <v>23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1"/>
      <c r="U21" s="9"/>
    </row>
    <row r="22" spans="1:23" ht="15.75" x14ac:dyDescent="0.25">
      <c r="A22" s="10"/>
      <c r="B22" s="21">
        <v>43560</v>
      </c>
      <c r="C22" s="10" t="s">
        <v>24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23" ht="15.7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23" ht="15.75" x14ac:dyDescent="0.25">
      <c r="A24" s="10" t="s">
        <v>36</v>
      </c>
      <c r="H24" s="10"/>
      <c r="I24" s="10"/>
      <c r="J24" s="10"/>
      <c r="K24" s="22"/>
      <c r="L24" s="10"/>
      <c r="M24" s="10"/>
      <c r="N24" s="10"/>
      <c r="O24" s="10"/>
      <c r="P24" s="10"/>
      <c r="Q24" s="10"/>
      <c r="R24" s="10"/>
    </row>
    <row r="25" spans="1:23" ht="15.75" x14ac:dyDescent="0.25">
      <c r="A25" s="10" t="s">
        <v>43</v>
      </c>
      <c r="H25" s="10"/>
      <c r="I25" s="10"/>
      <c r="J25" s="10"/>
      <c r="K25" s="22"/>
      <c r="L25" s="10"/>
      <c r="M25" s="10"/>
      <c r="N25" s="10"/>
      <c r="O25" s="10"/>
      <c r="P25" s="10"/>
      <c r="Q25" s="10"/>
      <c r="R25" s="10"/>
    </row>
    <row r="26" spans="1:23" ht="15.75" x14ac:dyDescent="0.25">
      <c r="A26" s="10"/>
    </row>
    <row r="27" spans="1:23" ht="15.75" x14ac:dyDescent="0.25">
      <c r="A27" s="10"/>
    </row>
  </sheetData>
  <mergeCells count="5">
    <mergeCell ref="A1:R1"/>
    <mergeCell ref="A2:R2"/>
    <mergeCell ref="A18:C18"/>
    <mergeCell ref="M6:P6"/>
    <mergeCell ref="D6:G6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S30"/>
  <sheetViews>
    <sheetView zoomScaleNormal="100" workbookViewId="0">
      <selection activeCell="G27" sqref="G27"/>
    </sheetView>
  </sheetViews>
  <sheetFormatPr defaultRowHeight="15.75" x14ac:dyDescent="0.25"/>
  <cols>
    <col min="1" max="1" width="18.7109375" style="24" customWidth="1"/>
    <col min="2" max="8" width="10.7109375" style="24" customWidth="1"/>
    <col min="9" max="10" width="9.140625" style="24" customWidth="1"/>
    <col min="11" max="11" width="12" style="24" bestFit="1" customWidth="1"/>
    <col min="12" max="16384" width="9.140625" style="24"/>
  </cols>
  <sheetData>
    <row r="2" spans="1:19" x14ac:dyDescent="0.25">
      <c r="A2" s="23" t="s">
        <v>15</v>
      </c>
    </row>
    <row r="3" spans="1:19" x14ac:dyDescent="0.25">
      <c r="A3" s="23" t="s">
        <v>31</v>
      </c>
    </row>
    <row r="4" spans="1:19" x14ac:dyDescent="0.25">
      <c r="A4" s="23" t="s">
        <v>27</v>
      </c>
    </row>
    <row r="6" spans="1:19" x14ac:dyDescent="0.25">
      <c r="A6" s="42" t="s">
        <v>28</v>
      </c>
      <c r="B6" s="42"/>
      <c r="C6" s="42"/>
      <c r="D6" s="42"/>
      <c r="E6" s="42"/>
      <c r="F6" s="42"/>
      <c r="G6" s="42"/>
      <c r="H6" s="42"/>
    </row>
    <row r="7" spans="1:19" x14ac:dyDescent="0.25">
      <c r="A7" s="25" t="s">
        <v>8</v>
      </c>
      <c r="B7" s="25">
        <v>2017</v>
      </c>
      <c r="C7" s="25">
        <v>2018</v>
      </c>
      <c r="D7" s="25">
        <v>2019</v>
      </c>
      <c r="E7" s="25">
        <f t="shared" ref="E7:F7" si="0">F7-1</f>
        <v>2020</v>
      </c>
      <c r="F7" s="25">
        <f t="shared" si="0"/>
        <v>2021</v>
      </c>
      <c r="G7" s="25">
        <f>H7-1</f>
        <v>2022</v>
      </c>
      <c r="H7" s="25">
        <f>'Table G.1'!$B$5</f>
        <v>2023</v>
      </c>
    </row>
    <row r="8" spans="1:19" x14ac:dyDescent="0.25">
      <c r="A8" s="26" t="s">
        <v>1</v>
      </c>
      <c r="B8" s="27">
        <v>116</v>
      </c>
      <c r="C8" s="27">
        <v>110</v>
      </c>
      <c r="D8" s="27">
        <v>101</v>
      </c>
      <c r="E8" s="28">
        <f>INDEX('Table G.1'!$D$8:$G$17,MATCH('Table G.2'!$A8,'Table G.1'!$A$8:$A$17,0),MATCH('Table G.2'!E$7,'Table G.1'!$D$7:$G$7,0))</f>
        <v>95</v>
      </c>
      <c r="F8" s="28">
        <f>INDEX('Table G.1'!$D$8:$G$17,MATCH('Table G.2'!$A8,'Table G.1'!$A$8:$A$17,0),MATCH('Table G.2'!F$7,'Table G.1'!$D$7:$G$7,0))</f>
        <v>113</v>
      </c>
      <c r="G8" s="28">
        <f>INDEX('Table G.1'!$D$8:$G$17,MATCH('Table G.2'!$A8,'Table G.1'!$A$8:$A$17,0),MATCH('Table G.2'!G$7,'Table G.1'!$D$7:$G$7,0))</f>
        <v>85</v>
      </c>
      <c r="H8" s="28">
        <f>INDEX('Table G.1'!$D$8:$G$17,MATCH('Table G.2'!$A8,'Table G.1'!$A$8:$A$17,0),MATCH('Table G.2'!H$7,'Table G.1'!$D$7:$G$7,0))</f>
        <v>132.60037511009634</v>
      </c>
    </row>
    <row r="9" spans="1:19" x14ac:dyDescent="0.25">
      <c r="A9" s="26" t="s">
        <v>2</v>
      </c>
      <c r="B9" s="27">
        <v>100</v>
      </c>
      <c r="C9" s="27">
        <v>205</v>
      </c>
      <c r="D9" s="27">
        <v>281</v>
      </c>
      <c r="E9" s="28">
        <f>INDEX('Table G.1'!$D$8:$G$17,MATCH('Table G.2'!$A9,'Table G.1'!$A$8:$A$17,0),MATCH('Table G.2'!E$7,'Table G.1'!$D$7:$G$7,0))</f>
        <v>409</v>
      </c>
      <c r="F9" s="28">
        <f>INDEX('Table G.1'!$D$8:$G$17,MATCH('Table G.2'!$A9,'Table G.1'!$A$8:$A$17,0),MATCH('Table G.2'!F$7,'Table G.1'!$D$7:$G$7,0))</f>
        <v>339</v>
      </c>
      <c r="G9" s="28">
        <f>INDEX('Table G.1'!$D$8:$G$17,MATCH('Table G.2'!$A9,'Table G.1'!$A$8:$A$17,0),MATCH('Table G.2'!G$7,'Table G.1'!$D$7:$G$7,0))</f>
        <v>454</v>
      </c>
      <c r="H9" s="28">
        <f>INDEX('Table G.1'!$D$8:$G$17,MATCH('Table G.2'!$A9,'Table G.1'!$A$8:$A$17,0),MATCH('Table G.2'!H$7,'Table G.1'!$D$7:$G$7,0))</f>
        <v>183.83065971870582</v>
      </c>
    </row>
    <row r="10" spans="1:19" x14ac:dyDescent="0.25">
      <c r="A10" s="26" t="s">
        <v>4</v>
      </c>
      <c r="B10" s="27">
        <v>15383</v>
      </c>
      <c r="C10" s="27">
        <v>14751</v>
      </c>
      <c r="D10" s="27">
        <v>15808</v>
      </c>
      <c r="E10" s="28">
        <f>INDEX('Table G.1'!$D$8:$G$17,MATCH('Table G.2'!$A10,'Table G.1'!$A$8:$A$17,0),MATCH('Table G.2'!E$7,'Table G.1'!$D$7:$G$7,0))</f>
        <v>15103</v>
      </c>
      <c r="F10" s="28">
        <f>INDEX('Table G.1'!$D$8:$G$17,MATCH('Table G.2'!$A10,'Table G.1'!$A$8:$A$17,0),MATCH('Table G.2'!F$7,'Table G.1'!$D$7:$G$7,0))</f>
        <v>16326</v>
      </c>
      <c r="G10" s="28">
        <f>INDEX('Table G.1'!$D$8:$G$17,MATCH('Table G.2'!$A10,'Table G.1'!$A$8:$A$17,0),MATCH('Table G.2'!G$7,'Table G.1'!$D$7:$G$7,0))</f>
        <v>13426</v>
      </c>
      <c r="H10" s="28">
        <f>INDEX('Table G.1'!$D$8:$G$17,MATCH('Table G.2'!$A10,'Table G.1'!$A$8:$A$17,0),MATCH('Table G.2'!H$7,'Table G.1'!$D$7:$G$7,0))</f>
        <v>8788</v>
      </c>
    </row>
    <row r="11" spans="1:19" x14ac:dyDescent="0.25">
      <c r="A11" s="26" t="s">
        <v>3</v>
      </c>
      <c r="B11" s="27">
        <v>9653</v>
      </c>
      <c r="C11" s="27">
        <v>9804</v>
      </c>
      <c r="D11" s="27">
        <v>9028</v>
      </c>
      <c r="E11" s="28">
        <f>INDEX('Table G.1'!$D$8:$G$17,MATCH('Table G.2'!$A11,'Table G.1'!$A$8:$A$17,0),MATCH('Table G.2'!E$7,'Table G.1'!$D$7:$G$7,0))</f>
        <v>7929</v>
      </c>
      <c r="F11" s="28">
        <f>INDEX('Table G.1'!$D$8:$G$17,MATCH('Table G.2'!$A11,'Table G.1'!$A$8:$A$17,0),MATCH('Table G.2'!F$7,'Table G.1'!$D$7:$G$7,0))</f>
        <v>12019</v>
      </c>
      <c r="G11" s="28">
        <f>INDEX('Table G.1'!$D$8:$G$17,MATCH('Table G.2'!$A11,'Table G.1'!$A$8:$A$17,0),MATCH('Table G.2'!G$7,'Table G.1'!$D$7:$G$7,0))</f>
        <v>11717</v>
      </c>
      <c r="H11" s="28">
        <f>INDEX('Table G.1'!$D$8:$G$17,MATCH('Table G.2'!$A11,'Table G.1'!$A$8:$A$17,0),MATCH('Table G.2'!H$7,'Table G.1'!$D$7:$G$7,0))</f>
        <v>7426.98</v>
      </c>
      <c r="O11" s="1"/>
      <c r="P11" s="1"/>
      <c r="Q11" s="1"/>
      <c r="R11" s="1"/>
      <c r="S11" s="1"/>
    </row>
    <row r="12" spans="1:19" x14ac:dyDescent="0.25">
      <c r="A12" s="26" t="s">
        <v>44</v>
      </c>
      <c r="B12" s="27">
        <v>2698</v>
      </c>
      <c r="C12" s="27">
        <v>3648</v>
      </c>
      <c r="D12" s="27">
        <v>3894</v>
      </c>
      <c r="E12" s="28">
        <f>INDEX('Table G.1'!$D$8:$G$17,MATCH('Table G.2'!$A12,'Table G.1'!$A$8:$A$17,0),MATCH('Table G.2'!E$7,'Table G.1'!$D$7:$G$7,0))</f>
        <v>4075</v>
      </c>
      <c r="F12" s="28">
        <f>INDEX('Table G.1'!$D$8:$G$17,MATCH('Table G.2'!$A12,'Table G.1'!$A$8:$A$17,0),MATCH('Table G.2'!F$7,'Table G.1'!$D$7:$G$7,0))</f>
        <v>4421</v>
      </c>
      <c r="G12" s="28">
        <f>INDEX('Table G.1'!$D$8:$G$17,MATCH('Table G.2'!$A12,'Table G.1'!$A$8:$A$17,0),MATCH('Table G.2'!G$7,'Table G.1'!$D$7:$G$7,0))</f>
        <v>4591</v>
      </c>
      <c r="H12" s="28">
        <f>INDEX('Table G.1'!$D$8:$G$17,MATCH('Table G.2'!$A12,'Table G.1'!$A$8:$A$17,0),MATCH('Table G.2'!H$7,'Table G.1'!$D$7:$G$7,0))</f>
        <v>4434.6000000000004</v>
      </c>
      <c r="O12" s="1"/>
      <c r="P12" s="1"/>
      <c r="Q12" s="1"/>
      <c r="R12" s="1"/>
      <c r="S12" s="1"/>
    </row>
    <row r="13" spans="1:19" x14ac:dyDescent="0.25">
      <c r="A13" s="23" t="s">
        <v>14</v>
      </c>
      <c r="B13" s="29">
        <f t="shared" ref="B13:D13" si="1">SUM(B8:B12)</f>
        <v>27950</v>
      </c>
      <c r="C13" s="29">
        <f t="shared" si="1"/>
        <v>28518</v>
      </c>
      <c r="D13" s="29">
        <f t="shared" si="1"/>
        <v>29112</v>
      </c>
      <c r="E13" s="30">
        <f t="shared" ref="E13:H13" si="2">SUM(E8:E12)</f>
        <v>27611</v>
      </c>
      <c r="F13" s="30">
        <f t="shared" si="2"/>
        <v>33218</v>
      </c>
      <c r="G13" s="30">
        <f t="shared" si="2"/>
        <v>30273</v>
      </c>
      <c r="H13" s="30">
        <f t="shared" si="2"/>
        <v>20966.0110348288</v>
      </c>
      <c r="I13" s="31"/>
      <c r="O13" s="1"/>
      <c r="P13" s="1"/>
      <c r="Q13" s="1"/>
      <c r="R13" s="1"/>
      <c r="S13" s="1"/>
    </row>
    <row r="14" spans="1:19" x14ac:dyDescent="0.25">
      <c r="A14" s="23"/>
      <c r="C14" s="32" t="s">
        <v>29</v>
      </c>
      <c r="D14" s="33" cm="1">
        <f t="array" ref="D14">SUM($B$13:$H$13/SUM($B$13:$H$13,$B$21:$H$21))</f>
        <v>0.4443268526582978</v>
      </c>
      <c r="L14" s="1"/>
      <c r="M14" s="1"/>
      <c r="N14" s="1"/>
      <c r="O14" s="1"/>
      <c r="P14" s="1"/>
    </row>
    <row r="15" spans="1:19" x14ac:dyDescent="0.25">
      <c r="A15" s="42" t="s">
        <v>30</v>
      </c>
      <c r="B15" s="42"/>
      <c r="C15" s="42"/>
      <c r="D15" s="42"/>
      <c r="E15" s="42"/>
      <c r="F15" s="42"/>
      <c r="G15" s="42"/>
      <c r="H15" s="42"/>
      <c r="L15" s="1"/>
      <c r="M15" s="1"/>
      <c r="N15" s="1"/>
      <c r="O15" s="1"/>
      <c r="P15" s="1"/>
    </row>
    <row r="16" spans="1:19" x14ac:dyDescent="0.25">
      <c r="A16" s="25" t="s">
        <v>8</v>
      </c>
      <c r="B16" s="25">
        <v>2017</v>
      </c>
      <c r="C16" s="25">
        <v>2018</v>
      </c>
      <c r="D16" s="25">
        <v>2019</v>
      </c>
      <c r="E16" s="25">
        <f t="shared" ref="E16:F16" si="3">F16-1</f>
        <v>2020</v>
      </c>
      <c r="F16" s="25">
        <f t="shared" si="3"/>
        <v>2021</v>
      </c>
      <c r="G16" s="25">
        <f>H16-1</f>
        <v>2022</v>
      </c>
      <c r="H16" s="25">
        <f>'Table G.1'!B5</f>
        <v>2023</v>
      </c>
      <c r="K16" s="34"/>
      <c r="O16" s="1"/>
      <c r="P16" s="1"/>
      <c r="Q16" s="1"/>
      <c r="R16" s="1"/>
      <c r="S16" s="1"/>
    </row>
    <row r="17" spans="1:19" x14ac:dyDescent="0.25">
      <c r="A17" s="26" t="s">
        <v>9</v>
      </c>
      <c r="B17" s="27">
        <v>8231</v>
      </c>
      <c r="C17" s="27">
        <v>8325</v>
      </c>
      <c r="D17" s="27">
        <v>8485</v>
      </c>
      <c r="E17" s="28">
        <f>INDEX('Table G.1'!$D$8:$G$17,MATCH('Table G.2'!$A17,'Table G.1'!$A$8:$A$17,0),MATCH('Table G.2'!E$7,'Table G.1'!$D$7:$G$7,0))</f>
        <v>7856</v>
      </c>
      <c r="F17" s="28">
        <f>INDEX('Table G.1'!$D$8:$G$17,MATCH('Table G.2'!$A17,'Table G.1'!$A$8:$A$17,0),MATCH('Table G.2'!F$7,'Table G.1'!$D$7:$G$7,0))</f>
        <v>6571</v>
      </c>
      <c r="G17" s="28">
        <f>INDEX('Table G.1'!$D$8:$G$17,MATCH('Table G.2'!$A17,'Table G.1'!$A$8:$A$17,0),MATCH('Table G.2'!G$7,'Table G.1'!$D$7:$G$7,0))</f>
        <v>5901</v>
      </c>
      <c r="H17" s="28">
        <f>INDEX('Table G.1'!$D$8:$G$17,MATCH('Table G.2'!$A17,'Table G.1'!$A$8:$A$17,0),MATCH('Table G.2'!H$7,'Table G.1'!$D$7:$G$7,0))</f>
        <v>12770.074450468604</v>
      </c>
      <c r="O17" s="1"/>
      <c r="P17" s="1"/>
      <c r="Q17" s="1"/>
      <c r="R17" s="1"/>
      <c r="S17" s="1"/>
    </row>
    <row r="18" spans="1:19" x14ac:dyDescent="0.25">
      <c r="A18" s="26" t="s">
        <v>5</v>
      </c>
      <c r="B18" s="27">
        <v>19047</v>
      </c>
      <c r="C18" s="27">
        <v>20067</v>
      </c>
      <c r="D18" s="27">
        <v>19893</v>
      </c>
      <c r="E18" s="28">
        <f>INDEX('Table G.1'!$D$8:$G$17,MATCH('Table G.2'!$A18,'Table G.1'!$A$8:$A$17,0),MATCH('Table G.2'!E$7,'Table G.1'!$D$7:$G$7,0))</f>
        <v>18184</v>
      </c>
      <c r="F18" s="28">
        <f>INDEX('Table G.1'!$D$8:$G$17,MATCH('Table G.2'!$A18,'Table G.1'!$A$8:$A$17,0),MATCH('Table G.2'!F$7,'Table G.1'!$D$7:$G$7,0))</f>
        <v>19103</v>
      </c>
      <c r="G18" s="28">
        <f>INDEX('Table G.1'!$D$8:$G$17,MATCH('Table G.2'!$A18,'Table G.1'!$A$8:$A$17,0),MATCH('Table G.2'!G$7,'Table G.1'!$D$7:$G$7,0))</f>
        <v>19076</v>
      </c>
      <c r="H18" s="28">
        <f>INDEX('Table G.1'!$D$8:$G$17,MATCH('Table G.2'!$A18,'Table G.1'!$A$8:$A$17,0),MATCH('Table G.2'!H$7,'Table G.1'!$D$7:$G$7,0))</f>
        <v>15054.376077465502</v>
      </c>
      <c r="O18" s="1"/>
      <c r="P18" s="1"/>
      <c r="Q18" s="1"/>
      <c r="R18" s="1"/>
      <c r="S18" s="1"/>
    </row>
    <row r="19" spans="1:19" x14ac:dyDescent="0.25">
      <c r="A19" s="26" t="s">
        <v>6</v>
      </c>
      <c r="B19" s="27">
        <v>6927</v>
      </c>
      <c r="C19" s="27">
        <v>9916</v>
      </c>
      <c r="D19" s="27">
        <v>10195</v>
      </c>
      <c r="E19" s="28">
        <f>INDEX('Table G.1'!$D$8:$G$17,MATCH('Table G.2'!$A19,'Table G.1'!$A$8:$A$17,0),MATCH('Table G.2'!E$7,'Table G.1'!$D$7:$G$7,0))</f>
        <v>7622</v>
      </c>
      <c r="F19" s="28">
        <f>INDEX('Table G.1'!$D$8:$G$17,MATCH('Table G.2'!$A19,'Table G.1'!$A$8:$A$17,0),MATCH('Table G.2'!F$7,'Table G.1'!$D$7:$G$7,0))</f>
        <v>7236</v>
      </c>
      <c r="G19" s="28">
        <f>INDEX('Table G.1'!$D$8:$G$17,MATCH('Table G.2'!$A19,'Table G.1'!$A$8:$A$17,0),MATCH('Table G.2'!G$7,'Table G.1'!$D$7:$G$7,0))</f>
        <v>6929</v>
      </c>
      <c r="H19" s="28">
        <f>INDEX('Table G.1'!$D$8:$G$17,MATCH('Table G.2'!$A19,'Table G.1'!$A$8:$A$17,0),MATCH('Table G.2'!H$7,'Table G.1'!$D$7:$G$7,0))</f>
        <v>7570</v>
      </c>
      <c r="O19" s="1"/>
      <c r="P19" s="1"/>
      <c r="Q19" s="1"/>
      <c r="R19" s="1"/>
      <c r="S19" s="1"/>
    </row>
    <row r="20" spans="1:19" x14ac:dyDescent="0.25">
      <c r="A20" s="26" t="s">
        <v>7</v>
      </c>
      <c r="B20" s="27">
        <v>332</v>
      </c>
      <c r="C20" s="27">
        <v>319</v>
      </c>
      <c r="D20" s="27">
        <v>292</v>
      </c>
      <c r="E20" s="28">
        <f>INDEX('Table G.1'!$D$8:$G$17,MATCH('Table G.2'!$A20,'Table G.1'!$A$8:$A$17,0),MATCH('Table G.2'!E$7,'Table G.1'!$D$7:$G$7,0))</f>
        <v>336</v>
      </c>
      <c r="F20" s="28">
        <f>INDEX('Table G.1'!$D$8:$G$17,MATCH('Table G.2'!$A20,'Table G.1'!$A$8:$A$17,0),MATCH('Table G.2'!F$7,'Table G.1'!$D$7:$G$7,0))</f>
        <v>333</v>
      </c>
      <c r="G20" s="28">
        <f>INDEX('Table G.1'!$D$8:$G$17,MATCH('Table G.2'!$A20,'Table G.1'!$A$8:$A$17,0),MATCH('Table G.2'!G$7,'Table G.1'!$D$7:$G$7,0))</f>
        <v>324</v>
      </c>
      <c r="H20" s="28">
        <f>INDEX('Table G.1'!$D$8:$G$17,MATCH('Table G.2'!$A20,'Table G.1'!$A$8:$A$17,0),MATCH('Table G.2'!H$7,'Table G.1'!$D$7:$G$7,0))</f>
        <v>283.25592955062285</v>
      </c>
      <c r="O20" s="1"/>
      <c r="P20" s="1"/>
      <c r="Q20" s="1"/>
      <c r="R20" s="1"/>
      <c r="S20" s="1"/>
    </row>
    <row r="21" spans="1:19" x14ac:dyDescent="0.25">
      <c r="A21" s="23" t="s">
        <v>14</v>
      </c>
      <c r="B21" s="29">
        <f>SUM(B17:B20)</f>
        <v>34537</v>
      </c>
      <c r="C21" s="29">
        <f t="shared" ref="C21:D21" si="4">SUM(C17:C20)</f>
        <v>38627</v>
      </c>
      <c r="D21" s="29">
        <f t="shared" si="4"/>
        <v>38865</v>
      </c>
      <c r="E21" s="30">
        <f t="shared" ref="E21" si="5">SUM(E17:E20)</f>
        <v>33998</v>
      </c>
      <c r="F21" s="30">
        <f t="shared" ref="F21:G21" si="6">SUM(F17:F20)</f>
        <v>33243</v>
      </c>
      <c r="G21" s="30">
        <f t="shared" si="6"/>
        <v>32230</v>
      </c>
      <c r="H21" s="30">
        <f t="shared" ref="H21" si="7">SUM(H17:H20)</f>
        <v>35677.706457484732</v>
      </c>
      <c r="O21" s="1"/>
      <c r="P21" s="1"/>
      <c r="Q21" s="1"/>
      <c r="R21" s="1"/>
      <c r="S21" s="1"/>
    </row>
    <row r="22" spans="1:19" x14ac:dyDescent="0.25">
      <c r="C22" s="32" t="s">
        <v>29</v>
      </c>
      <c r="D22" s="33" cm="1">
        <f t="array" ref="D22">SUM($B$21:$H$21/SUM($B$13:$H$13,$B$21:$H$21))</f>
        <v>0.55567314734170226</v>
      </c>
      <c r="L22" s="1"/>
      <c r="M22" s="1"/>
      <c r="N22" s="1"/>
      <c r="O22" s="1"/>
      <c r="P22" s="1"/>
    </row>
    <row r="23" spans="1:19" x14ac:dyDescent="0.25">
      <c r="L23" s="1"/>
      <c r="M23" s="1"/>
      <c r="N23" s="1"/>
      <c r="O23" s="1"/>
      <c r="P23" s="1"/>
    </row>
    <row r="24" spans="1:19" x14ac:dyDescent="0.25">
      <c r="L24" s="1"/>
      <c r="M24" s="1"/>
      <c r="N24" s="1"/>
      <c r="O24" s="1"/>
      <c r="P24" s="1"/>
    </row>
    <row r="25" spans="1:19" x14ac:dyDescent="0.25">
      <c r="I25" s="31"/>
      <c r="L25" s="1"/>
      <c r="M25" s="1"/>
      <c r="N25" s="1"/>
      <c r="O25" s="1"/>
      <c r="P25" s="1"/>
    </row>
    <row r="26" spans="1:19" x14ac:dyDescent="0.25">
      <c r="L26" s="1"/>
      <c r="M26" s="1"/>
      <c r="N26" s="1"/>
      <c r="O26" s="1"/>
      <c r="P26" s="1"/>
    </row>
    <row r="27" spans="1:19" x14ac:dyDescent="0.25">
      <c r="K27" s="35"/>
      <c r="L27" s="1"/>
      <c r="M27" s="1"/>
      <c r="N27" s="1"/>
      <c r="O27" s="1"/>
      <c r="P27" s="1"/>
    </row>
    <row r="29" spans="1:19" x14ac:dyDescent="0.25">
      <c r="D29" s="36"/>
    </row>
    <row r="30" spans="1:19" x14ac:dyDescent="0.25">
      <c r="B30" s="31"/>
      <c r="C30" s="31"/>
      <c r="D30" s="31"/>
    </row>
  </sheetData>
  <sortState xmlns:xlrd2="http://schemas.microsoft.com/office/spreadsheetml/2017/richdata2" ref="A17:E20">
    <sortCondition ref="A17"/>
  </sortState>
  <mergeCells count="2">
    <mergeCell ref="A6:H6"/>
    <mergeCell ref="A15:H1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H26"/>
  <sheetViews>
    <sheetView zoomScaleNormal="100" workbookViewId="0">
      <selection activeCell="L17" sqref="L17"/>
    </sheetView>
  </sheetViews>
  <sheetFormatPr defaultRowHeight="15.75" x14ac:dyDescent="0.25"/>
  <cols>
    <col min="1" max="1" width="18.7109375" style="24" customWidth="1"/>
    <col min="2" max="8" width="10.7109375" style="24" customWidth="1"/>
    <col min="9" max="9" width="2.5703125" style="24" customWidth="1"/>
    <col min="10" max="16384" width="9.140625" style="24"/>
  </cols>
  <sheetData>
    <row r="2" spans="1:8" x14ac:dyDescent="0.25">
      <c r="A2" s="23" t="s">
        <v>15</v>
      </c>
    </row>
    <row r="3" spans="1:8" x14ac:dyDescent="0.25">
      <c r="A3" s="23" t="s">
        <v>25</v>
      </c>
    </row>
    <row r="4" spans="1:8" x14ac:dyDescent="0.25">
      <c r="A4" s="23" t="s">
        <v>32</v>
      </c>
    </row>
    <row r="5" spans="1:8" x14ac:dyDescent="0.25">
      <c r="A5" s="23"/>
    </row>
    <row r="7" spans="1:8" ht="16.5" customHeight="1" x14ac:dyDescent="0.25">
      <c r="A7" s="42" t="s">
        <v>33</v>
      </c>
      <c r="B7" s="42"/>
      <c r="C7" s="42"/>
      <c r="D7" s="42"/>
      <c r="E7" s="42"/>
      <c r="F7" s="42"/>
      <c r="G7" s="42"/>
      <c r="H7" s="42"/>
    </row>
    <row r="8" spans="1:8" x14ac:dyDescent="0.25">
      <c r="A8" s="4" t="s">
        <v>8</v>
      </c>
      <c r="B8" s="4">
        <v>2017</v>
      </c>
      <c r="C8" s="4">
        <v>2018</v>
      </c>
      <c r="D8" s="4">
        <v>2019</v>
      </c>
      <c r="E8" s="25">
        <f t="shared" ref="E8:F8" si="0">F8-1</f>
        <v>2020</v>
      </c>
      <c r="F8" s="25">
        <f t="shared" si="0"/>
        <v>2021</v>
      </c>
      <c r="G8" s="25">
        <f>H8-1</f>
        <v>2022</v>
      </c>
      <c r="H8" s="25">
        <f>'Table G.1'!$B$5</f>
        <v>2023</v>
      </c>
    </row>
    <row r="9" spans="1:8" x14ac:dyDescent="0.25">
      <c r="A9" s="26" t="s">
        <v>9</v>
      </c>
      <c r="B9" s="27">
        <v>8231</v>
      </c>
      <c r="C9" s="27">
        <v>8325</v>
      </c>
      <c r="D9" s="27">
        <v>8485</v>
      </c>
      <c r="E9" s="27">
        <f>INDEX('Table G.1'!$D$8:$G$17,MATCH('Table G.3'!$A9,'Table G.1'!$A$8:$A$17,0),MATCH('Table G.3'!E$8,'Table G.1'!$D$7:$G$7,0))</f>
        <v>7856</v>
      </c>
      <c r="F9" s="27">
        <f>INDEX('Table G.1'!$D$8:$G$17,MATCH('Table G.3'!$A9,'Table G.1'!$A$8:$A$17,0),MATCH('Table G.3'!F$8,'Table G.1'!$D$7:$G$7,0))</f>
        <v>6571</v>
      </c>
      <c r="G9" s="27">
        <f>INDEX('Table G.1'!$D$8:$G$17,MATCH('Table G.3'!$A9,'Table G.1'!$A$8:$A$17,0),MATCH('Table G.3'!G$8,'Table G.1'!$D$7:$G$7,0))</f>
        <v>5901</v>
      </c>
      <c r="H9" s="27">
        <f>INDEX('Table G.1'!$D$8:$G$17,MATCH('Table G.3'!$A9,'Table G.1'!$A$8:$A$17,0),MATCH('Table G.3'!H$8,'Table G.1'!$D$7:$G$7,0))</f>
        <v>12770.074450468604</v>
      </c>
    </row>
    <row r="10" spans="1:8" x14ac:dyDescent="0.25">
      <c r="A10" s="26" t="s">
        <v>4</v>
      </c>
      <c r="B10" s="27">
        <v>15383</v>
      </c>
      <c r="C10" s="27">
        <v>14751</v>
      </c>
      <c r="D10" s="27">
        <v>15808</v>
      </c>
      <c r="E10" s="27">
        <f>INDEX('Table G.1'!$D$8:$G$17,MATCH('Table G.3'!$A10,'Table G.1'!$A$8:$A$17,0),MATCH('Table G.3'!E$8,'Table G.1'!$D$7:$G$7,0))</f>
        <v>15103</v>
      </c>
      <c r="F10" s="27">
        <f>INDEX('Table G.1'!$D$8:$G$17,MATCH('Table G.3'!$A10,'Table G.1'!$A$8:$A$17,0),MATCH('Table G.3'!F$8,'Table G.1'!$D$7:$G$7,0))</f>
        <v>16326</v>
      </c>
      <c r="G10" s="27">
        <f>INDEX('Table G.1'!$D$8:$G$17,MATCH('Table G.3'!$A10,'Table G.1'!$A$8:$A$17,0),MATCH('Table G.3'!G$8,'Table G.1'!$D$7:$G$7,0))</f>
        <v>13426</v>
      </c>
      <c r="H10" s="27">
        <f>INDEX('Table G.1'!$D$8:$G$17,MATCH('Table G.3'!$A10,'Table G.1'!$A$8:$A$17,0),MATCH('Table G.3'!H$8,'Table G.1'!$D$7:$G$7,0))</f>
        <v>8788</v>
      </c>
    </row>
    <row r="11" spans="1:8" x14ac:dyDescent="0.25">
      <c r="A11" s="26" t="s">
        <v>3</v>
      </c>
      <c r="B11" s="27">
        <v>9653</v>
      </c>
      <c r="C11" s="27">
        <v>9804</v>
      </c>
      <c r="D11" s="27">
        <v>9028</v>
      </c>
      <c r="E11" s="27">
        <f>INDEX('Table G.1'!$D$8:$G$17,MATCH('Table G.3'!$A11,'Table G.1'!$A$8:$A$17,0),MATCH('Table G.3'!E$8,'Table G.1'!$D$7:$G$7,0))</f>
        <v>7929</v>
      </c>
      <c r="F11" s="27">
        <f>INDEX('Table G.1'!$D$8:$G$17,MATCH('Table G.3'!$A11,'Table G.1'!$A$8:$A$17,0),MATCH('Table G.3'!F$8,'Table G.1'!$D$7:$G$7,0))</f>
        <v>12019</v>
      </c>
      <c r="G11" s="27">
        <f>INDEX('Table G.1'!$D$8:$G$17,MATCH('Table G.3'!$A11,'Table G.1'!$A$8:$A$17,0),MATCH('Table G.3'!G$8,'Table G.1'!$D$7:$G$7,0))</f>
        <v>11717</v>
      </c>
      <c r="H11" s="27">
        <f>INDEX('Table G.1'!$D$8:$G$17,MATCH('Table G.3'!$A11,'Table G.1'!$A$8:$A$17,0),MATCH('Table G.3'!H$8,'Table G.1'!$D$7:$G$7,0))</f>
        <v>7426.98</v>
      </c>
    </row>
    <row r="12" spans="1:8" x14ac:dyDescent="0.25">
      <c r="A12" s="26" t="s">
        <v>5</v>
      </c>
      <c r="B12" s="27">
        <v>19047</v>
      </c>
      <c r="C12" s="27">
        <v>20067</v>
      </c>
      <c r="D12" s="27">
        <v>19893</v>
      </c>
      <c r="E12" s="27">
        <f>INDEX('Table G.1'!$D$8:$G$17,MATCH('Table G.3'!$A12,'Table G.1'!$A$8:$A$17,0),MATCH('Table G.3'!E$8,'Table G.1'!$D$7:$G$7,0))</f>
        <v>18184</v>
      </c>
      <c r="F12" s="27">
        <f>INDEX('Table G.1'!$D$8:$G$17,MATCH('Table G.3'!$A12,'Table G.1'!$A$8:$A$17,0),MATCH('Table G.3'!F$8,'Table G.1'!$D$7:$G$7,0))</f>
        <v>19103</v>
      </c>
      <c r="G12" s="27">
        <f>INDEX('Table G.1'!$D$8:$G$17,MATCH('Table G.3'!$A12,'Table G.1'!$A$8:$A$17,0),MATCH('Table G.3'!G$8,'Table G.1'!$D$7:$G$7,0))</f>
        <v>19076</v>
      </c>
      <c r="H12" s="27">
        <f>INDEX('Table G.1'!$D$8:$G$17,MATCH('Table G.3'!$A12,'Table G.1'!$A$8:$A$17,0),MATCH('Table G.3'!H$8,'Table G.1'!$D$7:$G$7,0))</f>
        <v>15054.376077465502</v>
      </c>
    </row>
    <row r="13" spans="1:8" x14ac:dyDescent="0.25">
      <c r="A13" s="26" t="s">
        <v>6</v>
      </c>
      <c r="B13" s="27">
        <v>6927</v>
      </c>
      <c r="C13" s="27">
        <v>9916</v>
      </c>
      <c r="D13" s="27">
        <v>10195</v>
      </c>
      <c r="E13" s="27">
        <f>INDEX('Table G.1'!$D$8:$G$17,MATCH('Table G.3'!$A13,'Table G.1'!$A$8:$A$17,0),MATCH('Table G.3'!E$8,'Table G.1'!$D$7:$G$7,0))</f>
        <v>7622</v>
      </c>
      <c r="F13" s="27">
        <f>INDEX('Table G.1'!$D$8:$G$17,MATCH('Table G.3'!$A13,'Table G.1'!$A$8:$A$17,0),MATCH('Table G.3'!F$8,'Table G.1'!$D$7:$G$7,0))</f>
        <v>7236</v>
      </c>
      <c r="G13" s="27">
        <f>INDEX('Table G.1'!$D$8:$G$17,MATCH('Table G.3'!$A13,'Table G.1'!$A$8:$A$17,0),MATCH('Table G.3'!G$8,'Table G.1'!$D$7:$G$7,0))</f>
        <v>6929</v>
      </c>
      <c r="H13" s="27">
        <f>INDEX('Table G.1'!$D$8:$G$17,MATCH('Table G.3'!$A13,'Table G.1'!$A$8:$A$17,0),MATCH('Table G.3'!H$8,'Table G.1'!$D$7:$G$7,0))</f>
        <v>7570</v>
      </c>
    </row>
    <row r="14" spans="1:8" x14ac:dyDescent="0.25">
      <c r="A14" s="26" t="s">
        <v>7</v>
      </c>
      <c r="B14" s="27">
        <v>332</v>
      </c>
      <c r="C14" s="27">
        <v>319</v>
      </c>
      <c r="D14" s="27">
        <v>292</v>
      </c>
      <c r="E14" s="27">
        <f>INDEX('Table G.1'!$D$8:$G$17,MATCH('Table G.3'!$A14,'Table G.1'!$A$8:$A$17,0),MATCH('Table G.3'!E$8,'Table G.1'!$D$7:$G$7,0))</f>
        <v>336</v>
      </c>
      <c r="F14" s="27">
        <f>INDEX('Table G.1'!$D$8:$G$17,MATCH('Table G.3'!$A14,'Table G.1'!$A$8:$A$17,0),MATCH('Table G.3'!F$8,'Table G.1'!$D$7:$G$7,0))</f>
        <v>333</v>
      </c>
      <c r="G14" s="27">
        <f>INDEX('Table G.1'!$D$8:$G$17,MATCH('Table G.3'!$A14,'Table G.1'!$A$8:$A$17,0),MATCH('Table G.3'!G$8,'Table G.1'!$D$7:$G$7,0))</f>
        <v>324</v>
      </c>
      <c r="H14" s="27">
        <f>INDEX('Table G.1'!$D$8:$G$17,MATCH('Table G.3'!$A14,'Table G.1'!$A$8:$A$17,0),MATCH('Table G.3'!H$8,'Table G.1'!$D$7:$G$7,0))</f>
        <v>283.25592955062285</v>
      </c>
    </row>
    <row r="15" spans="1:8" x14ac:dyDescent="0.25">
      <c r="A15" s="23" t="s">
        <v>14</v>
      </c>
      <c r="B15" s="29">
        <f t="shared" ref="B15:H15" si="1">SUBTOTAL(109,B9:B14)</f>
        <v>59573</v>
      </c>
      <c r="C15" s="29">
        <f t="shared" si="1"/>
        <v>63182</v>
      </c>
      <c r="D15" s="29">
        <f t="shared" si="1"/>
        <v>63701</v>
      </c>
      <c r="E15" s="37">
        <f t="shared" si="1"/>
        <v>57030</v>
      </c>
      <c r="F15" s="37">
        <f t="shared" si="1"/>
        <v>61588</v>
      </c>
      <c r="G15" s="37">
        <f t="shared" si="1"/>
        <v>57373</v>
      </c>
      <c r="H15" s="37">
        <f t="shared" si="1"/>
        <v>51892.686457484728</v>
      </c>
    </row>
    <row r="16" spans="1:8" x14ac:dyDescent="0.25">
      <c r="A16" s="23"/>
      <c r="C16" s="32" t="s">
        <v>29</v>
      </c>
      <c r="D16" s="33" cm="1">
        <f t="array" ref="D16">SUM(B15:H15/SUM(B15:H15,B23:H23))</f>
        <v>0.93067296379656372</v>
      </c>
    </row>
    <row r="17" spans="1:8" x14ac:dyDescent="0.25">
      <c r="A17" s="42" t="s">
        <v>35</v>
      </c>
      <c r="B17" s="42"/>
      <c r="C17" s="42"/>
      <c r="D17" s="42"/>
      <c r="E17" s="42"/>
      <c r="F17" s="42"/>
      <c r="G17" s="42"/>
      <c r="H17" s="42"/>
    </row>
    <row r="18" spans="1:8" x14ac:dyDescent="0.25">
      <c r="A18" s="4" t="s">
        <v>8</v>
      </c>
      <c r="B18" s="4">
        <v>2017</v>
      </c>
      <c r="C18" s="4">
        <v>2018</v>
      </c>
      <c r="D18" s="4">
        <v>2019</v>
      </c>
      <c r="E18" s="25">
        <f t="shared" ref="E18:F18" si="2">F18-1</f>
        <v>2020</v>
      </c>
      <c r="F18" s="25">
        <f t="shared" si="2"/>
        <v>2021</v>
      </c>
      <c r="G18" s="25">
        <f>H18-1</f>
        <v>2022</v>
      </c>
      <c r="H18" s="25">
        <f>'Table G.1'!$B$5</f>
        <v>2023</v>
      </c>
    </row>
    <row r="19" spans="1:8" x14ac:dyDescent="0.25">
      <c r="A19" s="26" t="s">
        <v>1</v>
      </c>
      <c r="B19" s="27">
        <v>116</v>
      </c>
      <c r="C19" s="27">
        <v>110</v>
      </c>
      <c r="D19" s="27">
        <v>101</v>
      </c>
      <c r="E19" s="27">
        <f>INDEX('Table G.1'!$D$8:$G$17,MATCH('Table G.3'!$A19,'Table G.1'!$A$8:$A$17,0),MATCH('Table G.3'!E$8,'Table G.1'!$D$7:$G$7,0))</f>
        <v>95</v>
      </c>
      <c r="F19" s="27">
        <f>INDEX('Table G.1'!$D$8:$G$17,MATCH('Table G.3'!$A19,'Table G.1'!$A$8:$A$17,0),MATCH('Table G.3'!F$8,'Table G.1'!$D$7:$G$7,0))</f>
        <v>113</v>
      </c>
      <c r="G19" s="27">
        <f>INDEX('Table G.1'!$D$8:$G$17,MATCH('Table G.3'!$A19,'Table G.1'!$A$8:$A$17,0),MATCH('Table G.3'!G$8,'Table G.1'!$D$7:$G$7,0))</f>
        <v>85</v>
      </c>
      <c r="H19" s="27">
        <f>INDEX('Table G.1'!$D$8:$G$17,MATCH('Table G.3'!$A19,'Table G.1'!$A$8:$A$17,0),MATCH('Table G.3'!H$8,'Table G.1'!$D$7:$G$7,0))</f>
        <v>132.60037511009634</v>
      </c>
    </row>
    <row r="20" spans="1:8" x14ac:dyDescent="0.25">
      <c r="A20" s="26" t="s">
        <v>0</v>
      </c>
      <c r="B20" s="27">
        <v>54</v>
      </c>
      <c r="C20" s="27">
        <v>33</v>
      </c>
      <c r="D20" s="27">
        <v>63</v>
      </c>
      <c r="E20" s="27">
        <f>INDEX('Table G.1'!$D$8:$G$17,MATCH('Table G.3'!$A20,'Table G.1'!$A$8:$A$17,0),MATCH('Table G.3'!E$8,'Table G.1'!$D$7:$G$7,0))</f>
        <v>66</v>
      </c>
      <c r="F20" s="27">
        <f>INDEX('Table G.1'!$D$8:$G$17,MATCH('Table G.3'!$A20,'Table G.1'!$A$8:$A$17,0),MATCH('Table G.3'!F$8,'Table G.1'!$D$7:$G$7,0))</f>
        <v>71</v>
      </c>
      <c r="G20" s="27">
        <f>INDEX('Table G.1'!$D$8:$G$17,MATCH('Table G.3'!$A20,'Table G.1'!$A$8:$A$17,0),MATCH('Table G.3'!G$8,'Table G.1'!$D$7:$G$7,0))</f>
        <v>47</v>
      </c>
      <c r="H20" s="27">
        <f>INDEX('Table G.1'!$D$8:$G$17,MATCH('Table G.3'!$A20,'Table G.1'!$A$8:$A$17,0),MATCH('Table G.3'!H$8,'Table G.1'!$D$7:$G$7,0))</f>
        <v>44.669629063590413</v>
      </c>
    </row>
    <row r="21" spans="1:8" x14ac:dyDescent="0.25">
      <c r="A21" s="26" t="s">
        <v>2</v>
      </c>
      <c r="B21" s="27">
        <v>100</v>
      </c>
      <c r="C21" s="27">
        <v>205</v>
      </c>
      <c r="D21" s="27">
        <v>281</v>
      </c>
      <c r="E21" s="27">
        <f>INDEX('Table G.1'!$D$8:$G$17,MATCH('Table G.3'!$A21,'Table G.1'!$A$8:$A$17,0),MATCH('Table G.3'!E$8,'Table G.1'!$D$7:$G$7,0))</f>
        <v>409</v>
      </c>
      <c r="F21" s="27">
        <f>INDEX('Table G.1'!$D$8:$G$17,MATCH('Table G.3'!$A21,'Table G.1'!$A$8:$A$17,0),MATCH('Table G.3'!F$8,'Table G.1'!$D$7:$G$7,0))</f>
        <v>339</v>
      </c>
      <c r="G21" s="27">
        <f>INDEX('Table G.1'!$D$8:$G$17,MATCH('Table G.3'!$A21,'Table G.1'!$A$8:$A$17,0),MATCH('Table G.3'!G$8,'Table G.1'!$D$7:$G$7,0))</f>
        <v>454</v>
      </c>
      <c r="H21" s="27">
        <f>INDEX('Table G.1'!$D$8:$G$17,MATCH('Table G.3'!$A21,'Table G.1'!$A$8:$A$17,0),MATCH('Table G.3'!H$8,'Table G.1'!$D$7:$G$7,0))</f>
        <v>183.83065971870582</v>
      </c>
    </row>
    <row r="22" spans="1:8" x14ac:dyDescent="0.25">
      <c r="A22" s="26" t="s">
        <v>44</v>
      </c>
      <c r="B22" s="27">
        <v>2698</v>
      </c>
      <c r="C22" s="27">
        <v>3648</v>
      </c>
      <c r="D22" s="27">
        <v>3894</v>
      </c>
      <c r="E22" s="27">
        <f>INDEX('Table G.1'!$D$8:$G$17,MATCH('Table G.3'!$A22,'Table G.1'!$A$8:$A$17,0),MATCH('Table G.3'!E$8,'Table G.1'!$D$7:$G$7,0))</f>
        <v>4075</v>
      </c>
      <c r="F22" s="27">
        <f>INDEX('Table G.1'!$D$8:$G$17,MATCH('Table G.3'!$A22,'Table G.1'!$A$8:$A$17,0),MATCH('Table G.3'!F$8,'Table G.1'!$D$7:$G$7,0))</f>
        <v>4421</v>
      </c>
      <c r="G22" s="27">
        <f>INDEX('Table G.1'!$D$8:$G$17,MATCH('Table G.3'!$A22,'Table G.1'!$A$8:$A$17,0),MATCH('Table G.3'!G$8,'Table G.1'!$D$7:$G$7,0))</f>
        <v>4591</v>
      </c>
      <c r="H22" s="27">
        <f>INDEX('Table G.1'!$D$8:$G$17,MATCH('Table G.3'!$A22,'Table G.1'!$A$8:$A$17,0),MATCH('Table G.3'!H$8,'Table G.1'!$D$7:$G$7,0))</f>
        <v>4434.6000000000004</v>
      </c>
    </row>
    <row r="23" spans="1:8" x14ac:dyDescent="0.25">
      <c r="A23" s="23" t="s">
        <v>14</v>
      </c>
      <c r="B23" s="29">
        <f t="shared" ref="B23:D23" si="3">SUBTOTAL(109,B19:B22)</f>
        <v>2968</v>
      </c>
      <c r="C23" s="29">
        <f t="shared" si="3"/>
        <v>3996</v>
      </c>
      <c r="D23" s="29">
        <f t="shared" si="3"/>
        <v>4339</v>
      </c>
      <c r="E23" s="38">
        <f t="shared" ref="E23:H23" si="4">SUBTOTAL(109,E19:E22)</f>
        <v>4645</v>
      </c>
      <c r="F23" s="38">
        <f t="shared" si="4"/>
        <v>4944</v>
      </c>
      <c r="G23" s="38">
        <f t="shared" si="4"/>
        <v>5177</v>
      </c>
      <c r="H23" s="38">
        <f t="shared" si="4"/>
        <v>4795.7006638923931</v>
      </c>
    </row>
    <row r="24" spans="1:8" x14ac:dyDescent="0.25">
      <c r="C24" s="32" t="s">
        <v>29</v>
      </c>
      <c r="D24" s="33">
        <f>SUM(B23:H23)/SUM(B15:H15,B23:H23)</f>
        <v>6.9327036203436332E-2</v>
      </c>
      <c r="E24" s="35"/>
      <c r="F24" s="35"/>
      <c r="G24" s="35"/>
      <c r="H24" s="35"/>
    </row>
    <row r="25" spans="1:8" x14ac:dyDescent="0.25">
      <c r="D25" s="36"/>
    </row>
    <row r="26" spans="1:8" x14ac:dyDescent="0.25">
      <c r="B26" s="31"/>
      <c r="C26" s="31"/>
      <c r="D26" s="36"/>
      <c r="E26" s="36"/>
      <c r="F26" s="36"/>
      <c r="G26" s="36"/>
      <c r="H26" s="36"/>
    </row>
  </sheetData>
  <sortState xmlns:xlrd2="http://schemas.microsoft.com/office/spreadsheetml/2017/richdata2" ref="A19:H21">
    <sortCondition ref="A19"/>
  </sortState>
  <mergeCells count="2">
    <mergeCell ref="A7:H7"/>
    <mergeCell ref="A17:H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H13"/>
  <sheetViews>
    <sheetView zoomScaleNormal="100" workbookViewId="0">
      <selection activeCell="F20" sqref="F20"/>
    </sheetView>
  </sheetViews>
  <sheetFormatPr defaultRowHeight="15.75" x14ac:dyDescent="0.25"/>
  <cols>
    <col min="1" max="1" width="18.7109375" style="24" customWidth="1"/>
    <col min="2" max="5" width="10.7109375" style="24" customWidth="1"/>
    <col min="6" max="16384" width="9.140625" style="24"/>
  </cols>
  <sheetData>
    <row r="2" spans="1:8" x14ac:dyDescent="0.25">
      <c r="A2" s="23" t="s">
        <v>15</v>
      </c>
    </row>
    <row r="3" spans="1:8" x14ac:dyDescent="0.25">
      <c r="A3" s="23" t="s">
        <v>25</v>
      </c>
    </row>
    <row r="4" spans="1:8" x14ac:dyDescent="0.25">
      <c r="A4" s="23" t="s">
        <v>34</v>
      </c>
    </row>
    <row r="5" spans="1:8" x14ac:dyDescent="0.25">
      <c r="A5" s="23"/>
    </row>
    <row r="7" spans="1:8" x14ac:dyDescent="0.25">
      <c r="A7" s="4" t="s">
        <v>8</v>
      </c>
      <c r="B7" s="4">
        <v>2017</v>
      </c>
      <c r="C7" s="4">
        <v>2018</v>
      </c>
      <c r="D7" s="4">
        <v>2019</v>
      </c>
      <c r="E7" s="25">
        <f t="shared" ref="E7:F7" si="0">F7-1</f>
        <v>2020</v>
      </c>
      <c r="F7" s="25">
        <f t="shared" si="0"/>
        <v>2021</v>
      </c>
      <c r="G7" s="25">
        <f>H7-1</f>
        <v>2022</v>
      </c>
      <c r="H7" s="25">
        <f>'Table G.1'!B5</f>
        <v>2023</v>
      </c>
    </row>
    <row r="8" spans="1:8" x14ac:dyDescent="0.25">
      <c r="A8" s="26" t="s">
        <v>4</v>
      </c>
      <c r="B8" s="27">
        <v>15383</v>
      </c>
      <c r="C8" s="27">
        <v>14751</v>
      </c>
      <c r="D8" s="27">
        <v>15808</v>
      </c>
      <c r="E8" s="27">
        <f>INDEX('Table G.1'!$D$8:$G$17,MATCH('Table G.4'!$A8,'Table G.1'!$A$8:$A$17,0),MATCH('Table G.4'!E$7,'Table G.1'!$D$7:$G$7,0))</f>
        <v>15103</v>
      </c>
      <c r="F8" s="27">
        <f>INDEX('Table G.1'!$D$8:$G$17,MATCH('Table G.4'!$A8,'Table G.1'!$A$8:$A$17,0),MATCH('Table G.4'!F$7,'Table G.1'!$D$7:$G$7,0))</f>
        <v>16326</v>
      </c>
      <c r="G8" s="27">
        <f>INDEX('Table G.1'!$D$8:$G$17,MATCH('Table G.4'!$A8,'Table G.1'!$A$8:$A$17,0),MATCH('Table G.4'!G$7,'Table G.1'!$D$7:$G$7,0))</f>
        <v>13426</v>
      </c>
      <c r="H8" s="27">
        <f>INDEX('Table G.1'!$D$8:$G$17,MATCH('Table G.4'!$A8,'Table G.1'!$A$8:$A$17,0),MATCH('Table G.4'!H$7,'Table G.1'!$D$7:$G$7,0))</f>
        <v>8788</v>
      </c>
    </row>
    <row r="9" spans="1:8" x14ac:dyDescent="0.25">
      <c r="A9" s="26" t="s">
        <v>3</v>
      </c>
      <c r="B9" s="27">
        <v>9653</v>
      </c>
      <c r="C9" s="27">
        <v>9804</v>
      </c>
      <c r="D9" s="27">
        <v>9028</v>
      </c>
      <c r="E9" s="27">
        <f>INDEX('Table G.1'!$D$8:$G$17,MATCH('Table G.4'!$A9,'Table G.1'!$A$8:$A$17,0),MATCH('Table G.4'!E$7,'Table G.1'!$D$7:$G$7,0))</f>
        <v>7929</v>
      </c>
      <c r="F9" s="27">
        <f>INDEX('Table G.1'!$D$8:$G$17,MATCH('Table G.4'!$A9,'Table G.1'!$A$8:$A$17,0),MATCH('Table G.4'!F$7,'Table G.1'!$D$7:$G$7,0))</f>
        <v>12019</v>
      </c>
      <c r="G9" s="27">
        <f>INDEX('Table G.1'!$D$8:$G$17,MATCH('Table G.4'!$A9,'Table G.1'!$A$8:$A$17,0),MATCH('Table G.4'!G$7,'Table G.1'!$D$7:$G$7,0))</f>
        <v>11717</v>
      </c>
      <c r="H9" s="27">
        <f>INDEX('Table G.1'!$D$8:$G$17,MATCH('Table G.4'!$A9,'Table G.1'!$A$8:$A$17,0),MATCH('Table G.4'!H$7,'Table G.1'!$D$7:$G$7,0))</f>
        <v>7426.98</v>
      </c>
    </row>
    <row r="10" spans="1:8" x14ac:dyDescent="0.25">
      <c r="A10" s="26" t="s">
        <v>6</v>
      </c>
      <c r="B10" s="27">
        <v>6927</v>
      </c>
      <c r="C10" s="27">
        <v>9916</v>
      </c>
      <c r="D10" s="27">
        <v>10195</v>
      </c>
      <c r="E10" s="27">
        <f>INDEX('Table G.1'!$D$8:$G$17,MATCH('Table G.4'!$A10,'Table G.1'!$A$8:$A$17,0),MATCH('Table G.4'!E$7,'Table G.1'!$D$7:$G$7,0))</f>
        <v>7622</v>
      </c>
      <c r="F10" s="27">
        <f>INDEX('Table G.1'!$D$8:$G$17,MATCH('Table G.4'!$A10,'Table G.1'!$A$8:$A$17,0),MATCH('Table G.4'!F$7,'Table G.1'!$D$7:$G$7,0))</f>
        <v>7236</v>
      </c>
      <c r="G10" s="27">
        <f>INDEX('Table G.1'!$D$8:$G$17,MATCH('Table G.4'!$A10,'Table G.1'!$A$8:$A$17,0),MATCH('Table G.4'!G$7,'Table G.1'!$D$7:$G$7,0))</f>
        <v>6929</v>
      </c>
      <c r="H10" s="27">
        <f>INDEX('Table G.1'!$D$8:$G$17,MATCH('Table G.4'!$A10,'Table G.1'!$A$8:$A$17,0),MATCH('Table G.4'!H$7,'Table G.1'!$D$7:$G$7,0))</f>
        <v>7570</v>
      </c>
    </row>
    <row r="11" spans="1:8" x14ac:dyDescent="0.25">
      <c r="A11" s="26" t="s">
        <v>5</v>
      </c>
      <c r="B11" s="27">
        <v>19047</v>
      </c>
      <c r="C11" s="27">
        <v>20067</v>
      </c>
      <c r="D11" s="27">
        <v>19893</v>
      </c>
      <c r="E11" s="27">
        <f>INDEX('Table G.1'!$D$8:$G$17,MATCH('Table G.4'!$A11,'Table G.1'!$A$8:$A$17,0),MATCH('Table G.4'!E$7,'Table G.1'!$D$7:$G$7,0))</f>
        <v>18184</v>
      </c>
      <c r="F11" s="27">
        <f>INDEX('Table G.1'!$D$8:$G$17,MATCH('Table G.4'!$A11,'Table G.1'!$A$8:$A$17,0),MATCH('Table G.4'!F$7,'Table G.1'!$D$7:$G$7,0))</f>
        <v>19103</v>
      </c>
      <c r="G11" s="27">
        <f>INDEX('Table G.1'!$D$8:$G$17,MATCH('Table G.4'!$A11,'Table G.1'!$A$8:$A$17,0),MATCH('Table G.4'!G$7,'Table G.1'!$D$7:$G$7,0))</f>
        <v>19076</v>
      </c>
      <c r="H11" s="27">
        <f>INDEX('Table G.1'!$D$8:$G$17,MATCH('Table G.4'!$A11,'Table G.1'!$A$8:$A$17,0),MATCH('Table G.4'!H$7,'Table G.1'!$D$7:$G$7,0))</f>
        <v>15054.376077465502</v>
      </c>
    </row>
    <row r="12" spans="1:8" x14ac:dyDescent="0.25">
      <c r="A12" s="23" t="s">
        <v>14</v>
      </c>
      <c r="B12" s="29">
        <f>SUBTOTAL(109,B8:B11)</f>
        <v>51010</v>
      </c>
      <c r="C12" s="29">
        <f>SUBTOTAL(109,C8:C11)</f>
        <v>54538</v>
      </c>
      <c r="D12" s="29">
        <f>SUBTOTAL(109,D8:D11)</f>
        <v>54924</v>
      </c>
      <c r="E12" s="38">
        <f t="shared" ref="E12:H12" si="1">SUBTOTAL(109,E8:E11)</f>
        <v>48838</v>
      </c>
      <c r="F12" s="38">
        <f t="shared" si="1"/>
        <v>54684</v>
      </c>
      <c r="G12" s="38">
        <f t="shared" si="1"/>
        <v>51148</v>
      </c>
      <c r="H12" s="38">
        <f t="shared" si="1"/>
        <v>38839.356077465505</v>
      </c>
    </row>
    <row r="13" spans="1:8" x14ac:dyDescent="0.25">
      <c r="C13" s="32" t="s">
        <v>29</v>
      </c>
      <c r="D13" s="33">
        <f>SUM(B12:H12)/SUM('Table G.2'!B13:H13,'Table G.2'!B21:H21)</f>
        <v>0.79577538383576529</v>
      </c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4B8B3F98E054BB8A6FC70FEC31339" ma:contentTypeVersion="4" ma:contentTypeDescription="Create a new document." ma:contentTypeScope="" ma:versionID="de072e132d74719b3d867fb5d98d6c59">
  <xsd:schema xmlns:xsd="http://www.w3.org/2001/XMLSchema" xmlns:xs="http://www.w3.org/2001/XMLSchema" xmlns:p="http://schemas.microsoft.com/office/2006/metadata/properties" xmlns:ns2="a504982d-01ac-4d8e-8698-61e17763bd0c" xmlns:ns3="67de7974-30e9-4e43-b8ca-77321d7e0118" targetNamespace="http://schemas.microsoft.com/office/2006/metadata/properties" ma:root="true" ma:fieldsID="eb90f915928f5086a0f57d5d819fa5e4" ns2:_="" ns3:_="">
    <xsd:import namespace="a504982d-01ac-4d8e-8698-61e17763bd0c"/>
    <xsd:import namespace="67de7974-30e9-4e43-b8ca-77321d7e0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4982d-01ac-4d8e-8698-61e17763b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e7974-30e9-4e43-b8ca-77321d7e0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D932F-7FA8-4C58-8BA8-BFD87B2D1F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1A66F0-DFF6-462F-9EE2-05CFACD3B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1D7ABC-5614-46BE-BCA8-375B1F080E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4982d-01ac-4d8e-8698-61e17763bd0c"/>
    <ds:schemaRef ds:uri="67de7974-30e9-4e43-b8ca-77321d7e0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Table G.1</vt:lpstr>
      <vt:lpstr>Table G.2</vt:lpstr>
      <vt:lpstr>Table G.3</vt:lpstr>
      <vt:lpstr>Table G.4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2015-02-09T23:17:17Z</cp:lastPrinted>
  <dcterms:created xsi:type="dcterms:W3CDTF">2004-04-28T21:57:38Z</dcterms:created>
  <dcterms:modified xsi:type="dcterms:W3CDTF">2025-04-16T20:00:47Z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0x0101001B04B8B3F98E054BB8A6FC70FEC31339</vt:lpwstr>
  </property>
  <property fmtid="{D5CDD505-2E9C-101B-9397-08002B2CF9AE}" pid="3" name="Order">
    <vt:r8>67500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