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Websites\Pscweb\utilities\electric\25docs\2503530\"/>
    </mc:Choice>
  </mc:AlternateContent>
  <xr:revisionPtr revIDLastSave="0" documentId="8_{24A0F37F-F14E-4550-9EF4-702A557F5FDC}" xr6:coauthVersionLast="47" xr6:coauthVersionMax="47" xr10:uidLastSave="{00000000-0000-0000-0000-000000000000}"/>
  <bookViews>
    <workbookView xWindow="3375" yWindow="870" windowWidth="22560" windowHeight="19875" xr2:uid="{00000000-000D-0000-FFFF-FFFF00000000}"/>
  </bookViews>
  <sheets>
    <sheet name="Summary" sheetId="14" r:id="rId1"/>
    <sheet name="Incremental" sheetId="6" r:id="rId2"/>
    <sheet name="Total" sheetId="5" r:id="rId3"/>
    <sheet name="Energy" sheetId="12" r:id="rId4"/>
    <sheet name="Capacity" sheetId="10" r:id="rId5"/>
  </sheets>
  <definedNames>
    <definedName name="_Order1" hidden="1">255</definedName>
    <definedName name="_Order2" hidden="1">0</definedName>
    <definedName name="Discount_Rate" localSheetId="0">Total!$B$41</definedName>
    <definedName name="Discount_Rate">Total!$B$41</definedName>
    <definedName name="_xlnm.Print_Area" localSheetId="4">Capacity!$A$1:$J$38</definedName>
    <definedName name="_xlnm.Print_Area" localSheetId="3">Energy!$A$1:$F$38</definedName>
    <definedName name="_xlnm.Print_Area" localSheetId="1">Incremental!$A$1:$E$38</definedName>
    <definedName name="_xlnm.Print_Area" localSheetId="2">Total!$A$1:$F$43</definedName>
    <definedName name="Study_CF">#REF!</definedName>
    <definedName name="Study_MW">#REF!</definedName>
    <definedName name="Study_Nam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9" i="6" l="1"/>
  <c r="B38" i="6"/>
  <c r="B38" i="5" l="1"/>
  <c r="D7" i="6"/>
  <c r="D7" i="12"/>
  <c r="E8" i="10"/>
  <c r="C8" i="14" l="1"/>
  <c r="E7" i="12" l="1"/>
  <c r="B43" i="12"/>
  <c r="B41" i="12"/>
  <c r="B40" i="12"/>
  <c r="C6" i="14" l="1"/>
  <c r="B3" i="10" l="1"/>
  <c r="B1" i="10"/>
  <c r="H8" i="10" l="1"/>
  <c r="D7" i="5" l="1"/>
  <c r="C7" i="6"/>
  <c r="C5" i="14" s="1"/>
  <c r="B11" i="5" l="1"/>
  <c r="B11" i="6" s="1"/>
  <c r="B35" i="10" l="1"/>
  <c r="B36" i="12"/>
  <c r="E7" i="5" l="1"/>
  <c r="I8" i="10" l="1"/>
  <c r="B4" i="10"/>
  <c r="G11" i="10" l="1"/>
  <c r="B12" i="10"/>
  <c r="G12" i="10" l="1"/>
  <c r="B13" i="10"/>
  <c r="G13" i="10" l="1"/>
  <c r="B14" i="10"/>
  <c r="G14" i="10" l="1"/>
  <c r="B15" i="10"/>
  <c r="G15" i="10" l="1"/>
  <c r="B16" i="10"/>
  <c r="G16" i="10" l="1"/>
  <c r="B17" i="10"/>
  <c r="G17" i="10" l="1"/>
  <c r="B18" i="10"/>
  <c r="G18" i="10" l="1"/>
  <c r="B19" i="10"/>
  <c r="G19" i="10" l="1"/>
  <c r="B20" i="10"/>
  <c r="G20" i="10" l="1"/>
  <c r="B21" i="10"/>
  <c r="G21" i="10" l="1"/>
  <c r="B22" i="10"/>
  <c r="G22" i="10" l="1"/>
  <c r="B23" i="10"/>
  <c r="G23" i="10" l="1"/>
  <c r="B24" i="10"/>
  <c r="G24" i="10" l="1"/>
  <c r="B25" i="10"/>
  <c r="G25" i="10" l="1"/>
  <c r="B31" i="10"/>
  <c r="B26" i="10"/>
  <c r="G26" i="10" l="1"/>
  <c r="B32" i="10"/>
  <c r="B27" i="10"/>
  <c r="B28" i="10" l="1"/>
  <c r="G27" i="10"/>
  <c r="B33" i="10"/>
  <c r="G28" i="10" l="1"/>
  <c r="H28" i="10"/>
  <c r="C7" i="12"/>
  <c r="C8" i="10" s="1"/>
  <c r="C8" i="5" l="1"/>
  <c r="C7" i="5"/>
  <c r="B1" i="12" l="1"/>
  <c r="B3" i="12"/>
  <c r="B35" i="12"/>
  <c r="B12" i="12" l="1"/>
  <c r="C12" i="5" l="1"/>
  <c r="C11" i="5"/>
  <c r="B13" i="12"/>
  <c r="B14" i="12" l="1"/>
  <c r="C14" i="5" l="1"/>
  <c r="C13" i="5"/>
  <c r="B15" i="12"/>
  <c r="C15" i="5" l="1"/>
  <c r="B16" i="12"/>
  <c r="C16" i="5" l="1"/>
  <c r="B17" i="12"/>
  <c r="C17" i="5" l="1"/>
  <c r="B18" i="12"/>
  <c r="C18" i="5" l="1"/>
  <c r="B19" i="12"/>
  <c r="C19" i="5" l="1"/>
  <c r="B20" i="12"/>
  <c r="C20" i="5" l="1"/>
  <c r="B21" i="12"/>
  <c r="C21" i="5" l="1"/>
  <c r="B22" i="12"/>
  <c r="C22" i="5" l="1"/>
  <c r="B23" i="12"/>
  <c r="C23" i="5" l="1"/>
  <c r="B24" i="12"/>
  <c r="C24" i="5" l="1"/>
  <c r="B25" i="12"/>
  <c r="C25" i="5" l="1"/>
  <c r="B26" i="12"/>
  <c r="B31" i="12"/>
  <c r="C26" i="5" l="1"/>
  <c r="B27" i="12"/>
  <c r="B32" i="12"/>
  <c r="B35" i="6"/>
  <c r="B33" i="12" l="1"/>
  <c r="B28" i="12"/>
  <c r="C33" i="12" l="1"/>
  <c r="C27" i="5"/>
  <c r="C28" i="5"/>
  <c r="B10" i="6"/>
  <c r="B3" i="6"/>
  <c r="B1" i="6"/>
  <c r="B12" i="5" l="1"/>
  <c r="B13" i="5" l="1"/>
  <c r="B12" i="6"/>
  <c r="B13" i="6" l="1"/>
  <c r="B14" i="5"/>
  <c r="B4" i="12"/>
  <c r="B4" i="6"/>
  <c r="B4" i="5"/>
  <c r="B14" i="6" l="1"/>
  <c r="B15" i="6" s="1"/>
  <c r="B16" i="6" s="1"/>
  <c r="B17" i="6" s="1"/>
  <c r="B18" i="6" s="1"/>
  <c r="B19" i="6" s="1"/>
  <c r="B20" i="6" s="1"/>
  <c r="B21" i="6" s="1"/>
  <c r="B22" i="6" s="1"/>
  <c r="B23" i="6" s="1"/>
  <c r="B24" i="6" s="1"/>
  <c r="B25" i="6" s="1"/>
  <c r="B31" i="6" s="1"/>
  <c r="D3" i="14" s="1"/>
  <c r="B15" i="5"/>
  <c r="B26" i="6" l="1"/>
  <c r="B32" i="6" s="1"/>
  <c r="F3" i="14" s="1"/>
  <c r="B16" i="5"/>
  <c r="B27" i="6" l="1"/>
  <c r="B17" i="5"/>
  <c r="B33" i="6" l="1"/>
  <c r="H3" i="14" s="1"/>
  <c r="B28" i="6"/>
  <c r="B18" i="5"/>
  <c r="B19" i="5" l="1"/>
  <c r="B20" i="5" l="1"/>
  <c r="B21" i="5" l="1"/>
  <c r="B22" i="5" l="1"/>
  <c r="B23" i="5" l="1"/>
  <c r="B24" i="5" l="1"/>
  <c r="B25" i="5" l="1"/>
  <c r="B31" i="5" s="1"/>
  <c r="B36" i="5"/>
  <c r="B36" i="10" l="1"/>
  <c r="B40" i="10"/>
  <c r="B26" i="5"/>
  <c r="B32" i="5" s="1"/>
  <c r="B36" i="6"/>
  <c r="B27" i="5" l="1"/>
  <c r="B33" i="5" l="1"/>
  <c r="B28" i="5"/>
  <c r="E10" i="6"/>
  <c r="H14" i="10" l="1"/>
  <c r="H15" i="10"/>
  <c r="H16" i="10"/>
  <c r="H17" i="10"/>
  <c r="H12" i="10" l="1"/>
  <c r="H11" i="10"/>
  <c r="H13" i="10"/>
  <c r="H18" i="10" l="1"/>
  <c r="H19" i="10"/>
  <c r="H22" i="10" l="1"/>
  <c r="H20" i="10"/>
  <c r="H21" i="10" l="1"/>
  <c r="H24" i="10" l="1"/>
  <c r="H25" i="10" l="1"/>
  <c r="H23" i="10"/>
  <c r="H26" i="10" l="1"/>
  <c r="H27" i="10" l="1"/>
  <c r="G8" i="10" l="1"/>
  <c r="C32" i="12" l="1"/>
  <c r="B30" i="12"/>
  <c r="C31" i="12"/>
  <c r="B37" i="5" l="1"/>
  <c r="B37" i="6" l="1"/>
  <c r="B37" i="12"/>
  <c r="C33" i="5" l="1"/>
  <c r="H4" i="14" s="1"/>
  <c r="B30" i="5"/>
  <c r="B30" i="6" s="1"/>
  <c r="B41" i="10"/>
  <c r="C31" i="5"/>
  <c r="D4" i="14" s="1"/>
  <c r="C32" i="5"/>
  <c r="F4" i="14" s="1"/>
  <c r="B42" i="6"/>
  <c r="D31" i="10" l="1"/>
  <c r="D32" i="10"/>
  <c r="H33" i="10"/>
  <c r="B30" i="10"/>
  <c r="H31" i="10"/>
  <c r="G33" i="10"/>
  <c r="C32" i="10"/>
  <c r="G31" i="10"/>
  <c r="G32" i="10"/>
  <c r="C33" i="10"/>
  <c r="H32" i="10"/>
  <c r="C31" i="10"/>
  <c r="D33" i="10"/>
  <c r="I13" i="10" l="1"/>
  <c r="I12" i="10"/>
  <c r="I19" i="10" l="1"/>
  <c r="I27" i="10"/>
  <c r="I22" i="10"/>
  <c r="I28" i="10"/>
  <c r="I26" i="10"/>
  <c r="I23" i="10"/>
  <c r="I24" i="10"/>
  <c r="I18" i="10"/>
  <c r="I15" i="10"/>
  <c r="I25" i="10"/>
  <c r="I21" i="10"/>
  <c r="I16" i="10"/>
  <c r="I20" i="10"/>
  <c r="I17" i="10"/>
  <c r="I11" i="10" l="1"/>
  <c r="I14" i="10"/>
  <c r="E33" i="10"/>
  <c r="E31" i="10"/>
  <c r="E32" i="10"/>
  <c r="I31" i="10" l="1"/>
  <c r="I32" i="10"/>
  <c r="I33" i="10"/>
  <c r="D15" i="5" l="1"/>
  <c r="C15" i="6" s="1"/>
  <c r="D20" i="5"/>
  <c r="C20" i="6" s="1"/>
  <c r="D28" i="5"/>
  <c r="C28" i="6" s="1"/>
  <c r="D27" i="5"/>
  <c r="C27" i="6" s="1"/>
  <c r="D14" i="5"/>
  <c r="C14" i="6" s="1"/>
  <c r="D23" i="5"/>
  <c r="C23" i="6" s="1"/>
  <c r="D21" i="5"/>
  <c r="C21" i="6" s="1"/>
  <c r="D17" i="5"/>
  <c r="C17" i="6" s="1"/>
  <c r="D19" i="5"/>
  <c r="C19" i="6" s="1"/>
  <c r="D22" i="5"/>
  <c r="C22" i="6" s="1"/>
  <c r="D26" i="5"/>
  <c r="C26" i="6" s="1"/>
  <c r="D24" i="5"/>
  <c r="C24" i="6" s="1"/>
  <c r="D25" i="5"/>
  <c r="C25" i="6" s="1"/>
  <c r="D18" i="5"/>
  <c r="C18" i="6" s="1"/>
  <c r="D16" i="5"/>
  <c r="C16" i="6" s="1"/>
  <c r="D33" i="12" l="1"/>
  <c r="D13" i="5"/>
  <c r="D11" i="5"/>
  <c r="D31" i="12"/>
  <c r="D12" i="5"/>
  <c r="D32" i="12"/>
  <c r="C11" i="6" l="1"/>
  <c r="D31" i="5"/>
  <c r="C31" i="6" s="1"/>
  <c r="E5" i="14" s="1"/>
  <c r="C13" i="6"/>
  <c r="D33" i="5"/>
  <c r="C33" i="6" s="1"/>
  <c r="I5" i="14" s="1"/>
  <c r="C12" i="6"/>
  <c r="D32" i="5"/>
  <c r="C32" i="6" s="1"/>
  <c r="G5" i="14" s="1"/>
  <c r="E14" i="5" l="1"/>
  <c r="D14" i="6" s="1"/>
  <c r="E14" i="6" s="1"/>
  <c r="E15" i="5"/>
  <c r="D15" i="6" s="1"/>
  <c r="E15" i="6" s="1"/>
  <c r="E16" i="5" l="1"/>
  <c r="D16" i="6" s="1"/>
  <c r="E16" i="6" s="1"/>
  <c r="E11" i="5"/>
  <c r="E13" i="5"/>
  <c r="E12" i="5"/>
  <c r="D12" i="6" l="1"/>
  <c r="E12" i="6" s="1"/>
  <c r="D13" i="6"/>
  <c r="E13" i="6" s="1"/>
  <c r="D11" i="6"/>
  <c r="E11" i="6" s="1"/>
  <c r="E18" i="5" l="1"/>
  <c r="D18" i="6" s="1"/>
  <c r="E18" i="6" s="1"/>
  <c r="E17" i="5"/>
  <c r="D17" i="6" l="1"/>
  <c r="E17" i="6" s="1"/>
  <c r="E20" i="5" l="1"/>
  <c r="D20" i="6" s="1"/>
  <c r="E20" i="6" s="1"/>
  <c r="E19" i="5"/>
  <c r="D19" i="6" l="1"/>
  <c r="E19" i="6" s="1"/>
  <c r="E22" i="5" l="1"/>
  <c r="D22" i="6" s="1"/>
  <c r="E22" i="6" s="1"/>
  <c r="E21" i="5"/>
  <c r="D21" i="6" l="1"/>
  <c r="E21" i="6" s="1"/>
  <c r="E24" i="5" l="1"/>
  <c r="D24" i="6" s="1"/>
  <c r="E24" i="6" s="1"/>
  <c r="E23" i="5"/>
  <c r="D23" i="6" l="1"/>
  <c r="E23" i="6" s="1"/>
  <c r="E25" i="5" l="1"/>
  <c r="E31" i="12"/>
  <c r="E28" i="5" l="1"/>
  <c r="D28" i="6" s="1"/>
  <c r="E28" i="6" s="1"/>
  <c r="E27" i="5"/>
  <c r="E33" i="12"/>
  <c r="D25" i="6"/>
  <c r="E25" i="6" s="1"/>
  <c r="E31" i="5"/>
  <c r="E26" i="5"/>
  <c r="E32" i="12"/>
  <c r="D26" i="6" l="1"/>
  <c r="E26" i="6" s="1"/>
  <c r="E32" i="5"/>
  <c r="D27" i="6"/>
  <c r="E27" i="6" s="1"/>
  <c r="E33" i="5"/>
  <c r="D7" i="14"/>
  <c r="D31" i="6"/>
  <c r="E6" i="14" l="1"/>
  <c r="E31" i="6"/>
  <c r="G31" i="6" s="1"/>
  <c r="D33" i="6"/>
  <c r="H7" i="14"/>
  <c r="D32" i="6"/>
  <c r="F7" i="14"/>
  <c r="E32" i="6" l="1"/>
  <c r="G32" i="6" s="1"/>
  <c r="G6" i="14"/>
  <c r="I6" i="14"/>
  <c r="E33" i="6"/>
  <c r="G33" i="6" s="1"/>
</calcChain>
</file>

<file path=xl/sharedStrings.xml><?xml version="1.0" encoding="utf-8"?>
<sst xmlns="http://schemas.openxmlformats.org/spreadsheetml/2006/main" count="36" uniqueCount="29">
  <si>
    <t>Year</t>
  </si>
  <si>
    <t>Utah Quarterly Compliance Filing</t>
  </si>
  <si>
    <t>$/kW-Year</t>
  </si>
  <si>
    <t>Appendix C</t>
  </si>
  <si>
    <t>Total</t>
  </si>
  <si>
    <t>As Filed</t>
  </si>
  <si>
    <t>$/MWH  (1)</t>
  </si>
  <si>
    <t>Capacity Avoided Cost Prices</t>
  </si>
  <si>
    <t>Total Avoided Cost Prices $/MWH (1) (4)</t>
  </si>
  <si>
    <t>OFPC Date</t>
  </si>
  <si>
    <t>Discount Rate - 2015 IRP Page 141</t>
  </si>
  <si>
    <t>Impact</t>
  </si>
  <si>
    <t>(1)   Studies are sequential.  The order of the studies would affect the price impact.</t>
  </si>
  <si>
    <t>Avoided Cost Impact of Changing Assumptions $/MWH (1)</t>
  </si>
  <si>
    <t>Chck</t>
  </si>
  <si>
    <t>(2)</t>
  </si>
  <si>
    <t>(3)   No Capacity costs - No deferrable thermal resources</t>
  </si>
  <si>
    <t>Capacity Factor</t>
  </si>
  <si>
    <t>Model Calculated Energy Avoided Cost Prices $/MWH (1)</t>
  </si>
  <si>
    <t>Proposed Term:</t>
  </si>
  <si>
    <t>Indicative Thermal QF Avoided Cost, $/MWh</t>
  </si>
  <si>
    <t>2024.Q4</t>
  </si>
  <si>
    <t>2025.Q1</t>
  </si>
  <si>
    <t>OFPC MAR 2025</t>
  </si>
  <si>
    <t xml:space="preserve">       in 2025 Utah IRP Preferred Portfolio.</t>
  </si>
  <si>
    <t>(4)</t>
  </si>
  <si>
    <t>2024.Q4 As Filed</t>
  </si>
  <si>
    <t>2025.Q1 As Filed</t>
  </si>
  <si>
    <t>Discount Rate - 2025 IRP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</si>
</sst>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7" formatCode="&quot;$&quot;#,##0.00_);\(&quot;$&quot;#,##0.00\)"/>
    <numFmt numFmtId="8" formatCode="&quot;$&quot;#,##0.00_);[Red]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_);_(* \(#,##0.00\);_(* &quot;-&quot;_);_(@_)"/>
    <numFmt numFmtId="165" formatCode="_(* #,##0_);[Red]_(* \(#,##0\);_(* &quot;-&quot;_);_(@_)"/>
    <numFmt numFmtId="166" formatCode="_(&quot;$&quot;\ #,##0.00_);[Red]_(&quot;$&quot;\ \(#,##0.00\);_(\ &quot;-&quot;?_);_(@_)"/>
    <numFmt numFmtId="167" formatCode="0.000%"/>
    <numFmt numFmtId="168" formatCode="_(* #,##0.000_);[Red]_(* \(#,##0.000\);_(* &quot;-&quot;_);_(@_)"/>
    <numFmt numFmtId="169" formatCode="&quot;$&quot;###0;[Red]\(&quot;$&quot;###0\)"/>
    <numFmt numFmtId="170" formatCode="0.0"/>
    <numFmt numFmtId="171" formatCode="0.0%"/>
    <numFmt numFmtId="172" formatCode="\'\ \(\2\)\'"/>
    <numFmt numFmtId="173" formatCode="_(&quot;$&quot;\ #,##0.000_);[Red]_(&quot;$&quot;\ \(#,##0.000\);_(\ &quot;-&quot;?_);_(@_)"/>
    <numFmt numFmtId="174" formatCode="#,##0.0000_);[Red]\(#,##0.0000\)"/>
    <numFmt numFmtId="175" formatCode="#,##0.000_);[Red]\(#,##0.000\)"/>
    <numFmt numFmtId="176" formatCode="_(* #,##0.0_);[Red]_(* \(#,##0.0\);_(* &quot;-&quot;_);_(@_)"/>
    <numFmt numFmtId="177" formatCode="_(* #,##0.00_);[Red]_(* \(#,##0.00\);_(* &quot;-&quot;_);_(@_)"/>
  </numFmts>
  <fonts count="14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i/>
      <sz val="8"/>
      <color indexed="18"/>
      <name val="Helv"/>
    </font>
    <font>
      <sz val="10"/>
      <color indexed="12"/>
      <name val="Arial"/>
      <family val="2"/>
    </font>
    <font>
      <sz val="10"/>
      <name val="Times New Roman"/>
      <family val="1"/>
    </font>
    <font>
      <sz val="8"/>
      <name val="Helv"/>
    </font>
    <font>
      <b/>
      <sz val="8"/>
      <name val="Arial"/>
      <family val="2"/>
    </font>
    <font>
      <sz val="8"/>
      <color indexed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9">
    <xf numFmtId="165" fontId="0" fillId="0" borderId="0"/>
    <xf numFmtId="0" fontId="5" fillId="0" borderId="0" applyNumberFormat="0" applyFill="0" applyBorder="0" applyAlignment="0">
      <protection locked="0"/>
    </xf>
    <xf numFmtId="0" fontId="1" fillId="0" borderId="0"/>
    <xf numFmtId="9" fontId="1" fillId="0" borderId="0" applyFont="0" applyFill="0" applyBorder="0" applyAlignment="0" applyProtection="0"/>
    <xf numFmtId="165" fontId="1" fillId="0" borderId="0"/>
    <xf numFmtId="165" fontId="7" fillId="0" borderId="0"/>
    <xf numFmtId="165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9" fontId="8" fillId="0" borderId="0" applyFont="0" applyFill="0" applyBorder="0" applyProtection="0">
      <alignment horizontal="right"/>
    </xf>
    <xf numFmtId="170" fontId="9" fillId="0" borderId="0" applyNumberFormat="0" applyFill="0" applyBorder="0" applyAlignment="0" applyProtection="0"/>
    <xf numFmtId="0" fontId="2" fillId="0" borderId="6" applyNumberFormat="0" applyBorder="0" applyAlignment="0"/>
    <xf numFmtId="171" fontId="1" fillId="0" borderId="0"/>
    <xf numFmtId="12" fontId="3" fillId="3" borderId="7">
      <alignment horizontal="left"/>
    </xf>
    <xf numFmtId="37" fontId="2" fillId="4" borderId="0" applyNumberFormat="0" applyBorder="0" applyAlignment="0" applyProtection="0"/>
    <xf numFmtId="37" fontId="2" fillId="0" borderId="0"/>
    <xf numFmtId="3" fontId="10" fillId="5" borderId="8" applyProtection="0"/>
    <xf numFmtId="43" fontId="11" fillId="0" borderId="0" applyFont="0" applyFill="0" applyBorder="0" applyAlignment="0" applyProtection="0"/>
    <xf numFmtId="41" fontId="7" fillId="0" borderId="0"/>
  </cellStyleXfs>
  <cellXfs count="88">
    <xf numFmtId="165" fontId="0" fillId="0" borderId="0" xfId="0"/>
    <xf numFmtId="165" fontId="4" fillId="0" borderId="0" xfId="0" applyFont="1"/>
    <xf numFmtId="165" fontId="3" fillId="0" borderId="1" xfId="0" applyFont="1" applyBorder="1" applyAlignment="1">
      <alignment horizontal="center"/>
    </xf>
    <xf numFmtId="0" fontId="3" fillId="0" borderId="0" xfId="0" applyNumberFormat="1" applyFont="1" applyAlignment="1">
      <alignment horizontal="center"/>
    </xf>
    <xf numFmtId="1" fontId="1" fillId="0" borderId="0" xfId="2" applyNumberFormat="1" applyAlignment="1" applyProtection="1">
      <alignment horizontal="center"/>
      <protection locked="0"/>
    </xf>
    <xf numFmtId="165" fontId="3" fillId="0" borderId="0" xfId="0" applyFont="1" applyAlignment="1">
      <alignment horizontal="centerContinuous"/>
    </xf>
    <xf numFmtId="165" fontId="3" fillId="0" borderId="4" xfId="0" applyFont="1" applyBorder="1" applyAlignment="1">
      <alignment horizontal="center"/>
    </xf>
    <xf numFmtId="165" fontId="4" fillId="0" borderId="0" xfId="0" quotePrefix="1" applyFont="1"/>
    <xf numFmtId="165" fontId="4" fillId="0" borderId="0" xfId="0" applyFont="1" applyAlignment="1">
      <alignment horizontal="center"/>
    </xf>
    <xf numFmtId="164" fontId="4" fillId="0" borderId="0" xfId="0" applyNumberFormat="1" applyFont="1"/>
    <xf numFmtId="165" fontId="3" fillId="0" borderId="5" xfId="0" applyFont="1" applyBorder="1" applyAlignment="1">
      <alignment horizontal="center"/>
    </xf>
    <xf numFmtId="165" fontId="3" fillId="0" borderId="3" xfId="0" applyFont="1" applyBorder="1"/>
    <xf numFmtId="165" fontId="3" fillId="0" borderId="0" xfId="0" applyFont="1" applyAlignment="1">
      <alignment horizontal="center"/>
    </xf>
    <xf numFmtId="168" fontId="4" fillId="0" borderId="0" xfId="0" applyNumberFormat="1" applyFont="1"/>
    <xf numFmtId="167" fontId="4" fillId="0" borderId="0" xfId="0" applyNumberFormat="1" applyFont="1"/>
    <xf numFmtId="14" fontId="6" fillId="2" borderId="2" xfId="0" applyNumberFormat="1" applyFont="1" applyFill="1" applyBorder="1" applyAlignment="1">
      <alignment horizontal="center"/>
    </xf>
    <xf numFmtId="165" fontId="3" fillId="0" borderId="0" xfId="4" applyFont="1" applyAlignment="1">
      <alignment horizontal="centerContinuous"/>
    </xf>
    <xf numFmtId="165" fontId="4" fillId="0" borderId="0" xfId="4" applyFont="1" applyAlignment="1">
      <alignment horizontal="centerContinuous"/>
    </xf>
    <xf numFmtId="165" fontId="4" fillId="0" borderId="0" xfId="4" applyFont="1"/>
    <xf numFmtId="165" fontId="3" fillId="0" borderId="3" xfId="4" applyFont="1" applyBorder="1"/>
    <xf numFmtId="165" fontId="3" fillId="0" borderId="3" xfId="4" applyFont="1" applyBorder="1" applyAlignment="1">
      <alignment horizontal="centerContinuous"/>
    </xf>
    <xf numFmtId="165" fontId="3" fillId="0" borderId="4" xfId="4" applyFont="1" applyBorder="1" applyAlignment="1">
      <alignment horizontal="center"/>
    </xf>
    <xf numFmtId="165" fontId="3" fillId="0" borderId="2" xfId="4" applyFont="1" applyBorder="1" applyAlignment="1">
      <alignment horizontal="center"/>
    </xf>
    <xf numFmtId="0" fontId="3" fillId="0" borderId="0" xfId="4" applyNumberFormat="1" applyFont="1" applyAlignment="1">
      <alignment horizontal="center"/>
    </xf>
    <xf numFmtId="166" fontId="4" fillId="0" borderId="0" xfId="4" applyNumberFormat="1" applyFont="1" applyAlignment="1">
      <alignment horizontal="center"/>
    </xf>
    <xf numFmtId="7" fontId="4" fillId="0" borderId="0" xfId="4" applyNumberFormat="1" applyFont="1" applyAlignment="1">
      <alignment horizontal="center"/>
    </xf>
    <xf numFmtId="165" fontId="4" fillId="0" borderId="0" xfId="4" quotePrefix="1" applyFont="1"/>
    <xf numFmtId="7" fontId="4" fillId="0" borderId="2" xfId="4" applyNumberFormat="1" applyFont="1" applyBorder="1" applyAlignment="1">
      <alignment horizontal="center"/>
    </xf>
    <xf numFmtId="167" fontId="4" fillId="0" borderId="0" xfId="4" applyNumberFormat="1" applyFont="1" applyAlignment="1">
      <alignment horizontal="center"/>
    </xf>
    <xf numFmtId="167" fontId="4" fillId="0" borderId="0" xfId="3" applyNumberFormat="1" applyFont="1"/>
    <xf numFmtId="167" fontId="4" fillId="0" borderId="0" xfId="4" applyNumberFormat="1" applyFont="1"/>
    <xf numFmtId="8" fontId="4" fillId="0" borderId="0" xfId="4" applyNumberFormat="1" applyFont="1"/>
    <xf numFmtId="165" fontId="3" fillId="0" borderId="5" xfId="4" applyFont="1" applyBorder="1" applyAlignment="1">
      <alignment horizontal="centerContinuous"/>
    </xf>
    <xf numFmtId="8" fontId="4" fillId="0" borderId="0" xfId="17" applyNumberFormat="1" applyFont="1"/>
    <xf numFmtId="165" fontId="3" fillId="0" borderId="5" xfId="4" quotePrefix="1" applyFont="1" applyBorder="1" applyAlignment="1">
      <alignment horizontal="center"/>
    </xf>
    <xf numFmtId="165" fontId="3" fillId="0" borderId="0" xfId="4" quotePrefix="1" applyFont="1" applyAlignment="1">
      <alignment horizontal="centerContinuous"/>
    </xf>
    <xf numFmtId="166" fontId="4" fillId="0" borderId="0" xfId="0" applyNumberFormat="1" applyFont="1"/>
    <xf numFmtId="165" fontId="3" fillId="0" borderId="2" xfId="4" applyFont="1" applyBorder="1" applyAlignment="1">
      <alignment horizontal="center" wrapText="1"/>
    </xf>
    <xf numFmtId="166" fontId="4" fillId="0" borderId="0" xfId="0" quotePrefix="1" applyNumberFormat="1" applyFont="1" applyAlignment="1">
      <alignment horizontal="center"/>
    </xf>
    <xf numFmtId="43" fontId="4" fillId="0" borderId="0" xfId="17" applyFont="1"/>
    <xf numFmtId="8" fontId="4" fillId="0" borderId="0" xfId="0" applyNumberFormat="1" applyFont="1"/>
    <xf numFmtId="173" fontId="4" fillId="0" borderId="0" xfId="0" applyNumberFormat="1" applyFont="1"/>
    <xf numFmtId="166" fontId="4" fillId="0" borderId="0" xfId="0" applyNumberFormat="1" applyFont="1" applyAlignment="1">
      <alignment horizontal="center"/>
    </xf>
    <xf numFmtId="166" fontId="4" fillId="0" borderId="2" xfId="0" applyNumberFormat="1" applyFont="1" applyBorder="1" applyAlignment="1">
      <alignment horizontal="center"/>
    </xf>
    <xf numFmtId="8" fontId="4" fillId="0" borderId="2" xfId="4" applyNumberFormat="1" applyFont="1" applyBorder="1" applyAlignment="1">
      <alignment horizontal="center"/>
    </xf>
    <xf numFmtId="8" fontId="4" fillId="0" borderId="0" xfId="0" applyNumberFormat="1" applyFont="1" applyAlignment="1">
      <alignment horizontal="center"/>
    </xf>
    <xf numFmtId="8" fontId="4" fillId="0" borderId="2" xfId="0" applyNumberFormat="1" applyFont="1" applyBorder="1" applyAlignment="1">
      <alignment horizontal="center"/>
    </xf>
    <xf numFmtId="174" fontId="4" fillId="0" borderId="0" xfId="0" applyNumberFormat="1" applyFont="1"/>
    <xf numFmtId="165" fontId="3" fillId="0" borderId="1" xfId="0" quotePrefix="1" applyFont="1" applyBorder="1" applyAlignment="1">
      <alignment horizontal="center"/>
    </xf>
    <xf numFmtId="175" fontId="4" fillId="0" borderId="0" xfId="0" applyNumberFormat="1" applyFont="1"/>
    <xf numFmtId="172" fontId="3" fillId="0" borderId="1" xfId="0" quotePrefix="1" applyNumberFormat="1" applyFont="1" applyBorder="1" applyAlignment="1">
      <alignment horizontal="center"/>
    </xf>
    <xf numFmtId="165" fontId="4" fillId="0" borderId="9" xfId="4" applyFont="1" applyBorder="1"/>
    <xf numFmtId="0" fontId="3" fillId="0" borderId="9" xfId="4" applyNumberFormat="1" applyFont="1" applyBorder="1" applyAlignment="1">
      <alignment horizontal="center"/>
    </xf>
    <xf numFmtId="165" fontId="12" fillId="6" borderId="0" xfId="4" applyFont="1" applyFill="1"/>
    <xf numFmtId="165" fontId="1" fillId="6" borderId="0" xfId="4" applyFill="1"/>
    <xf numFmtId="165" fontId="1" fillId="0" borderId="0" xfId="4"/>
    <xf numFmtId="165" fontId="1" fillId="6" borderId="0" xfId="4" applyFill="1" applyAlignment="1">
      <alignment horizontal="right"/>
    </xf>
    <xf numFmtId="7" fontId="1" fillId="6" borderId="0" xfId="4" applyNumberFormat="1" applyFill="1"/>
    <xf numFmtId="165" fontId="12" fillId="6" borderId="0" xfId="0" applyFont="1" applyFill="1"/>
    <xf numFmtId="165" fontId="0" fillId="6" borderId="0" xfId="0" applyFill="1"/>
    <xf numFmtId="165" fontId="0" fillId="0" borderId="0" xfId="0" applyAlignment="1">
      <alignment horizontal="right"/>
    </xf>
    <xf numFmtId="8" fontId="0" fillId="0" borderId="0" xfId="7" applyNumberFormat="1" applyFont="1" applyFill="1"/>
    <xf numFmtId="8" fontId="7" fillId="0" borderId="0" xfId="18" applyNumberFormat="1" applyAlignment="1">
      <alignment horizontal="center"/>
    </xf>
    <xf numFmtId="176" fontId="0" fillId="0" borderId="0" xfId="0" applyNumberFormat="1"/>
    <xf numFmtId="165" fontId="4" fillId="0" borderId="10" xfId="4" applyFont="1" applyBorder="1"/>
    <xf numFmtId="8" fontId="4" fillId="0" borderId="10" xfId="4" applyNumberFormat="1" applyFont="1" applyBorder="1" applyAlignment="1">
      <alignment horizontal="center"/>
    </xf>
    <xf numFmtId="165" fontId="3" fillId="0" borderId="1" xfId="4" quotePrefix="1" applyFont="1" applyBorder="1" applyAlignment="1">
      <alignment horizontal="center"/>
    </xf>
    <xf numFmtId="9" fontId="4" fillId="0" borderId="0" xfId="3" applyFont="1"/>
    <xf numFmtId="177" fontId="1" fillId="0" borderId="0" xfId="4" applyNumberFormat="1"/>
    <xf numFmtId="177" fontId="4" fillId="0" borderId="0" xfId="0" applyNumberFormat="1" applyFont="1"/>
    <xf numFmtId="177" fontId="4" fillId="0" borderId="0" xfId="0" applyNumberFormat="1" applyFont="1" applyAlignment="1">
      <alignment horizontal="center"/>
    </xf>
    <xf numFmtId="8" fontId="4" fillId="0" borderId="11" xfId="4" applyNumberFormat="1" applyFont="1" applyBorder="1" applyAlignment="1">
      <alignment horizontal="center"/>
    </xf>
    <xf numFmtId="165" fontId="3" fillId="0" borderId="3" xfId="4" applyFont="1" applyBorder="1" applyAlignment="1">
      <alignment horizontal="center"/>
    </xf>
    <xf numFmtId="8" fontId="4" fillId="0" borderId="9" xfId="4" applyNumberFormat="1" applyFont="1" applyBorder="1" applyAlignment="1">
      <alignment horizontal="center"/>
    </xf>
    <xf numFmtId="165" fontId="3" fillId="0" borderId="12" xfId="4" quotePrefix="1" applyFont="1" applyBorder="1" applyAlignment="1">
      <alignment horizontal="center"/>
    </xf>
    <xf numFmtId="165" fontId="4" fillId="0" borderId="11" xfId="4" applyFont="1" applyBorder="1"/>
    <xf numFmtId="168" fontId="1" fillId="0" borderId="0" xfId="4" applyNumberFormat="1"/>
    <xf numFmtId="165" fontId="13" fillId="6" borderId="0" xfId="4" applyFont="1" applyFill="1"/>
    <xf numFmtId="7" fontId="0" fillId="6" borderId="13" xfId="7" applyNumberFormat="1" applyFont="1" applyFill="1" applyBorder="1" applyAlignment="1">
      <alignment horizontal="center"/>
    </xf>
    <xf numFmtId="7" fontId="0" fillId="6" borderId="14" xfId="7" applyNumberFormat="1" applyFont="1" applyFill="1" applyBorder="1" applyAlignment="1">
      <alignment horizontal="center"/>
    </xf>
    <xf numFmtId="7" fontId="0" fillId="6" borderId="15" xfId="7" applyNumberFormat="1" applyFont="1" applyFill="1" applyBorder="1" applyAlignment="1">
      <alignment horizontal="center"/>
    </xf>
    <xf numFmtId="7" fontId="0" fillId="6" borderId="16" xfId="7" applyNumberFormat="1" applyFont="1" applyFill="1" applyBorder="1" applyAlignment="1">
      <alignment horizontal="center"/>
    </xf>
    <xf numFmtId="7" fontId="0" fillId="6" borderId="17" xfId="7" applyNumberFormat="1" applyFont="1" applyFill="1" applyBorder="1" applyAlignment="1">
      <alignment horizontal="center"/>
    </xf>
    <xf numFmtId="7" fontId="0" fillId="6" borderId="18" xfId="7" applyNumberFormat="1" applyFont="1" applyFill="1" applyBorder="1" applyAlignment="1">
      <alignment horizontal="center"/>
    </xf>
    <xf numFmtId="165" fontId="12" fillId="6" borderId="0" xfId="4" applyFont="1" applyFill="1" applyAlignment="1">
      <alignment horizontal="right"/>
    </xf>
    <xf numFmtId="165" fontId="3" fillId="0" borderId="5" xfId="0" applyFont="1" applyBorder="1" applyAlignment="1">
      <alignment horizontal="center" wrapText="1"/>
    </xf>
    <xf numFmtId="165" fontId="12" fillId="6" borderId="0" xfId="4" applyFont="1" applyFill="1" applyAlignment="1">
      <alignment horizontal="center" vertical="top"/>
    </xf>
    <xf numFmtId="165" fontId="12" fillId="6" borderId="0" xfId="4" applyFont="1" applyFill="1" applyAlignment="1">
      <alignment horizontal="center"/>
    </xf>
  </cellXfs>
  <cellStyles count="19">
    <cellStyle name="Comma" xfId="17" builtinId="3"/>
    <cellStyle name="Comma 2" xfId="7" xr:uid="{00000000-0005-0000-0000-000001000000}"/>
    <cellStyle name="Currency 2" xfId="8" xr:uid="{00000000-0005-0000-0000-000002000000}"/>
    <cellStyle name="Currency No Comma" xfId="9" xr:uid="{00000000-0005-0000-0000-000003000000}"/>
    <cellStyle name="Input" xfId="1" builtinId="20" customBuiltin="1"/>
    <cellStyle name="MCP" xfId="10" xr:uid="{00000000-0005-0000-0000-000005000000}"/>
    <cellStyle name="noninput" xfId="11" xr:uid="{00000000-0005-0000-0000-000006000000}"/>
    <cellStyle name="Normal" xfId="0" builtinId="0" customBuiltin="1"/>
    <cellStyle name="Normal 2" xfId="4" xr:uid="{00000000-0005-0000-0000-000008000000}"/>
    <cellStyle name="Normal 2 2" xfId="6" xr:uid="{00000000-0005-0000-0000-000009000000}"/>
    <cellStyle name="Normal 3" xfId="12" xr:uid="{00000000-0005-0000-0000-00000A000000}"/>
    <cellStyle name="Normal 5" xfId="5" xr:uid="{00000000-0005-0000-0000-00000B000000}"/>
    <cellStyle name="Normal_T-INF-10-15-04-TEMPLATE" xfId="2" xr:uid="{00000000-0005-0000-0000-00000C000000}"/>
    <cellStyle name="Normal_UT 2008.Q2 - Compliance - Appendix B - AC Study_2008 08 05" xfId="18" xr:uid="{00000000-0005-0000-0000-00000D000000}"/>
    <cellStyle name="Password" xfId="13" xr:uid="{00000000-0005-0000-0000-00000E000000}"/>
    <cellStyle name="Percent" xfId="3" builtinId="5"/>
    <cellStyle name="Unprot" xfId="14" xr:uid="{00000000-0005-0000-0000-000010000000}"/>
    <cellStyle name="Unprot$" xfId="15" xr:uid="{00000000-0005-0000-0000-000011000000}"/>
    <cellStyle name="Unprotect" xfId="16" xr:uid="{00000000-0005-0000-0000-00001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2"/>
  </sheetPr>
  <dimension ref="B1:J29"/>
  <sheetViews>
    <sheetView tabSelected="1" zoomScale="80" zoomScaleNormal="80" workbookViewId="0">
      <selection activeCell="C6" sqref="C6"/>
    </sheetView>
  </sheetViews>
  <sheetFormatPr defaultColWidth="9.140625" defaultRowHeight="12.75" x14ac:dyDescent="0.2"/>
  <cols>
    <col min="1" max="1" width="9.140625" style="55"/>
    <col min="2" max="2" width="12.28515625" style="55" customWidth="1"/>
    <col min="3" max="3" width="22" style="55" customWidth="1"/>
    <col min="4" max="4" width="8.28515625" style="55" customWidth="1"/>
    <col min="5" max="5" width="7.42578125" style="55" customWidth="1"/>
    <col min="6" max="6" width="9.140625" style="55" customWidth="1"/>
    <col min="7" max="7" width="7.7109375" style="55" customWidth="1"/>
    <col min="8" max="8" width="8.42578125" style="55" customWidth="1"/>
    <col min="9" max="9" width="7.28515625" style="55" customWidth="1"/>
    <col min="10" max="16384" width="9.140625" style="55"/>
  </cols>
  <sheetData>
    <row r="1" spans="2:10" x14ac:dyDescent="0.2">
      <c r="B1" s="54"/>
      <c r="C1" s="54"/>
      <c r="D1" s="54"/>
      <c r="E1" s="54"/>
      <c r="F1" s="54"/>
      <c r="G1" s="54"/>
      <c r="H1" s="54"/>
      <c r="I1" s="54"/>
      <c r="J1" s="54"/>
    </row>
    <row r="2" spans="2:10" x14ac:dyDescent="0.2">
      <c r="C2" s="53"/>
      <c r="D2" s="87" t="s">
        <v>20</v>
      </c>
      <c r="E2" s="87"/>
      <c r="F2" s="87"/>
      <c r="G2" s="87"/>
      <c r="H2" s="87"/>
      <c r="I2" s="87"/>
      <c r="J2" s="54"/>
    </row>
    <row r="3" spans="2:10" ht="15.75" customHeight="1" thickBot="1" x14ac:dyDescent="0.25">
      <c r="B3" s="54"/>
      <c r="C3" s="84" t="s">
        <v>19</v>
      </c>
      <c r="D3" s="87" t="str">
        <f>Incremental!B31</f>
        <v>2025 - 2039</v>
      </c>
      <c r="E3" s="87"/>
      <c r="F3" s="86" t="str">
        <f>Incremental!B32</f>
        <v>2026 - 2040</v>
      </c>
      <c r="G3" s="86"/>
      <c r="H3" s="86" t="str">
        <f>Incremental!B33</f>
        <v>2027 - 2041</v>
      </c>
      <c r="I3" s="86"/>
      <c r="J3" s="54"/>
    </row>
    <row r="4" spans="2:10" x14ac:dyDescent="0.2">
      <c r="B4" s="54"/>
      <c r="C4" s="54" t="s">
        <v>26</v>
      </c>
      <c r="D4" s="78">
        <f>Total!$C$31</f>
        <v>49.63</v>
      </c>
      <c r="E4" s="79"/>
      <c r="F4" s="78">
        <f>Total!$C$32</f>
        <v>51.82</v>
      </c>
      <c r="G4" s="79"/>
      <c r="H4" s="78">
        <f>Total!$C$33</f>
        <v>53.87</v>
      </c>
      <c r="I4" s="79"/>
      <c r="J4" s="54"/>
    </row>
    <row r="5" spans="2:10" x14ac:dyDescent="0.2">
      <c r="B5" s="54"/>
      <c r="C5" s="56" t="str">
        <f>Incremental!C7</f>
        <v>OFPC MAR 2025</v>
      </c>
      <c r="D5" s="80"/>
      <c r="E5" s="81" t="str">
        <f>TEXT(Incremental!$C$31,"$0.00")</f>
        <v>$0.29</v>
      </c>
      <c r="F5" s="80"/>
      <c r="G5" s="81" t="str">
        <f>TEXT(Incremental!$C$32,"$0.00")</f>
        <v>$0.35</v>
      </c>
      <c r="H5" s="80"/>
      <c r="I5" s="81" t="str">
        <f>TEXT(Incremental!$C$33,"$0.00")</f>
        <v>$0.23</v>
      </c>
      <c r="J5" s="54"/>
    </row>
    <row r="6" spans="2:10" x14ac:dyDescent="0.2">
      <c r="B6" s="54"/>
      <c r="C6" s="56" t="str">
        <f>Incremental!D7</f>
        <v xml:space="preserve">2025 Utah IRP (2025.Q1) </v>
      </c>
      <c r="D6" s="80"/>
      <c r="E6" s="81" t="str">
        <f>TEXT(Incremental!$D$31,"$0.00")</f>
        <v>-$19.15</v>
      </c>
      <c r="F6" s="80"/>
      <c r="G6" s="81" t="str">
        <f>TEXT(Incremental!$D$32,"$0.00")</f>
        <v>-$21.35</v>
      </c>
      <c r="H6" s="80"/>
      <c r="I6" s="81" t="str">
        <f>TEXT(Incremental!$D$33,"$0.00")</f>
        <v>-$23.09</v>
      </c>
      <c r="J6" s="54"/>
    </row>
    <row r="7" spans="2:10" ht="13.5" thickBot="1" x14ac:dyDescent="0.25">
      <c r="B7" s="54"/>
      <c r="C7" s="54" t="s">
        <v>27</v>
      </c>
      <c r="D7" s="82">
        <f>Total!E31</f>
        <v>30.77</v>
      </c>
      <c r="E7" s="83"/>
      <c r="F7" s="82">
        <f>Total!E32</f>
        <v>30.82</v>
      </c>
      <c r="G7" s="83"/>
      <c r="H7" s="82">
        <f>Total!E33</f>
        <v>31.01</v>
      </c>
      <c r="I7" s="83"/>
      <c r="J7" s="54"/>
    </row>
    <row r="8" spans="2:10" x14ac:dyDescent="0.2">
      <c r="B8" s="54"/>
      <c r="C8" s="77" t="str">
        <f>"Nominal Levelized Payment at "&amp;TEXT(Discount_Rate,"0.00%")&amp;" Discount Rate"</f>
        <v>Nominal Levelized Payment at 6.38% Discount Rate</v>
      </c>
      <c r="D8" s="57"/>
      <c r="E8" s="57"/>
      <c r="F8" s="54"/>
      <c r="G8" s="54"/>
      <c r="H8" s="54"/>
      <c r="I8" s="54"/>
      <c r="J8" s="54"/>
    </row>
    <row r="9" spans="2:10" x14ac:dyDescent="0.2">
      <c r="B9" s="54"/>
      <c r="C9" s="54"/>
      <c r="D9" s="57"/>
      <c r="E9" s="57"/>
      <c r="F9" s="54"/>
      <c r="G9" s="54"/>
      <c r="H9" s="54"/>
      <c r="I9" s="54"/>
      <c r="J9" s="54"/>
    </row>
    <row r="10" spans="2:10" x14ac:dyDescent="0.2">
      <c r="D10" s="68"/>
    </row>
    <row r="11" spans="2:10" x14ac:dyDescent="0.2">
      <c r="D11" s="76"/>
    </row>
    <row r="14" spans="2:10" x14ac:dyDescent="0.2">
      <c r="D14" s="68"/>
    </row>
    <row r="21" spans="3:10" x14ac:dyDescent="0.2">
      <c r="C21" s="58"/>
      <c r="D21" s="59"/>
      <c r="E21" s="59"/>
      <c r="F21" s="59"/>
      <c r="G21" s="59"/>
      <c r="H21" s="59"/>
      <c r="I21" s="59"/>
      <c r="J21" s="59"/>
    </row>
    <row r="22" spans="3:10" x14ac:dyDescent="0.2">
      <c r="C22"/>
      <c r="D22"/>
      <c r="E22"/>
      <c r="F22"/>
      <c r="G22"/>
      <c r="H22"/>
      <c r="I22"/>
      <c r="J22"/>
    </row>
    <row r="23" spans="3:10" x14ac:dyDescent="0.2">
      <c r="C23" s="60"/>
      <c r="D23"/>
      <c r="E23" s="61"/>
      <c r="F23" s="62"/>
      <c r="G23" s="62"/>
      <c r="H23"/>
      <c r="I23"/>
      <c r="J23"/>
    </row>
    <row r="24" spans="3:10" x14ac:dyDescent="0.2">
      <c r="C24"/>
      <c r="D24"/>
      <c r="E24" s="61"/>
      <c r="F24" s="61"/>
      <c r="G24" s="61"/>
      <c r="H24" s="63"/>
      <c r="I24" s="63"/>
      <c r="J24" s="63"/>
    </row>
    <row r="25" spans="3:10" x14ac:dyDescent="0.2">
      <c r="C25"/>
      <c r="D25"/>
      <c r="E25" s="61"/>
      <c r="F25" s="61"/>
      <c r="G25" s="61"/>
      <c r="H25" s="63"/>
      <c r="I25" s="63"/>
      <c r="J25" s="63"/>
    </row>
    <row r="26" spans="3:10" x14ac:dyDescent="0.2">
      <c r="C26"/>
      <c r="D26"/>
      <c r="E26" s="61"/>
      <c r="F26" s="61"/>
      <c r="G26" s="61"/>
      <c r="H26" s="63"/>
      <c r="I26" s="63"/>
      <c r="J26" s="63"/>
    </row>
    <row r="27" spans="3:10" x14ac:dyDescent="0.2">
      <c r="C27"/>
      <c r="D27"/>
      <c r="E27" s="61"/>
      <c r="F27" s="61"/>
      <c r="G27" s="61"/>
      <c r="H27" s="63"/>
      <c r="I27" s="63"/>
      <c r="J27" s="63"/>
    </row>
    <row r="28" spans="3:10" x14ac:dyDescent="0.2">
      <c r="C28"/>
      <c r="D28"/>
      <c r="E28" s="61"/>
      <c r="F28" s="61"/>
      <c r="G28" s="61"/>
      <c r="H28" s="63"/>
      <c r="I28" s="63"/>
      <c r="J28" s="63"/>
    </row>
    <row r="29" spans="3:10" x14ac:dyDescent="0.2">
      <c r="C29"/>
      <c r="D29"/>
      <c r="E29" s="61"/>
      <c r="F29" s="61"/>
      <c r="G29" s="61"/>
      <c r="H29" s="63"/>
      <c r="I29" s="63"/>
      <c r="J29" s="63"/>
    </row>
  </sheetData>
  <mergeCells count="4">
    <mergeCell ref="F3:G3"/>
    <mergeCell ref="D2:I2"/>
    <mergeCell ref="D3:E3"/>
    <mergeCell ref="H3:I3"/>
  </mergeCells>
  <pageMargins left="0.7" right="0.7" top="0.75" bottom="0.75" header="0.3" footer="0.3"/>
  <pageSetup scale="8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tabColor indexed="42"/>
    <pageSetUpPr fitToPage="1"/>
  </sheetPr>
  <dimension ref="B1:H42"/>
  <sheetViews>
    <sheetView showGridLines="0" zoomScale="60" zoomScaleNormal="60" workbookViewId="0">
      <pane xSplit="2" ySplit="9" topLeftCell="C11" activePane="bottomRight" state="frozen"/>
      <selection activeCell="E37" sqref="E37"/>
      <selection pane="topRight" activeCell="E37" sqref="E37"/>
      <selection pane="bottomLeft" activeCell="E37" sqref="E37"/>
      <selection pane="bottomRight" activeCell="C13" sqref="C13"/>
    </sheetView>
  </sheetViews>
  <sheetFormatPr defaultColWidth="9.140625" defaultRowHeight="15" x14ac:dyDescent="0.2"/>
  <cols>
    <col min="1" max="1" width="1.85546875" style="1" customWidth="1"/>
    <col min="2" max="2" width="17" style="1" customWidth="1"/>
    <col min="3" max="3" width="22.140625" style="1" bestFit="1" customWidth="1"/>
    <col min="4" max="4" width="26.28515625" style="1" customWidth="1"/>
    <col min="5" max="5" width="15.5703125" style="1" customWidth="1"/>
    <col min="6" max="6" width="21.85546875" style="1" customWidth="1"/>
    <col min="7" max="7" width="11" style="1" customWidth="1"/>
    <col min="8" max="8" width="10.85546875" style="1" bestFit="1" customWidth="1"/>
    <col min="9" max="16384" width="9.140625" style="1"/>
  </cols>
  <sheetData>
    <row r="1" spans="2:8" ht="15.75" x14ac:dyDescent="0.25">
      <c r="B1" s="5" t="str">
        <f>Total!B1</f>
        <v>Appendix C</v>
      </c>
      <c r="C1" s="5"/>
      <c r="D1" s="5"/>
      <c r="E1" s="5"/>
    </row>
    <row r="2" spans="2:8" ht="8.25" customHeight="1" x14ac:dyDescent="0.25">
      <c r="B2" s="5"/>
      <c r="C2" s="5"/>
      <c r="D2" s="5"/>
      <c r="E2" s="5"/>
    </row>
    <row r="3" spans="2:8" ht="15.75" x14ac:dyDescent="0.25">
      <c r="B3" s="5" t="str">
        <f>Total!B3</f>
        <v>Utah Quarterly Compliance Filing</v>
      </c>
      <c r="C3" s="5"/>
      <c r="D3" s="5"/>
      <c r="E3" s="5"/>
    </row>
    <row r="4" spans="2:8" ht="15.75" x14ac:dyDescent="0.25">
      <c r="B4" s="5" t="str">
        <f>Capacity!$B$4</f>
        <v>Step Study between 2025.Q1 and 2024.Q4 Compliance Filing</v>
      </c>
      <c r="C4" s="5"/>
      <c r="D4" s="5"/>
      <c r="E4" s="5"/>
    </row>
    <row r="5" spans="2:8" ht="15.75" x14ac:dyDescent="0.25">
      <c r="B5" s="5" t="s">
        <v>13</v>
      </c>
      <c r="C5" s="5"/>
      <c r="D5" s="5"/>
      <c r="E5" s="5"/>
    </row>
    <row r="6" spans="2:8" x14ac:dyDescent="0.2">
      <c r="E6" s="8"/>
    </row>
    <row r="7" spans="2:8" ht="33" customHeight="1" x14ac:dyDescent="0.25">
      <c r="B7" s="11"/>
      <c r="C7" s="85" t="str">
        <f>Energy!D7</f>
        <v>OFPC MAR 2025</v>
      </c>
      <c r="D7" s="85" t="str">
        <f>Energy!E7</f>
        <v xml:space="preserve">2025 Utah IRP (2025.Q1) </v>
      </c>
      <c r="E7" s="10" t="s">
        <v>4</v>
      </c>
    </row>
    <row r="8" spans="2:8" ht="15.75" x14ac:dyDescent="0.25">
      <c r="B8" s="6" t="s">
        <v>0</v>
      </c>
      <c r="C8" s="50" t="s">
        <v>15</v>
      </c>
      <c r="D8" s="50"/>
      <c r="E8" s="2" t="s">
        <v>11</v>
      </c>
    </row>
    <row r="9" spans="2:8" ht="4.7" customHeight="1" x14ac:dyDescent="0.2"/>
    <row r="10" spans="2:8" ht="15.75" hidden="1" x14ac:dyDescent="0.25">
      <c r="B10" s="3">
        <f>Total!B10</f>
        <v>0</v>
      </c>
      <c r="C10" s="3"/>
      <c r="D10" s="3"/>
      <c r="E10" s="42" t="e">
        <f>SUM(#REF!)</f>
        <v>#REF!</v>
      </c>
      <c r="F10" s="41"/>
      <c r="G10" s="49"/>
      <c r="H10" s="13"/>
    </row>
    <row r="11" spans="2:8" ht="15.75" x14ac:dyDescent="0.25">
      <c r="B11" s="3">
        <f>Total!B11</f>
        <v>2025</v>
      </c>
      <c r="C11" s="42">
        <f>ROUND(Total!D11-Total!C11,3)</f>
        <v>-1.6859999999999999</v>
      </c>
      <c r="D11" s="42">
        <f>ROUND(Total!E11-Total!D11,3)</f>
        <v>-5.032</v>
      </c>
      <c r="E11" s="42">
        <f t="shared" ref="E11:E28" si="0">SUM(C11:D11)</f>
        <v>-6.718</v>
      </c>
      <c r="F11" s="41"/>
      <c r="G11" s="49"/>
      <c r="H11" s="13"/>
    </row>
    <row r="12" spans="2:8" ht="15.75" x14ac:dyDescent="0.25">
      <c r="B12" s="3">
        <f t="shared" ref="B12:B28" si="1">B11+1</f>
        <v>2026</v>
      </c>
      <c r="C12" s="42">
        <f>ROUND(Total!D12-Total!C12,3)</f>
        <v>-8.5999999999999993E-2</v>
      </c>
      <c r="D12" s="42">
        <f>ROUND(Total!E12-Total!D12,3)</f>
        <v>-10.494999999999999</v>
      </c>
      <c r="E12" s="42">
        <f t="shared" si="0"/>
        <v>-10.581</v>
      </c>
      <c r="F12" s="41"/>
      <c r="G12" s="49"/>
      <c r="H12" s="13"/>
    </row>
    <row r="13" spans="2:8" ht="15.75" x14ac:dyDescent="0.25">
      <c r="B13" s="3">
        <f t="shared" si="1"/>
        <v>2027</v>
      </c>
      <c r="C13" s="42">
        <f>ROUND(Total!D13-Total!C13,3)</f>
        <v>-3.37</v>
      </c>
      <c r="D13" s="42">
        <f>ROUND(Total!E13-Total!D13,3)</f>
        <v>-11.564</v>
      </c>
      <c r="E13" s="42">
        <f t="shared" si="0"/>
        <v>-14.934000000000001</v>
      </c>
      <c r="F13" s="41"/>
      <c r="G13" s="49"/>
      <c r="H13" s="13"/>
    </row>
    <row r="14" spans="2:8" ht="15.75" x14ac:dyDescent="0.25">
      <c r="B14" s="3">
        <f t="shared" si="1"/>
        <v>2028</v>
      </c>
      <c r="C14" s="42">
        <f>ROUND(Total!D14-Total!C14,3)</f>
        <v>-1.44</v>
      </c>
      <c r="D14" s="42">
        <f>ROUND(Total!E14-Total!D14,3)</f>
        <v>-13.164999999999999</v>
      </c>
      <c r="E14" s="42">
        <f t="shared" si="0"/>
        <v>-14.604999999999999</v>
      </c>
      <c r="F14" s="41"/>
      <c r="G14" s="49"/>
      <c r="H14" s="13"/>
    </row>
    <row r="15" spans="2:8" ht="15.75" x14ac:dyDescent="0.25">
      <c r="B15" s="3">
        <f t="shared" si="1"/>
        <v>2029</v>
      </c>
      <c r="C15" s="42">
        <f>ROUND(Total!D15-Total!C15,3)</f>
        <v>2.91</v>
      </c>
      <c r="D15" s="42">
        <f>ROUND(Total!E15-Total!D15,3)</f>
        <v>-21.582999999999998</v>
      </c>
      <c r="E15" s="42">
        <f t="shared" si="0"/>
        <v>-18.672999999999998</v>
      </c>
      <c r="F15" s="41"/>
      <c r="G15" s="49"/>
      <c r="H15" s="13"/>
    </row>
    <row r="16" spans="2:8" ht="15.75" x14ac:dyDescent="0.25">
      <c r="B16" s="3">
        <f t="shared" si="1"/>
        <v>2030</v>
      </c>
      <c r="C16" s="42">
        <f>ROUND(Total!D16-Total!C16,3)</f>
        <v>4.2380000000000004</v>
      </c>
      <c r="D16" s="42">
        <f>ROUND(Total!E16-Total!D16,3)</f>
        <v>-23.760999999999999</v>
      </c>
      <c r="E16" s="42">
        <f t="shared" si="0"/>
        <v>-19.523</v>
      </c>
      <c r="F16" s="41"/>
      <c r="G16" s="49"/>
      <c r="H16" s="13"/>
    </row>
    <row r="17" spans="2:8" ht="15.75" x14ac:dyDescent="0.25">
      <c r="B17" s="3">
        <f t="shared" si="1"/>
        <v>2031</v>
      </c>
      <c r="C17" s="42">
        <f>ROUND(Total!D17-Total!C17,3)</f>
        <v>3.1819999999999999</v>
      </c>
      <c r="D17" s="42">
        <f>ROUND(Total!E17-Total!D17,3)</f>
        <v>-23.928999999999998</v>
      </c>
      <c r="E17" s="42">
        <f t="shared" si="0"/>
        <v>-20.747</v>
      </c>
      <c r="F17" s="41"/>
      <c r="G17" s="49"/>
      <c r="H17" s="13"/>
    </row>
    <row r="18" spans="2:8" ht="15.75" x14ac:dyDescent="0.25">
      <c r="B18" s="3">
        <f t="shared" si="1"/>
        <v>2032</v>
      </c>
      <c r="C18" s="42">
        <f>ROUND(Total!D18-Total!C18,3)</f>
        <v>2.379</v>
      </c>
      <c r="D18" s="42">
        <f>ROUND(Total!E18-Total!D18,3)</f>
        <v>-21.803999999999998</v>
      </c>
      <c r="E18" s="42">
        <f t="shared" si="0"/>
        <v>-19.424999999999997</v>
      </c>
      <c r="F18" s="41"/>
      <c r="G18" s="49"/>
      <c r="H18" s="13"/>
    </row>
    <row r="19" spans="2:8" ht="15.75" x14ac:dyDescent="0.25">
      <c r="B19" s="3">
        <f t="shared" si="1"/>
        <v>2033</v>
      </c>
      <c r="C19" s="42">
        <f>ROUND(Total!D19-Total!C19,3)</f>
        <v>1.3169999999999999</v>
      </c>
      <c r="D19" s="42">
        <f>ROUND(Total!E19-Total!D19,3)</f>
        <v>-18.074000000000002</v>
      </c>
      <c r="E19" s="42">
        <f t="shared" si="0"/>
        <v>-16.757000000000001</v>
      </c>
      <c r="F19" s="41"/>
      <c r="G19" s="49"/>
      <c r="H19" s="13"/>
    </row>
    <row r="20" spans="2:8" ht="15.75" x14ac:dyDescent="0.25">
      <c r="B20" s="3">
        <f t="shared" si="1"/>
        <v>2034</v>
      </c>
      <c r="C20" s="42">
        <f>ROUND(Total!D20-Total!C20,3)</f>
        <v>0.73799999999999999</v>
      </c>
      <c r="D20" s="42">
        <f>ROUND(Total!E20-Total!D20,3)</f>
        <v>-18.928000000000001</v>
      </c>
      <c r="E20" s="42">
        <f t="shared" si="0"/>
        <v>-18.190000000000001</v>
      </c>
      <c r="F20" s="41"/>
      <c r="G20" s="49"/>
      <c r="H20" s="13"/>
    </row>
    <row r="21" spans="2:8" ht="15.75" x14ac:dyDescent="0.25">
      <c r="B21" s="3">
        <f t="shared" si="1"/>
        <v>2035</v>
      </c>
      <c r="C21" s="42">
        <f>ROUND(Total!D21-Total!C21,3)</f>
        <v>-8.1000000000000003E-2</v>
      </c>
      <c r="D21" s="42">
        <f>ROUND(Total!E21-Total!D21,3)</f>
        <v>-20.350999999999999</v>
      </c>
      <c r="E21" s="42">
        <f t="shared" si="0"/>
        <v>-20.431999999999999</v>
      </c>
      <c r="F21" s="41"/>
      <c r="G21" s="49"/>
      <c r="H21" s="13"/>
    </row>
    <row r="22" spans="2:8" ht="15.75" x14ac:dyDescent="0.25">
      <c r="B22" s="3">
        <f t="shared" si="1"/>
        <v>2036</v>
      </c>
      <c r="C22" s="42">
        <f>ROUND(Total!D22-Total!C22,3)</f>
        <v>-0.218</v>
      </c>
      <c r="D22" s="42">
        <f>ROUND(Total!E22-Total!D22,3)</f>
        <v>-34.954999999999998</v>
      </c>
      <c r="E22" s="42">
        <f t="shared" si="0"/>
        <v>-35.173000000000002</v>
      </c>
      <c r="F22" s="41"/>
      <c r="G22" s="49"/>
      <c r="H22" s="13"/>
    </row>
    <row r="23" spans="2:8" ht="15.75" x14ac:dyDescent="0.25">
      <c r="B23" s="3">
        <f t="shared" si="1"/>
        <v>2037</v>
      </c>
      <c r="C23" s="42">
        <f>ROUND(Total!D23-Total!C23,3)</f>
        <v>-0.435</v>
      </c>
      <c r="D23" s="42">
        <f>ROUND(Total!E23-Total!D23,3)</f>
        <v>-30.661999999999999</v>
      </c>
      <c r="E23" s="42">
        <f t="shared" si="0"/>
        <v>-31.096999999999998</v>
      </c>
      <c r="F23" s="41"/>
      <c r="G23" s="49"/>
      <c r="H23" s="13"/>
    </row>
    <row r="24" spans="2:8" ht="15.75" x14ac:dyDescent="0.25">
      <c r="B24" s="3">
        <f t="shared" si="1"/>
        <v>2038</v>
      </c>
      <c r="C24" s="42">
        <f>ROUND(Total!D24-Total!C24,3)</f>
        <v>-0.50900000000000001</v>
      </c>
      <c r="D24" s="42">
        <f>ROUND(Total!E24-Total!D24,3)</f>
        <v>-30.645</v>
      </c>
      <c r="E24" s="42">
        <f t="shared" si="0"/>
        <v>-31.154</v>
      </c>
      <c r="F24" s="41"/>
      <c r="G24" s="49"/>
      <c r="H24" s="13"/>
    </row>
    <row r="25" spans="2:8" ht="15.75" x14ac:dyDescent="0.25">
      <c r="B25" s="3">
        <f t="shared" si="1"/>
        <v>2039</v>
      </c>
      <c r="C25" s="42">
        <f>ROUND(Total!D25-Total!C25,3)</f>
        <v>-1.962</v>
      </c>
      <c r="D25" s="42">
        <f>ROUND(Total!E25-Total!D25,3)</f>
        <v>-31.417000000000002</v>
      </c>
      <c r="E25" s="42">
        <f t="shared" si="0"/>
        <v>-33.379000000000005</v>
      </c>
      <c r="F25" s="41"/>
      <c r="G25" s="49"/>
      <c r="H25" s="13"/>
    </row>
    <row r="26" spans="2:8" ht="15.75" x14ac:dyDescent="0.25">
      <c r="B26" s="3">
        <f t="shared" si="1"/>
        <v>2040</v>
      </c>
      <c r="C26" s="42">
        <f>ROUND(Total!D26-Total!C26,3)</f>
        <v>-3.5910000000000002</v>
      </c>
      <c r="D26" s="42">
        <f>ROUND(Total!E26-Total!D26,3)</f>
        <v>-35.951000000000001</v>
      </c>
      <c r="E26" s="42">
        <f t="shared" si="0"/>
        <v>-39.542000000000002</v>
      </c>
      <c r="F26" s="41"/>
      <c r="G26" s="49"/>
      <c r="H26" s="13"/>
    </row>
    <row r="27" spans="2:8" ht="15.75" x14ac:dyDescent="0.25">
      <c r="B27" s="3">
        <f t="shared" si="1"/>
        <v>2041</v>
      </c>
      <c r="C27" s="42">
        <f>ROUND(Total!D27-Total!C27,3)</f>
        <v>-3.61</v>
      </c>
      <c r="D27" s="42">
        <f>ROUND(Total!E27-Total!D27,3)</f>
        <v>-35.640999999999998</v>
      </c>
      <c r="E27" s="42">
        <f t="shared" si="0"/>
        <v>-39.250999999999998</v>
      </c>
      <c r="F27" s="41"/>
      <c r="G27" s="49"/>
      <c r="H27" s="13"/>
    </row>
    <row r="28" spans="2:8" ht="15.75" x14ac:dyDescent="0.25">
      <c r="B28" s="3">
        <f t="shared" si="1"/>
        <v>2042</v>
      </c>
      <c r="C28" s="42">
        <f>ROUND(Total!D28-Total!C28,3)</f>
        <v>-4.4950000000000001</v>
      </c>
      <c r="D28" s="42">
        <f>ROUND(Total!E28-Total!D28,3)</f>
        <v>-28.247</v>
      </c>
      <c r="E28" s="42">
        <f t="shared" si="0"/>
        <v>-32.741999999999997</v>
      </c>
      <c r="F28" s="41"/>
      <c r="G28" s="49"/>
      <c r="H28" s="13"/>
    </row>
    <row r="29" spans="2:8" x14ac:dyDescent="0.2">
      <c r="C29" s="36"/>
      <c r="D29" s="36"/>
      <c r="E29" s="36"/>
      <c r="F29" s="41"/>
    </row>
    <row r="30" spans="2:8" x14ac:dyDescent="0.2">
      <c r="B30" s="1" t="str">
        <f>Total!B30</f>
        <v>Nominal Levelized Payment at 6.380% Discount Rate (3)</v>
      </c>
      <c r="C30" s="42"/>
      <c r="D30" s="42"/>
      <c r="E30" s="42"/>
      <c r="F30" s="41"/>
      <c r="G30" s="1" t="s">
        <v>14</v>
      </c>
    </row>
    <row r="31" spans="2:8" x14ac:dyDescent="0.2">
      <c r="B31" s="7" t="str">
        <f>B11&amp;" - "&amp;B25</f>
        <v>2025 - 2039</v>
      </c>
      <c r="C31" s="43">
        <f>ROUND(Total!D31-Total!C31,3)</f>
        <v>0.28999999999999998</v>
      </c>
      <c r="D31" s="43">
        <f>ROUND(Total!E31-Total!D31,3)</f>
        <v>-19.149999999999999</v>
      </c>
      <c r="E31" s="43">
        <f>SUM(C31:D31)</f>
        <v>-18.86</v>
      </c>
      <c r="F31" s="41"/>
      <c r="G31" s="47">
        <f>SUM(C31:D31)-E31</f>
        <v>0</v>
      </c>
    </row>
    <row r="32" spans="2:8" x14ac:dyDescent="0.2">
      <c r="B32" s="7" t="str">
        <f>B12&amp;" - "&amp;B26</f>
        <v>2026 - 2040</v>
      </c>
      <c r="C32" s="43">
        <f>ROUND(Total!D32-Total!C32,3)</f>
        <v>0.35</v>
      </c>
      <c r="D32" s="43">
        <f>ROUND(Total!E32-Total!D32,3)</f>
        <v>-21.35</v>
      </c>
      <c r="E32" s="43">
        <f>SUM(C32:D32)</f>
        <v>-21</v>
      </c>
      <c r="F32" s="41"/>
      <c r="G32" s="47">
        <f>SUM(C32:D32)-E32</f>
        <v>0</v>
      </c>
    </row>
    <row r="33" spans="2:7" x14ac:dyDescent="0.2">
      <c r="B33" s="7" t="str">
        <f>B13&amp;" - "&amp;B27</f>
        <v>2027 - 2041</v>
      </c>
      <c r="C33" s="43">
        <f>ROUND(Total!D33-Total!C33,3)</f>
        <v>0.23</v>
      </c>
      <c r="D33" s="43">
        <f>ROUND(Total!E33-Total!D33,3)</f>
        <v>-23.09</v>
      </c>
      <c r="E33" s="43">
        <f>SUM(C33:D33)</f>
        <v>-22.86</v>
      </c>
      <c r="F33" s="41"/>
      <c r="G33" s="47">
        <f>SUM(C33:D33)-E33</f>
        <v>0</v>
      </c>
    </row>
    <row r="34" spans="2:7" x14ac:dyDescent="0.2">
      <c r="E34" s="38"/>
    </row>
    <row r="35" spans="2:7" x14ac:dyDescent="0.2">
      <c r="B35" s="1" t="str">
        <f>Total!B35</f>
        <v>(1)   Studies are sequential.  The order of the studies would affect the price impact.</v>
      </c>
      <c r="E35" s="36"/>
    </row>
    <row r="36" spans="2:7" x14ac:dyDescent="0.2">
      <c r="B36" s="1" t="str">
        <f>Total!B36</f>
        <v>(2)   Official Forward Price Curve Dated March 2025</v>
      </c>
    </row>
    <row r="37" spans="2:7" x14ac:dyDescent="0.2">
      <c r="B37" s="1" t="str">
        <f>Total!B37</f>
        <v>(3)   Discount Rate - 2025 IRP - Calculated Annually</v>
      </c>
    </row>
    <row r="38" spans="2:7" x14ac:dyDescent="0.2">
      <c r="B38" s="1" t="str">
        <f>Total!B38</f>
        <v>(4)   Avoided Capacity costs are zero since there is no thermal proxy resources available to defer</v>
      </c>
    </row>
    <row r="39" spans="2:7" x14ac:dyDescent="0.2">
      <c r="B39" s="1" t="str">
        <f>Total!B39</f>
        <v xml:space="preserve">       in 2025 Utah IRP Preferred Portfolio.</v>
      </c>
    </row>
    <row r="41" spans="2:7" hidden="1" x14ac:dyDescent="0.2">
      <c r="B41" s="1" t="s">
        <v>10</v>
      </c>
    </row>
    <row r="42" spans="2:7" hidden="1" x14ac:dyDescent="0.2">
      <c r="B42" s="29">
        <f>Discount_Rate</f>
        <v>6.3799999999999996E-2</v>
      </c>
      <c r="C42" s="29"/>
      <c r="D42" s="29"/>
    </row>
  </sheetData>
  <phoneticPr fontId="2" type="noConversion"/>
  <printOptions horizontalCentered="1"/>
  <pageMargins left="0.25" right="0.25" top="0.75" bottom="0.75" header="0.3" footer="0.2"/>
  <pageSetup scale="96" orientation="landscape" r:id="rId1"/>
  <headerFooter alignWithMargins="0">
    <oddFooter>&amp;L&amp;8NPC Group - &amp;F   ( &amp;A )&amp;C&amp;8Page &amp;P of &amp;N&amp;R&amp;8&amp;D 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>
    <tabColor indexed="42"/>
    <pageSetUpPr fitToPage="1"/>
  </sheetPr>
  <dimension ref="B1:N45"/>
  <sheetViews>
    <sheetView zoomScale="70" zoomScaleNormal="70" zoomScaleSheetLayoutView="70" workbookViewId="0">
      <pane xSplit="2" ySplit="9" topLeftCell="C10" activePane="bottomRight" state="frozen"/>
      <selection activeCell="E37" sqref="E37"/>
      <selection pane="topRight" activeCell="E37" sqref="E37"/>
      <selection pane="bottomLeft" activeCell="E37" sqref="E37"/>
      <selection pane="bottomRight" activeCell="B38" sqref="B38"/>
    </sheetView>
  </sheetViews>
  <sheetFormatPr defaultColWidth="9.140625" defaultRowHeight="15" x14ac:dyDescent="0.2"/>
  <cols>
    <col min="1" max="1" width="1.85546875" style="1" customWidth="1"/>
    <col min="2" max="2" width="18.7109375" style="1" customWidth="1"/>
    <col min="3" max="3" width="17.7109375" style="1" customWidth="1"/>
    <col min="4" max="4" width="21.7109375" style="1" bestFit="1" customWidth="1"/>
    <col min="5" max="5" width="26.140625" style="1" customWidth="1"/>
    <col min="6" max="6" width="26.5703125" style="1" customWidth="1"/>
    <col min="7" max="7" width="11.5703125" style="1" customWidth="1"/>
    <col min="8" max="8" width="16.42578125" style="1" customWidth="1"/>
    <col min="9" max="9" width="13.85546875" style="1" customWidth="1"/>
    <col min="10" max="12" width="9.140625" style="1"/>
    <col min="13" max="13" width="10.28515625" style="1" customWidth="1"/>
    <col min="14" max="16384" width="9.140625" style="1"/>
  </cols>
  <sheetData>
    <row r="1" spans="2:14" ht="15.75" x14ac:dyDescent="0.25">
      <c r="B1" s="5" t="s">
        <v>3</v>
      </c>
      <c r="C1" s="5"/>
      <c r="D1" s="5"/>
      <c r="E1" s="5"/>
    </row>
    <row r="2" spans="2:14" ht="8.25" customHeight="1" x14ac:dyDescent="0.25">
      <c r="B2" s="5"/>
      <c r="C2" s="5"/>
      <c r="D2" s="5"/>
      <c r="E2" s="5"/>
    </row>
    <row r="3" spans="2:14" ht="15.75" x14ac:dyDescent="0.25">
      <c r="B3" s="5" t="s">
        <v>1</v>
      </c>
      <c r="C3" s="5"/>
      <c r="D3" s="5"/>
      <c r="E3" s="5"/>
    </row>
    <row r="4" spans="2:14" ht="15.75" x14ac:dyDescent="0.25">
      <c r="B4" s="5" t="str">
        <f>Capacity!$B$4</f>
        <v>Step Study between 2025.Q1 and 2024.Q4 Compliance Filing</v>
      </c>
      <c r="C4" s="5"/>
      <c r="D4" s="5"/>
      <c r="E4" s="5"/>
    </row>
    <row r="5" spans="2:14" ht="15.75" x14ac:dyDescent="0.25">
      <c r="B5" s="5" t="s">
        <v>8</v>
      </c>
      <c r="C5" s="5"/>
      <c r="D5" s="5"/>
      <c r="E5" s="5"/>
    </row>
    <row r="6" spans="2:14" ht="15.75" x14ac:dyDescent="0.25">
      <c r="B6" s="5"/>
      <c r="C6" s="5"/>
      <c r="D6" s="5"/>
      <c r="E6" s="12"/>
    </row>
    <row r="7" spans="2:14" ht="31.5" customHeight="1" x14ac:dyDescent="0.25">
      <c r="B7" s="11"/>
      <c r="C7" s="10" t="str">
        <f>Energy!C7</f>
        <v>2024.Q4</v>
      </c>
      <c r="D7" s="85" t="str">
        <f>Energy!D7</f>
        <v>OFPC MAR 2025</v>
      </c>
      <c r="E7" s="85" t="str">
        <f>Energy!E7</f>
        <v xml:space="preserve">2025 Utah IRP (2025.Q1) </v>
      </c>
    </row>
    <row r="8" spans="2:14" ht="16.5" customHeight="1" x14ac:dyDescent="0.25">
      <c r="B8" s="6" t="s">
        <v>0</v>
      </c>
      <c r="C8" s="2" t="str">
        <f>Energy!C8</f>
        <v>As Filed</v>
      </c>
      <c r="D8" s="48" t="s">
        <v>15</v>
      </c>
      <c r="E8" s="48" t="s">
        <v>25</v>
      </c>
    </row>
    <row r="9" spans="2:14" ht="15.75" x14ac:dyDescent="0.25">
      <c r="D9" s="48"/>
    </row>
    <row r="10" spans="2:14" ht="5.25" customHeight="1" x14ac:dyDescent="0.25">
      <c r="B10" s="3"/>
      <c r="C10" s="45"/>
      <c r="D10" s="45"/>
      <c r="E10" s="45"/>
      <c r="G10" s="33"/>
      <c r="H10" s="39"/>
      <c r="I10" s="33"/>
      <c r="J10" s="33"/>
      <c r="K10" s="33"/>
      <c r="L10" s="33"/>
      <c r="M10" s="33"/>
    </row>
    <row r="11" spans="2:14" ht="19.5" customHeight="1" x14ac:dyDescent="0.25">
      <c r="B11" s="3">
        <f>Energy!B11</f>
        <v>2025</v>
      </c>
      <c r="C11" s="45">
        <f>ROUND(Capacity!$G11+Energy!C11,3)</f>
        <v>35.968000000000004</v>
      </c>
      <c r="D11" s="45">
        <f>ROUND(Capacity!H11+Energy!D11,3)</f>
        <v>34.281999999999996</v>
      </c>
      <c r="E11" s="45">
        <f>ROUND(Capacity!I11+Energy!E11,3)</f>
        <v>29.25</v>
      </c>
      <c r="F11" s="47"/>
      <c r="G11" s="47"/>
      <c r="H11" s="47"/>
      <c r="I11" s="47"/>
      <c r="J11" s="33"/>
      <c r="K11" s="33"/>
      <c r="L11" s="33"/>
      <c r="M11" s="33"/>
    </row>
    <row r="12" spans="2:14" ht="18" customHeight="1" x14ac:dyDescent="0.25">
      <c r="B12" s="3">
        <f t="shared" ref="B12:B28" si="0">B11+1</f>
        <v>2026</v>
      </c>
      <c r="C12" s="45">
        <f>ROUND(Capacity!$G12+Energy!C12,3)</f>
        <v>40.18</v>
      </c>
      <c r="D12" s="45">
        <f>ROUND(Capacity!H12+Energy!D12,3)</f>
        <v>40.094000000000001</v>
      </c>
      <c r="E12" s="45">
        <f>ROUND(Capacity!I12+Energy!E12,3)</f>
        <v>29.599</v>
      </c>
      <c r="F12" s="47"/>
      <c r="G12" s="47"/>
      <c r="H12" s="47"/>
      <c r="I12" s="47"/>
      <c r="J12" s="33"/>
      <c r="K12" s="33"/>
      <c r="L12" s="33"/>
      <c r="M12" s="33"/>
    </row>
    <row r="13" spans="2:14" ht="15.75" x14ac:dyDescent="0.25">
      <c r="B13" s="3">
        <f t="shared" si="0"/>
        <v>2027</v>
      </c>
      <c r="C13" s="45">
        <f>ROUND(Capacity!$G13+Energy!C13,3)</f>
        <v>43.241</v>
      </c>
      <c r="D13" s="45">
        <f>ROUND(Capacity!H13+Energy!D13,3)</f>
        <v>39.871000000000002</v>
      </c>
      <c r="E13" s="45">
        <f>ROUND(Capacity!I13+Energy!E13,3)</f>
        <v>28.306999999999999</v>
      </c>
      <c r="F13" s="47"/>
      <c r="G13" s="47"/>
      <c r="H13" s="47"/>
      <c r="I13" s="47"/>
      <c r="J13" s="33"/>
      <c r="K13" s="33"/>
      <c r="L13" s="33"/>
      <c r="M13" s="33"/>
      <c r="N13" s="4"/>
    </row>
    <row r="14" spans="2:14" ht="15.75" x14ac:dyDescent="0.25">
      <c r="B14" s="3">
        <f t="shared" si="0"/>
        <v>2028</v>
      </c>
      <c r="C14" s="45">
        <f>ROUND(Capacity!$G14+Energy!C14,3)</f>
        <v>48.427999999999997</v>
      </c>
      <c r="D14" s="45">
        <f>ROUND(Capacity!H14+Energy!D14,3)</f>
        <v>46.988</v>
      </c>
      <c r="E14" s="45">
        <f>ROUND(Capacity!I14+Energy!E14,3)</f>
        <v>33.823</v>
      </c>
      <c r="F14" s="47"/>
      <c r="G14" s="47"/>
      <c r="H14" s="47"/>
      <c r="I14" s="47"/>
      <c r="J14" s="33"/>
      <c r="K14" s="33"/>
      <c r="L14" s="33"/>
      <c r="M14" s="33"/>
    </row>
    <row r="15" spans="2:14" ht="15.75" x14ac:dyDescent="0.25">
      <c r="B15" s="3">
        <f t="shared" si="0"/>
        <v>2029</v>
      </c>
      <c r="C15" s="45">
        <f>ROUND(Capacity!$G15+Energy!C15,3)</f>
        <v>57.575000000000003</v>
      </c>
      <c r="D15" s="45">
        <f>ROUND(Capacity!H15+Energy!D15,3)</f>
        <v>60.484999999999999</v>
      </c>
      <c r="E15" s="45">
        <f>ROUND(Capacity!I15+Energy!E15,3)</f>
        <v>38.902000000000001</v>
      </c>
      <c r="F15" s="47"/>
      <c r="G15" s="47"/>
      <c r="H15" s="47"/>
      <c r="I15" s="47"/>
      <c r="J15" s="33"/>
      <c r="K15" s="33"/>
      <c r="L15" s="33"/>
      <c r="M15" s="33"/>
    </row>
    <row r="16" spans="2:14" ht="15.75" x14ac:dyDescent="0.25">
      <c r="B16" s="3">
        <f t="shared" si="0"/>
        <v>2030</v>
      </c>
      <c r="C16" s="45">
        <f>ROUND(Capacity!$G16+Energy!C16,3)</f>
        <v>55.55</v>
      </c>
      <c r="D16" s="45">
        <f>ROUND(Capacity!H16+Energy!D16,3)</f>
        <v>59.787999999999997</v>
      </c>
      <c r="E16" s="45">
        <f>ROUND(Capacity!I16+Energy!E16,3)</f>
        <v>36.027000000000001</v>
      </c>
      <c r="F16" s="47"/>
      <c r="G16" s="47"/>
      <c r="H16" s="47"/>
      <c r="I16" s="47"/>
      <c r="J16" s="33"/>
      <c r="K16" s="33"/>
      <c r="L16" s="33"/>
      <c r="M16" s="33"/>
    </row>
    <row r="17" spans="2:13" ht="15.75" x14ac:dyDescent="0.25">
      <c r="B17" s="3">
        <f t="shared" si="0"/>
        <v>2031</v>
      </c>
      <c r="C17" s="45">
        <f>ROUND(Capacity!$G17+Energy!C17,3)</f>
        <v>57.649000000000001</v>
      </c>
      <c r="D17" s="45">
        <f>ROUND(Capacity!H17+Energy!D17,3)</f>
        <v>60.831000000000003</v>
      </c>
      <c r="E17" s="45">
        <f>ROUND(Capacity!I17+Energy!E17,3)</f>
        <v>36.902000000000001</v>
      </c>
      <c r="F17" s="47"/>
      <c r="G17" s="47"/>
      <c r="H17" s="47"/>
      <c r="I17" s="47"/>
      <c r="J17" s="33"/>
      <c r="K17" s="33"/>
      <c r="L17" s="33"/>
      <c r="M17" s="33"/>
    </row>
    <row r="18" spans="2:13" ht="15.75" x14ac:dyDescent="0.25">
      <c r="B18" s="3">
        <f t="shared" si="0"/>
        <v>2032</v>
      </c>
      <c r="C18" s="45">
        <f>ROUND(Capacity!$G18+Energy!C18,3)</f>
        <v>52.287999999999997</v>
      </c>
      <c r="D18" s="45">
        <f>ROUND(Capacity!H18+Energy!D18,3)</f>
        <v>54.667000000000002</v>
      </c>
      <c r="E18" s="45">
        <f>ROUND(Capacity!I18+Energy!E18,3)</f>
        <v>32.863</v>
      </c>
      <c r="F18" s="47"/>
      <c r="G18" s="47"/>
      <c r="H18" s="47"/>
      <c r="I18" s="47"/>
      <c r="J18" s="33"/>
      <c r="K18" s="33"/>
      <c r="L18" s="33"/>
      <c r="M18" s="33"/>
    </row>
    <row r="19" spans="2:13" ht="15.75" x14ac:dyDescent="0.25">
      <c r="B19" s="3">
        <f t="shared" si="0"/>
        <v>2033</v>
      </c>
      <c r="C19" s="45">
        <f>ROUND(Capacity!$G19+Energy!C19,3)</f>
        <v>48.055999999999997</v>
      </c>
      <c r="D19" s="45">
        <f>ROUND(Capacity!H19+Energy!D19,3)</f>
        <v>49.372999999999998</v>
      </c>
      <c r="E19" s="45">
        <f>ROUND(Capacity!I19+Energy!E19,3)</f>
        <v>31.298999999999999</v>
      </c>
      <c r="F19" s="47"/>
      <c r="G19" s="47"/>
      <c r="H19" s="47"/>
      <c r="I19" s="47"/>
      <c r="J19" s="33"/>
      <c r="K19" s="33"/>
      <c r="L19" s="33"/>
      <c r="M19" s="33"/>
    </row>
    <row r="20" spans="2:13" ht="15.75" x14ac:dyDescent="0.25">
      <c r="B20" s="3">
        <f t="shared" si="0"/>
        <v>2034</v>
      </c>
      <c r="C20" s="45">
        <f>ROUND(Capacity!$G20+Energy!C20,3)</f>
        <v>49.417000000000002</v>
      </c>
      <c r="D20" s="45">
        <f>ROUND(Capacity!H20+Energy!D20,3)</f>
        <v>50.155000000000001</v>
      </c>
      <c r="E20" s="45">
        <f>ROUND(Capacity!I20+Energy!E20,3)</f>
        <v>31.227</v>
      </c>
      <c r="F20" s="47"/>
      <c r="G20" s="47"/>
      <c r="H20" s="47"/>
      <c r="I20" s="47"/>
      <c r="J20" s="33"/>
      <c r="K20" s="33"/>
      <c r="L20" s="33"/>
      <c r="M20" s="33"/>
    </row>
    <row r="21" spans="2:13" ht="15.75" x14ac:dyDescent="0.25">
      <c r="B21" s="3">
        <f t="shared" si="0"/>
        <v>2035</v>
      </c>
      <c r="C21" s="45">
        <f>ROUND(Capacity!$G21+Energy!C21,3)</f>
        <v>52.621000000000002</v>
      </c>
      <c r="D21" s="45">
        <f>ROUND(Capacity!H21+Energy!D21,3)</f>
        <v>52.54</v>
      </c>
      <c r="E21" s="45">
        <f>ROUND(Capacity!I21+Energy!E21,3)</f>
        <v>32.189</v>
      </c>
      <c r="F21" s="47"/>
      <c r="G21" s="47"/>
      <c r="H21" s="47"/>
      <c r="I21" s="47"/>
      <c r="J21" s="33"/>
      <c r="K21" s="33"/>
      <c r="L21" s="33"/>
      <c r="M21" s="33"/>
    </row>
    <row r="22" spans="2:13" ht="15.75" x14ac:dyDescent="0.25">
      <c r="B22" s="3">
        <f t="shared" si="0"/>
        <v>2036</v>
      </c>
      <c r="C22" s="45">
        <f>ROUND(Capacity!$G22+Energy!C22,3)</f>
        <v>53.790999999999997</v>
      </c>
      <c r="D22" s="45">
        <f>ROUND(Capacity!H22+Energy!D22,3)</f>
        <v>53.573</v>
      </c>
      <c r="E22" s="45">
        <f>ROUND(Capacity!I22+Energy!E22,3)</f>
        <v>18.617999999999999</v>
      </c>
      <c r="F22" s="47"/>
      <c r="G22" s="47"/>
      <c r="H22" s="47"/>
      <c r="I22" s="47"/>
      <c r="J22" s="33"/>
      <c r="K22" s="33"/>
      <c r="L22" s="33"/>
      <c r="M22" s="33"/>
    </row>
    <row r="23" spans="2:13" ht="15.75" x14ac:dyDescent="0.25">
      <c r="B23" s="3">
        <f t="shared" si="0"/>
        <v>2037</v>
      </c>
      <c r="C23" s="45">
        <f>ROUND(Capacity!$G23+Energy!C23,3)</f>
        <v>53.091999999999999</v>
      </c>
      <c r="D23" s="45">
        <f>ROUND(Capacity!H23+Energy!D23,3)</f>
        <v>52.656999999999996</v>
      </c>
      <c r="E23" s="45">
        <f>ROUND(Capacity!I23+Energy!E23,3)</f>
        <v>21.995000000000001</v>
      </c>
      <c r="F23" s="47"/>
      <c r="G23" s="47"/>
      <c r="H23" s="47"/>
      <c r="I23" s="47"/>
      <c r="J23" s="33"/>
      <c r="K23" s="33"/>
      <c r="L23" s="33"/>
      <c r="M23" s="33"/>
    </row>
    <row r="24" spans="2:13" ht="15.75" x14ac:dyDescent="0.25">
      <c r="B24" s="3">
        <f t="shared" si="0"/>
        <v>2038</v>
      </c>
      <c r="C24" s="45">
        <f>ROUND(Capacity!$G24+Energy!C24,3)</f>
        <v>55.838999999999999</v>
      </c>
      <c r="D24" s="45">
        <f>ROUND(Capacity!H24+Energy!D24,3)</f>
        <v>55.33</v>
      </c>
      <c r="E24" s="45">
        <f>ROUND(Capacity!I24+Energy!E24,3)</f>
        <v>24.684999999999999</v>
      </c>
      <c r="F24" s="47"/>
      <c r="G24" s="47"/>
      <c r="H24" s="47"/>
      <c r="I24" s="47"/>
      <c r="J24" s="33"/>
      <c r="K24" s="33"/>
      <c r="L24" s="33"/>
      <c r="M24" s="33"/>
    </row>
    <row r="25" spans="2:13" ht="15.75" x14ac:dyDescent="0.25">
      <c r="B25" s="3">
        <f t="shared" si="0"/>
        <v>2039</v>
      </c>
      <c r="C25" s="45">
        <f>ROUND(Capacity!$G25+Energy!C25,3)</f>
        <v>59.822000000000003</v>
      </c>
      <c r="D25" s="45">
        <f>ROUND(Capacity!H25+Energy!D25,3)</f>
        <v>57.86</v>
      </c>
      <c r="E25" s="45">
        <f>ROUND(Capacity!I25+Energy!E25,3)</f>
        <v>26.443000000000001</v>
      </c>
      <c r="F25" s="47"/>
      <c r="G25" s="47"/>
      <c r="H25" s="47"/>
      <c r="I25" s="47"/>
      <c r="J25" s="33"/>
      <c r="K25" s="33"/>
      <c r="L25" s="33"/>
      <c r="M25" s="33"/>
    </row>
    <row r="26" spans="2:13" ht="15.75" x14ac:dyDescent="0.25">
      <c r="B26" s="3">
        <f t="shared" si="0"/>
        <v>2040</v>
      </c>
      <c r="C26" s="45">
        <f>ROUND(Capacity!$G26+Energy!C26,3)</f>
        <v>67.685000000000002</v>
      </c>
      <c r="D26" s="45">
        <f>ROUND(Capacity!H26+Energy!D26,3)</f>
        <v>64.093999999999994</v>
      </c>
      <c r="E26" s="45">
        <f>ROUND(Capacity!I26+Energy!E26,3)</f>
        <v>28.143000000000001</v>
      </c>
      <c r="F26" s="47"/>
      <c r="G26" s="47"/>
      <c r="H26" s="47"/>
      <c r="I26" s="47"/>
      <c r="J26" s="33"/>
      <c r="K26" s="33"/>
      <c r="L26" s="33"/>
      <c r="M26" s="33"/>
    </row>
    <row r="27" spans="2:13" ht="15.75" x14ac:dyDescent="0.25">
      <c r="B27" s="3">
        <f t="shared" si="0"/>
        <v>2041</v>
      </c>
      <c r="C27" s="45">
        <f>ROUND(Capacity!$G27+Energy!C27,3)</f>
        <v>71.569000000000003</v>
      </c>
      <c r="D27" s="45">
        <f>ROUND(Capacity!H27+Energy!D27,3)</f>
        <v>67.959000000000003</v>
      </c>
      <c r="E27" s="45">
        <f>ROUND(Capacity!I27+Energy!E27,3)</f>
        <v>32.317999999999998</v>
      </c>
      <c r="F27" s="47"/>
      <c r="G27" s="47"/>
      <c r="H27" s="47"/>
      <c r="I27" s="47"/>
      <c r="J27" s="33"/>
      <c r="K27" s="33"/>
      <c r="L27" s="33"/>
      <c r="M27" s="33"/>
    </row>
    <row r="28" spans="2:13" ht="15.75" x14ac:dyDescent="0.25">
      <c r="B28" s="3">
        <f t="shared" si="0"/>
        <v>2042</v>
      </c>
      <c r="C28" s="45">
        <f>ROUND(Capacity!$G28+Energy!C28,3)</f>
        <v>72.646000000000001</v>
      </c>
      <c r="D28" s="45">
        <f>ROUND(Capacity!H28+Energy!D28,3)</f>
        <v>68.150999999999996</v>
      </c>
      <c r="E28" s="45">
        <f>ROUND(Capacity!I28+Energy!E28,3)</f>
        <v>39.904000000000003</v>
      </c>
      <c r="F28" s="47"/>
      <c r="G28" s="47"/>
      <c r="H28" s="47"/>
      <c r="I28" s="47"/>
      <c r="J28" s="33"/>
      <c r="K28" s="33"/>
      <c r="L28" s="33"/>
      <c r="M28" s="33"/>
    </row>
    <row r="29" spans="2:13" x14ac:dyDescent="0.2">
      <c r="C29" s="40"/>
      <c r="D29" s="40"/>
      <c r="E29" s="40"/>
      <c r="G29" s="33"/>
      <c r="H29" s="33"/>
    </row>
    <row r="30" spans="2:13" x14ac:dyDescent="0.2">
      <c r="B30" s="1" t="str">
        <f>"Nominal Levelized Payment at "&amp;TEXT(Discount_Rate,"0.000%")&amp;" Discount Rate (3)"</f>
        <v>Nominal Levelized Payment at 6.380% Discount Rate (3)</v>
      </c>
      <c r="C30" s="40"/>
      <c r="D30" s="40"/>
      <c r="E30" s="40"/>
      <c r="G30" s="33"/>
      <c r="H30" s="33"/>
    </row>
    <row r="31" spans="2:13" x14ac:dyDescent="0.2">
      <c r="B31" s="7" t="str">
        <f>B11&amp;" - "&amp;B25</f>
        <v>2025 - 2039</v>
      </c>
      <c r="C31" s="46">
        <f t="shared" ref="C31:E33" si="1">ROUND(PMT(Discount_Rate,COUNT(C11:C25),-NPV(Discount_Rate,C11:C25)),2)</f>
        <v>49.63</v>
      </c>
      <c r="D31" s="46">
        <f t="shared" ref="D31" si="2">ROUND(PMT(Discount_Rate,COUNT(D11:D25),-NPV(Discount_Rate,D11:D25)),2)</f>
        <v>49.92</v>
      </c>
      <c r="E31" s="46">
        <f t="shared" si="1"/>
        <v>30.77</v>
      </c>
      <c r="F31" s="69"/>
      <c r="G31" s="33"/>
      <c r="H31" s="39"/>
    </row>
    <row r="32" spans="2:13" x14ac:dyDescent="0.2">
      <c r="B32" s="7" t="str">
        <f>B12&amp;" - "&amp;B26</f>
        <v>2026 - 2040</v>
      </c>
      <c r="C32" s="46">
        <f t="shared" si="1"/>
        <v>51.82</v>
      </c>
      <c r="D32" s="46">
        <f t="shared" ref="D32" si="3">ROUND(PMT(Discount_Rate,COUNT(D12:D26),-NPV(Discount_Rate,D12:D26)),2)</f>
        <v>52.17</v>
      </c>
      <c r="E32" s="46">
        <f t="shared" si="1"/>
        <v>30.82</v>
      </c>
      <c r="G32" s="33"/>
      <c r="H32" s="39"/>
    </row>
    <row r="33" spans="2:8" x14ac:dyDescent="0.2">
      <c r="B33" s="7" t="str">
        <f>B13&amp;" - "&amp;B27</f>
        <v>2027 - 2041</v>
      </c>
      <c r="C33" s="46">
        <f t="shared" si="1"/>
        <v>53.87</v>
      </c>
      <c r="D33" s="46">
        <f t="shared" ref="D33" si="4">ROUND(PMT(Discount_Rate,COUNT(D13:D27),-NPV(Discount_Rate,D13:D27)),2)</f>
        <v>54.1</v>
      </c>
      <c r="E33" s="46">
        <f t="shared" si="1"/>
        <v>31.01</v>
      </c>
      <c r="G33" s="33"/>
      <c r="H33" s="39"/>
    </row>
    <row r="34" spans="2:8" x14ac:dyDescent="0.2">
      <c r="E34" s="9"/>
      <c r="G34" s="33"/>
      <c r="H34" s="33"/>
    </row>
    <row r="35" spans="2:8" x14ac:dyDescent="0.2">
      <c r="B35" s="7" t="s">
        <v>12</v>
      </c>
      <c r="G35" s="33"/>
      <c r="H35" s="33"/>
    </row>
    <row r="36" spans="2:8" x14ac:dyDescent="0.2">
      <c r="B36" s="1" t="str">
        <f>"(2)   Official Forward Price Curve Dated "&amp;TEXT(B43,"MMMM YYYY")</f>
        <v>(2)   Official Forward Price Curve Dated March 2025</v>
      </c>
      <c r="G36" s="33"/>
      <c r="H36" s="33"/>
    </row>
    <row r="37" spans="2:8" x14ac:dyDescent="0.2">
      <c r="B37" s="1" t="str">
        <f>"(3)   "&amp;B40&amp;" - Calculated Annually"</f>
        <v>(3)   Discount Rate - 2025 IRP - Calculated Annually</v>
      </c>
    </row>
    <row r="38" spans="2:8" x14ac:dyDescent="0.2">
      <c r="B38" s="18" t="str">
        <f>"(4)   Avoided Capacity costs are zero since there is no thermal proxy resources available to defer"</f>
        <v>(4)   Avoided Capacity costs are zero since there is no thermal proxy resources available to defer</v>
      </c>
    </row>
    <row r="39" spans="2:8" x14ac:dyDescent="0.2">
      <c r="B39" s="18" t="s">
        <v>24</v>
      </c>
    </row>
    <row r="40" spans="2:8" x14ac:dyDescent="0.2">
      <c r="B40" s="1" t="s">
        <v>28</v>
      </c>
    </row>
    <row r="41" spans="2:8" x14ac:dyDescent="0.2">
      <c r="B41" s="14">
        <v>6.3799999999999996E-2</v>
      </c>
    </row>
    <row r="42" spans="2:8" x14ac:dyDescent="0.2">
      <c r="B42" s="1" t="s">
        <v>9</v>
      </c>
    </row>
    <row r="43" spans="2:8" x14ac:dyDescent="0.2">
      <c r="B43" s="15">
        <v>45747</v>
      </c>
      <c r="E43" s="13"/>
    </row>
    <row r="44" spans="2:8" x14ac:dyDescent="0.2">
      <c r="B44" s="18" t="s">
        <v>17</v>
      </c>
    </row>
    <row r="45" spans="2:8" x14ac:dyDescent="0.2">
      <c r="B45" s="67">
        <v>1</v>
      </c>
    </row>
  </sheetData>
  <phoneticPr fontId="2" type="noConversion"/>
  <printOptions horizontalCentered="1"/>
  <pageMargins left="0.25" right="0.25" top="0.75" bottom="0.75" header="0.3" footer="0.2"/>
  <pageSetup scale="77" orientation="landscape" r:id="rId1"/>
  <headerFooter alignWithMargins="0">
    <oddFooter>&amp;L&amp;8NPC Group - &amp;F   ( &amp;A )&amp;C&amp;8Page &amp;P of &amp;N&amp;R&amp;8&amp;D  &amp;T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indexed="42"/>
    <pageSetUpPr fitToPage="1"/>
  </sheetPr>
  <dimension ref="B1:H44"/>
  <sheetViews>
    <sheetView zoomScale="70" zoomScaleNormal="70" workbookViewId="0">
      <pane xSplit="2" ySplit="8" topLeftCell="C9" activePane="bottomRight" state="frozen"/>
      <selection activeCell="E37" sqref="E37"/>
      <selection pane="topRight" activeCell="E37" sqref="E37"/>
      <selection pane="bottomLeft" activeCell="E37" sqref="E37"/>
      <selection pane="bottomRight" activeCell="E19" sqref="E19"/>
    </sheetView>
  </sheetViews>
  <sheetFormatPr defaultColWidth="9.140625" defaultRowHeight="15" x14ac:dyDescent="0.2"/>
  <cols>
    <col min="1" max="1" width="1.85546875" style="18" customWidth="1"/>
    <col min="2" max="2" width="17.5703125" style="18" customWidth="1"/>
    <col min="3" max="3" width="17.7109375" style="18" customWidth="1"/>
    <col min="4" max="4" width="21.7109375" style="18" bestFit="1" customWidth="1"/>
    <col min="5" max="5" width="19.85546875" style="18" customWidth="1"/>
    <col min="6" max="6" width="27.7109375" style="18" customWidth="1"/>
    <col min="7" max="7" width="18.85546875" style="18" customWidth="1"/>
    <col min="8" max="16384" width="9.140625" style="18"/>
  </cols>
  <sheetData>
    <row r="1" spans="2:8" ht="15.75" x14ac:dyDescent="0.25">
      <c r="B1" s="16" t="str">
        <f>Total!B1</f>
        <v>Appendix C</v>
      </c>
      <c r="C1" s="16"/>
      <c r="D1" s="16"/>
      <c r="E1" s="16"/>
    </row>
    <row r="2" spans="2:8" ht="8.25" customHeight="1" x14ac:dyDescent="0.25">
      <c r="B2" s="16"/>
      <c r="C2" s="16"/>
      <c r="D2" s="16"/>
      <c r="E2" s="16"/>
    </row>
    <row r="3" spans="2:8" ht="15.75" x14ac:dyDescent="0.25">
      <c r="B3" s="16" t="str">
        <f>Total!B3</f>
        <v>Utah Quarterly Compliance Filing</v>
      </c>
      <c r="C3" s="16"/>
      <c r="D3" s="16"/>
      <c r="E3" s="16"/>
    </row>
    <row r="4" spans="2:8" ht="15.75" x14ac:dyDescent="0.25">
      <c r="B4" s="16" t="str">
        <f>Capacity!$B$4</f>
        <v>Step Study between 2025.Q1 and 2024.Q4 Compliance Filing</v>
      </c>
      <c r="C4" s="16"/>
      <c r="D4" s="16"/>
      <c r="E4" s="16"/>
    </row>
    <row r="5" spans="2:8" ht="15.75" x14ac:dyDescent="0.25">
      <c r="B5" s="16" t="s">
        <v>18</v>
      </c>
      <c r="C5" s="16"/>
      <c r="D5" s="16"/>
      <c r="E5" s="16"/>
    </row>
    <row r="6" spans="2:8" ht="15.75" x14ac:dyDescent="0.25">
      <c r="B6" s="16"/>
      <c r="C6" s="35"/>
      <c r="D6" s="35"/>
      <c r="E6" s="35"/>
    </row>
    <row r="7" spans="2:8" ht="15.75" x14ac:dyDescent="0.25">
      <c r="B7" s="19"/>
      <c r="C7" s="72" t="str">
        <f>Capacity!M7</f>
        <v>2024.Q4</v>
      </c>
      <c r="D7" s="34" t="str">
        <f>Capacity!D8</f>
        <v>OFPC MAR 2025</v>
      </c>
      <c r="E7" s="74" t="str">
        <f>Capacity!E8</f>
        <v xml:space="preserve">2025 Utah IRP (2025.Q1) </v>
      </c>
      <c r="G7" s="12"/>
      <c r="H7" s="1"/>
    </row>
    <row r="8" spans="2:8" ht="15.75" x14ac:dyDescent="0.25">
      <c r="B8" s="21" t="s">
        <v>0</v>
      </c>
      <c r="C8" s="21" t="s">
        <v>5</v>
      </c>
      <c r="D8" s="66" t="s">
        <v>15</v>
      </c>
      <c r="E8" s="66"/>
      <c r="G8" s="12"/>
      <c r="H8" s="1"/>
    </row>
    <row r="9" spans="2:8" ht="4.7" customHeight="1" x14ac:dyDescent="0.2">
      <c r="B9" s="51"/>
      <c r="C9" s="51"/>
      <c r="D9" s="64"/>
      <c r="E9" s="75"/>
      <c r="G9" s="69"/>
      <c r="H9" s="1"/>
    </row>
    <row r="10" spans="2:8" ht="3.75" customHeight="1" x14ac:dyDescent="0.25">
      <c r="B10" s="52"/>
      <c r="C10" s="73"/>
      <c r="D10" s="65"/>
      <c r="E10" s="71"/>
      <c r="G10" s="70"/>
      <c r="H10" s="40"/>
    </row>
    <row r="11" spans="2:8" ht="15.75" x14ac:dyDescent="0.25">
      <c r="B11" s="52">
        <v>2025</v>
      </c>
      <c r="C11" s="65">
        <v>35.968000000000004</v>
      </c>
      <c r="D11" s="65">
        <v>34.281999999999996</v>
      </c>
      <c r="E11" s="65">
        <v>29.25</v>
      </c>
      <c r="G11" s="70"/>
      <c r="H11" s="40"/>
    </row>
    <row r="12" spans="2:8" ht="15.75" x14ac:dyDescent="0.25">
      <c r="B12" s="52">
        <f t="shared" ref="B12:B28" si="0">B11+1</f>
        <v>2026</v>
      </c>
      <c r="C12" s="65">
        <v>40.18</v>
      </c>
      <c r="D12" s="65">
        <v>40.094000000000001</v>
      </c>
      <c r="E12" s="65">
        <v>29.599</v>
      </c>
      <c r="G12" s="70"/>
      <c r="H12" s="40"/>
    </row>
    <row r="13" spans="2:8" ht="15.75" x14ac:dyDescent="0.25">
      <c r="B13" s="52">
        <f t="shared" si="0"/>
        <v>2027</v>
      </c>
      <c r="C13" s="65">
        <v>43.241</v>
      </c>
      <c r="D13" s="65">
        <v>39.871000000000002</v>
      </c>
      <c r="E13" s="65">
        <v>28.306999999999999</v>
      </c>
      <c r="G13" s="70"/>
      <c r="H13" s="40"/>
    </row>
    <row r="14" spans="2:8" ht="15.75" x14ac:dyDescent="0.25">
      <c r="B14" s="52">
        <f t="shared" si="0"/>
        <v>2028</v>
      </c>
      <c r="C14" s="65">
        <v>48.427999999999997</v>
      </c>
      <c r="D14" s="65">
        <v>46.988</v>
      </c>
      <c r="E14" s="65">
        <v>33.823</v>
      </c>
      <c r="G14" s="70"/>
      <c r="H14" s="40"/>
    </row>
    <row r="15" spans="2:8" ht="15.75" x14ac:dyDescent="0.25">
      <c r="B15" s="52">
        <f t="shared" si="0"/>
        <v>2029</v>
      </c>
      <c r="C15" s="65">
        <v>44.197000000000003</v>
      </c>
      <c r="D15" s="65">
        <v>47.106999999999999</v>
      </c>
      <c r="E15" s="65">
        <v>38.902000000000001</v>
      </c>
      <c r="G15" s="70"/>
      <c r="H15" s="40"/>
    </row>
    <row r="16" spans="2:8" ht="15.75" x14ac:dyDescent="0.25">
      <c r="B16" s="52">
        <f t="shared" si="0"/>
        <v>2030</v>
      </c>
      <c r="C16" s="65">
        <v>41.866</v>
      </c>
      <c r="D16" s="65">
        <v>46.103999999999999</v>
      </c>
      <c r="E16" s="65">
        <v>36.027000000000001</v>
      </c>
      <c r="G16" s="70"/>
      <c r="H16" s="40"/>
    </row>
    <row r="17" spans="2:8" ht="15.75" x14ac:dyDescent="0.25">
      <c r="B17" s="52">
        <f t="shared" si="0"/>
        <v>2031</v>
      </c>
      <c r="C17" s="65">
        <v>43.652000000000001</v>
      </c>
      <c r="D17" s="65">
        <v>46.834000000000003</v>
      </c>
      <c r="E17" s="65">
        <v>36.902000000000001</v>
      </c>
      <c r="G17" s="70"/>
      <c r="H17" s="40"/>
    </row>
    <row r="18" spans="2:8" ht="15.75" x14ac:dyDescent="0.25">
      <c r="B18" s="52">
        <f t="shared" si="0"/>
        <v>2032</v>
      </c>
      <c r="C18" s="65">
        <v>38.011000000000003</v>
      </c>
      <c r="D18" s="65">
        <v>40.39</v>
      </c>
      <c r="E18" s="65">
        <v>32.863</v>
      </c>
      <c r="G18" s="70"/>
      <c r="H18" s="40"/>
    </row>
    <row r="19" spans="2:8" ht="15.75" x14ac:dyDescent="0.25">
      <c r="B19" s="52">
        <f t="shared" si="0"/>
        <v>2033</v>
      </c>
      <c r="C19" s="65">
        <v>33.414000000000001</v>
      </c>
      <c r="D19" s="65">
        <v>34.731000000000002</v>
      </c>
      <c r="E19" s="65">
        <v>31.298999999999999</v>
      </c>
      <c r="G19" s="70"/>
      <c r="H19" s="40"/>
    </row>
    <row r="20" spans="2:8" ht="15.75" x14ac:dyDescent="0.25">
      <c r="B20" s="52">
        <f t="shared" si="0"/>
        <v>2034</v>
      </c>
      <c r="C20" s="65">
        <v>34.44</v>
      </c>
      <c r="D20" s="65">
        <v>35.177999999999997</v>
      </c>
      <c r="E20" s="65">
        <v>31.227</v>
      </c>
      <c r="G20" s="70"/>
      <c r="H20" s="40"/>
    </row>
    <row r="21" spans="2:8" ht="15.75" x14ac:dyDescent="0.25">
      <c r="B21" s="52">
        <f t="shared" si="0"/>
        <v>2035</v>
      </c>
      <c r="C21" s="71">
        <v>37.302</v>
      </c>
      <c r="D21" s="65">
        <v>37.220999999999997</v>
      </c>
      <c r="E21" s="65">
        <v>32.189</v>
      </c>
      <c r="G21" s="70"/>
      <c r="H21" s="40"/>
    </row>
    <row r="22" spans="2:8" ht="15.75" x14ac:dyDescent="0.25">
      <c r="B22" s="52">
        <f t="shared" si="0"/>
        <v>2036</v>
      </c>
      <c r="C22" s="71">
        <v>38.164999999999999</v>
      </c>
      <c r="D22" s="65">
        <v>37.947000000000003</v>
      </c>
      <c r="E22" s="65">
        <v>18.617999999999999</v>
      </c>
      <c r="G22" s="70"/>
      <c r="H22" s="40"/>
    </row>
    <row r="23" spans="2:8" ht="15.75" x14ac:dyDescent="0.25">
      <c r="B23" s="52">
        <f t="shared" si="0"/>
        <v>2037</v>
      </c>
      <c r="C23" s="71">
        <v>37.066000000000003</v>
      </c>
      <c r="D23" s="65">
        <v>36.631</v>
      </c>
      <c r="E23" s="65">
        <v>21.995000000000001</v>
      </c>
      <c r="G23" s="70"/>
      <c r="H23" s="40"/>
    </row>
    <row r="24" spans="2:8" ht="15.75" x14ac:dyDescent="0.25">
      <c r="B24" s="52">
        <f t="shared" si="0"/>
        <v>2038</v>
      </c>
      <c r="C24" s="71">
        <v>39.448</v>
      </c>
      <c r="D24" s="65">
        <v>38.939</v>
      </c>
      <c r="E24" s="65">
        <v>24.684999999999999</v>
      </c>
      <c r="G24" s="70"/>
      <c r="H24" s="40"/>
    </row>
    <row r="25" spans="2:8" ht="15.75" x14ac:dyDescent="0.25">
      <c r="B25" s="52">
        <f t="shared" si="0"/>
        <v>2039</v>
      </c>
      <c r="C25" s="71">
        <v>43.058</v>
      </c>
      <c r="D25" s="65">
        <v>41.095999999999997</v>
      </c>
      <c r="E25" s="65">
        <v>26.443000000000001</v>
      </c>
      <c r="G25" s="70"/>
      <c r="H25" s="40"/>
    </row>
    <row r="26" spans="2:8" ht="15.75" x14ac:dyDescent="0.25">
      <c r="B26" s="52">
        <f t="shared" si="0"/>
        <v>2040</v>
      </c>
      <c r="C26" s="71">
        <v>50.585000000000001</v>
      </c>
      <c r="D26" s="65">
        <v>46.994</v>
      </c>
      <c r="E26" s="65">
        <v>28.143000000000001</v>
      </c>
      <c r="G26" s="70"/>
      <c r="H26" s="40"/>
    </row>
    <row r="27" spans="2:8" ht="15.75" x14ac:dyDescent="0.25">
      <c r="B27" s="52">
        <f t="shared" si="0"/>
        <v>2041</v>
      </c>
      <c r="C27" s="71">
        <v>54.030999999999999</v>
      </c>
      <c r="D27" s="65">
        <v>50.420999999999999</v>
      </c>
      <c r="E27" s="65">
        <v>32.317999999999998</v>
      </c>
      <c r="G27" s="70"/>
      <c r="H27" s="40"/>
    </row>
    <row r="28" spans="2:8" ht="15.75" x14ac:dyDescent="0.25">
      <c r="B28" s="52">
        <f t="shared" si="0"/>
        <v>2042</v>
      </c>
      <c r="C28" s="71">
        <v>56.976999999999997</v>
      </c>
      <c r="D28" s="65">
        <v>52.481999999999999</v>
      </c>
      <c r="E28" s="65">
        <v>39.904000000000003</v>
      </c>
      <c r="G28" s="70"/>
      <c r="H28" s="40"/>
    </row>
    <row r="29" spans="2:8" x14ac:dyDescent="0.2">
      <c r="C29" s="31"/>
      <c r="D29" s="31"/>
      <c r="E29" s="31"/>
      <c r="G29" s="70"/>
      <c r="H29" s="40"/>
    </row>
    <row r="30" spans="2:8" x14ac:dyDescent="0.2">
      <c r="B30" s="18" t="str">
        <f>"Nominal Levelized Payment at "&amp;TEXT($B$41,"0.00%")&amp;" Discount Rate (3)"</f>
        <v>Nominal Levelized Payment at 6.38% Discount Rate (3)</v>
      </c>
      <c r="C30" s="31"/>
      <c r="D30" s="31"/>
      <c r="E30" s="31"/>
      <c r="G30" s="70"/>
      <c r="H30" s="40"/>
    </row>
    <row r="31" spans="2:8" x14ac:dyDescent="0.2">
      <c r="B31" s="26" t="str">
        <f>B11&amp;" - "&amp;B25</f>
        <v>2025 - 2039</v>
      </c>
      <c r="C31" s="44">
        <f t="shared" ref="C31:D33" si="1">ROUND(PMT($B$41,COUNT(C11:C25),-NPV($B$41,C11:C25)),3)</f>
        <v>40.192</v>
      </c>
      <c r="D31" s="44">
        <f t="shared" si="1"/>
        <v>40.488999999999997</v>
      </c>
      <c r="E31" s="44">
        <f t="shared" ref="E31" si="2">ROUND(PMT($B$41,COUNT(E11:E25),-NPV($B$41,E11:E25)),3)</f>
        <v>30.771000000000001</v>
      </c>
      <c r="G31" s="70"/>
      <c r="H31" s="40"/>
    </row>
    <row r="32" spans="2:8" x14ac:dyDescent="0.2">
      <c r="B32" s="26" t="str">
        <f>B12&amp;" - "&amp;B26</f>
        <v>2026 - 2040</v>
      </c>
      <c r="C32" s="44">
        <f t="shared" si="1"/>
        <v>41.072000000000003</v>
      </c>
      <c r="D32" s="44">
        <f t="shared" si="1"/>
        <v>41.414999999999999</v>
      </c>
      <c r="E32" s="44">
        <f t="shared" ref="E32:E33" si="3">ROUND(PMT($B$41,COUNT(E12:E26),-NPV($B$41,E12:E26)),3)</f>
        <v>30.821999999999999</v>
      </c>
      <c r="G32" s="70"/>
      <c r="H32" s="40"/>
    </row>
    <row r="33" spans="2:8" x14ac:dyDescent="0.2">
      <c r="B33" s="26" t="str">
        <f>B13&amp;" - "&amp;B27</f>
        <v>2027 - 2041</v>
      </c>
      <c r="C33" s="44">
        <f t="shared" si="1"/>
        <v>41.707000000000001</v>
      </c>
      <c r="D33" s="44">
        <f t="shared" si="1"/>
        <v>41.930999999999997</v>
      </c>
      <c r="E33" s="44">
        <f t="shared" si="3"/>
        <v>31.013000000000002</v>
      </c>
      <c r="G33" s="70"/>
      <c r="H33" s="40"/>
    </row>
    <row r="34" spans="2:8" x14ac:dyDescent="0.2">
      <c r="B34" s="26"/>
      <c r="C34" s="25"/>
      <c r="D34" s="25"/>
      <c r="E34" s="25"/>
      <c r="G34" s="70"/>
    </row>
    <row r="35" spans="2:8" x14ac:dyDescent="0.2">
      <c r="B35" s="26" t="str">
        <f>Total!B35</f>
        <v>(1)   Studies are sequential.  The order of the studies would affect the price impact.</v>
      </c>
    </row>
    <row r="36" spans="2:8" x14ac:dyDescent="0.2">
      <c r="B36" s="1" t="str">
        <f>"(2)   Official Forward Price Curve Dated "&amp;TEXT(B43,"MMMM YYYY")</f>
        <v>(2)   Official Forward Price Curve Dated March 2025</v>
      </c>
    </row>
    <row r="37" spans="2:8" x14ac:dyDescent="0.2">
      <c r="B37" s="26" t="str">
        <f>Total!B37</f>
        <v>(3)   Discount Rate - 2025 IRP - Calculated Annually</v>
      </c>
    </row>
    <row r="38" spans="2:8" x14ac:dyDescent="0.2">
      <c r="B38" s="26"/>
    </row>
    <row r="40" spans="2:8" x14ac:dyDescent="0.2">
      <c r="B40" s="1" t="str">
        <f>Total!B40</f>
        <v>Discount Rate - 2025 IRP</v>
      </c>
    </row>
    <row r="41" spans="2:8" x14ac:dyDescent="0.2">
      <c r="B41" s="30">
        <f>Total!B41</f>
        <v>6.3799999999999996E-2</v>
      </c>
    </row>
    <row r="42" spans="2:8" x14ac:dyDescent="0.2">
      <c r="B42" s="1" t="s">
        <v>9</v>
      </c>
    </row>
    <row r="43" spans="2:8" x14ac:dyDescent="0.2">
      <c r="B43" s="15">
        <f>Total!B43</f>
        <v>45747</v>
      </c>
    </row>
    <row r="44" spans="2:8" x14ac:dyDescent="0.2">
      <c r="B44"/>
      <c r="C44"/>
      <c r="D44"/>
      <c r="E44"/>
    </row>
  </sheetData>
  <printOptions horizontalCentered="1"/>
  <pageMargins left="0.25" right="0.25" top="0.75" bottom="0.75" header="0.3" footer="0.2"/>
  <pageSetup scale="96" orientation="landscape" r:id="rId1"/>
  <headerFooter alignWithMargins="0">
    <oddFooter>&amp;L&amp;8NPC Group - &amp;F   ( &amp;A )&amp;C&amp;8Page &amp;P of &amp;N&amp;R&amp;8&amp;D  &amp;T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indexed="42"/>
    <pageSetUpPr fitToPage="1"/>
  </sheetPr>
  <dimension ref="B1:M43"/>
  <sheetViews>
    <sheetView zoomScale="60" zoomScaleNormal="60" workbookViewId="0">
      <pane xSplit="2" ySplit="9" topLeftCell="C10" activePane="bottomRight" state="frozen"/>
      <selection activeCell="E37" sqref="E37"/>
      <selection pane="topRight" activeCell="E37" sqref="E37"/>
      <selection pane="bottomLeft" activeCell="E37" sqref="E37"/>
      <selection pane="bottomRight" activeCell="E25" sqref="E25"/>
    </sheetView>
  </sheetViews>
  <sheetFormatPr defaultColWidth="9.140625" defaultRowHeight="15" x14ac:dyDescent="0.2"/>
  <cols>
    <col min="1" max="1" width="1.85546875" style="18" customWidth="1"/>
    <col min="2" max="2" width="20" style="18" customWidth="1"/>
    <col min="3" max="5" width="19.140625" style="18" customWidth="1"/>
    <col min="6" max="6" width="1.140625" style="18" customWidth="1"/>
    <col min="7" max="9" width="19.140625" style="18" customWidth="1"/>
    <col min="10" max="10" width="21.5703125" style="18" customWidth="1"/>
    <col min="11" max="12" width="2.140625" customWidth="1"/>
    <col min="13" max="13" width="9.140625" style="18" customWidth="1"/>
    <col min="14" max="16384" width="9.140625" style="18"/>
  </cols>
  <sheetData>
    <row r="1" spans="2:13" ht="15.75" x14ac:dyDescent="0.25">
      <c r="B1" s="16" t="str">
        <f>Total!B1</f>
        <v>Appendix C</v>
      </c>
      <c r="C1" s="16"/>
      <c r="D1" s="16"/>
      <c r="E1" s="16"/>
      <c r="F1" s="17"/>
      <c r="G1" s="16"/>
      <c r="H1" s="16"/>
      <c r="I1" s="16"/>
    </row>
    <row r="2" spans="2:13" ht="8.25" customHeight="1" x14ac:dyDescent="0.25">
      <c r="B2" s="16"/>
      <c r="C2" s="16"/>
      <c r="D2" s="16"/>
      <c r="E2" s="16"/>
      <c r="F2" s="17"/>
      <c r="G2" s="16"/>
      <c r="H2" s="16"/>
      <c r="I2" s="16"/>
    </row>
    <row r="3" spans="2:13" ht="15.75" x14ac:dyDescent="0.25">
      <c r="B3" s="16" t="str">
        <f>Total!B3</f>
        <v>Utah Quarterly Compliance Filing</v>
      </c>
      <c r="C3" s="16"/>
      <c r="D3" s="16"/>
      <c r="E3" s="16"/>
      <c r="F3" s="17"/>
      <c r="G3" s="16"/>
      <c r="H3" s="16"/>
      <c r="I3" s="16"/>
    </row>
    <row r="4" spans="2:13" ht="15.75" x14ac:dyDescent="0.25">
      <c r="B4" s="16" t="str">
        <f>"Step Study between "&amp;M8&amp;" and "&amp;M7&amp;" Compliance Filing"</f>
        <v>Step Study between 2025.Q1 and 2024.Q4 Compliance Filing</v>
      </c>
      <c r="C4" s="16"/>
      <c r="D4" s="16"/>
      <c r="E4" s="16"/>
      <c r="F4" s="17"/>
      <c r="G4" s="16"/>
      <c r="H4" s="16"/>
      <c r="I4" s="16"/>
    </row>
    <row r="5" spans="2:13" ht="15.75" x14ac:dyDescent="0.25">
      <c r="B5" s="16" t="s">
        <v>7</v>
      </c>
      <c r="C5" s="16"/>
      <c r="D5" s="16"/>
      <c r="E5" s="16"/>
      <c r="F5" s="17"/>
      <c r="G5" s="16"/>
      <c r="H5" s="16"/>
      <c r="I5" s="16"/>
    </row>
    <row r="6" spans="2:13" ht="15.75" x14ac:dyDescent="0.25">
      <c r="B6" s="16"/>
      <c r="C6" s="16"/>
      <c r="D6" s="16"/>
      <c r="E6" s="16"/>
      <c r="G6" s="16"/>
      <c r="H6" s="16"/>
      <c r="I6" s="16"/>
    </row>
    <row r="7" spans="2:13" ht="15.75" x14ac:dyDescent="0.25">
      <c r="B7" s="19"/>
      <c r="C7" s="20" t="s">
        <v>2</v>
      </c>
      <c r="D7" s="20"/>
      <c r="E7" s="20"/>
      <c r="G7" s="20" t="s">
        <v>6</v>
      </c>
      <c r="H7" s="20"/>
      <c r="I7" s="32"/>
      <c r="M7" s="22" t="s">
        <v>21</v>
      </c>
    </row>
    <row r="8" spans="2:13" ht="60.75" customHeight="1" x14ac:dyDescent="0.25">
      <c r="B8" s="21" t="s">
        <v>0</v>
      </c>
      <c r="C8" s="37" t="str">
        <f>Energy!C7&amp;""</f>
        <v>2024.Q4</v>
      </c>
      <c r="D8" s="37" t="s">
        <v>23</v>
      </c>
      <c r="E8" s="37" t="str">
        <f>"2025 Utah IRP ("&amp;M8&amp;") "</f>
        <v xml:space="preserve">2025 Utah IRP (2025.Q1) </v>
      </c>
      <c r="G8" s="22" t="str">
        <f>C8</f>
        <v>2024.Q4</v>
      </c>
      <c r="H8" s="37" t="str">
        <f>D8</f>
        <v>OFPC MAR 2025</v>
      </c>
      <c r="I8" s="37" t="str">
        <f>E8</f>
        <v xml:space="preserve">2025 Utah IRP (2025.Q1) </v>
      </c>
      <c r="M8" s="22" t="s">
        <v>22</v>
      </c>
    </row>
    <row r="9" spans="2:13" ht="4.7" customHeight="1" x14ac:dyDescent="0.2"/>
    <row r="10" spans="2:13" ht="15.75" x14ac:dyDescent="0.25">
      <c r="B10" s="23"/>
      <c r="C10" s="24"/>
      <c r="D10" s="24"/>
      <c r="E10" s="24"/>
      <c r="G10" s="24"/>
      <c r="H10" s="24"/>
      <c r="I10" s="24"/>
    </row>
    <row r="11" spans="2:13" ht="15.75" x14ac:dyDescent="0.25">
      <c r="B11" s="23">
        <v>2025</v>
      </c>
      <c r="C11" s="24">
        <v>0</v>
      </c>
      <c r="D11" s="24">
        <v>0</v>
      </c>
      <c r="E11" s="24">
        <v>0</v>
      </c>
      <c r="G11" s="24">
        <f t="shared" ref="G11:G28" si="0">C11*1000/(IF(MOD($B11,4)=0,8784,8760)*1)</f>
        <v>0</v>
      </c>
      <c r="H11" s="24">
        <f t="shared" ref="H11:H28" si="1">D11*1000/(IF(MOD($B11,4)=0,8784,8760)*1)</f>
        <v>0</v>
      </c>
      <c r="I11" s="24">
        <f t="shared" ref="I11:I28" si="2">E11*1000/(IF(MOD($B11,4)=0,8784,8760)*1)</f>
        <v>0</v>
      </c>
    </row>
    <row r="12" spans="2:13" ht="15.75" x14ac:dyDescent="0.25">
      <c r="B12" s="23">
        <f t="shared" ref="B12:B28" si="3">B11+1</f>
        <v>2026</v>
      </c>
      <c r="C12" s="24">
        <v>0</v>
      </c>
      <c r="D12" s="24">
        <v>0</v>
      </c>
      <c r="E12" s="24">
        <v>0</v>
      </c>
      <c r="G12" s="24">
        <f t="shared" si="0"/>
        <v>0</v>
      </c>
      <c r="H12" s="24">
        <f t="shared" si="1"/>
        <v>0</v>
      </c>
      <c r="I12" s="24">
        <f t="shared" si="2"/>
        <v>0</v>
      </c>
    </row>
    <row r="13" spans="2:13" ht="15.75" x14ac:dyDescent="0.25">
      <c r="B13" s="23">
        <f t="shared" si="3"/>
        <v>2027</v>
      </c>
      <c r="C13" s="24">
        <v>0</v>
      </c>
      <c r="D13" s="24">
        <v>0</v>
      </c>
      <c r="E13" s="24">
        <v>0</v>
      </c>
      <c r="G13" s="24">
        <f t="shared" si="0"/>
        <v>0</v>
      </c>
      <c r="H13" s="24">
        <f t="shared" si="1"/>
        <v>0</v>
      </c>
      <c r="I13" s="24">
        <f t="shared" si="2"/>
        <v>0</v>
      </c>
    </row>
    <row r="14" spans="2:13" ht="15.75" x14ac:dyDescent="0.25">
      <c r="B14" s="23">
        <f t="shared" si="3"/>
        <v>2028</v>
      </c>
      <c r="C14" s="24">
        <v>0</v>
      </c>
      <c r="D14" s="24">
        <v>0</v>
      </c>
      <c r="E14" s="24">
        <v>0</v>
      </c>
      <c r="G14" s="24">
        <f t="shared" si="0"/>
        <v>0</v>
      </c>
      <c r="H14" s="24">
        <f t="shared" si="1"/>
        <v>0</v>
      </c>
      <c r="I14" s="24">
        <f t="shared" si="2"/>
        <v>0</v>
      </c>
    </row>
    <row r="15" spans="2:13" ht="15.75" x14ac:dyDescent="0.25">
      <c r="B15" s="23">
        <f t="shared" si="3"/>
        <v>2029</v>
      </c>
      <c r="C15" s="24">
        <v>117.19486081370449</v>
      </c>
      <c r="D15" s="24">
        <v>117.19486081370449</v>
      </c>
      <c r="E15" s="24">
        <v>0</v>
      </c>
      <c r="G15" s="24">
        <f t="shared" si="0"/>
        <v>13.378408768687727</v>
      </c>
      <c r="H15" s="24">
        <f t="shared" si="1"/>
        <v>13.378408768687727</v>
      </c>
      <c r="I15" s="24">
        <f t="shared" si="2"/>
        <v>0</v>
      </c>
    </row>
    <row r="16" spans="2:13" ht="15.75" x14ac:dyDescent="0.25">
      <c r="B16" s="23">
        <f t="shared" si="3"/>
        <v>2030</v>
      </c>
      <c r="C16" s="24">
        <v>119.87152034261243</v>
      </c>
      <c r="D16" s="24">
        <v>119.87152034261243</v>
      </c>
      <c r="E16" s="24">
        <v>0</v>
      </c>
      <c r="G16" s="24">
        <f t="shared" si="0"/>
        <v>13.683963509430642</v>
      </c>
      <c r="H16" s="24">
        <f t="shared" si="1"/>
        <v>13.683963509430642</v>
      </c>
      <c r="I16" s="24">
        <f t="shared" si="2"/>
        <v>0</v>
      </c>
    </row>
    <row r="17" spans="2:9" ht="15.75" x14ac:dyDescent="0.25">
      <c r="B17" s="23">
        <f t="shared" si="3"/>
        <v>2031</v>
      </c>
      <c r="C17" s="24">
        <v>122.61241970021415</v>
      </c>
      <c r="D17" s="24">
        <v>122.61241970021415</v>
      </c>
      <c r="E17" s="24">
        <v>0</v>
      </c>
      <c r="G17" s="24">
        <f t="shared" si="0"/>
        <v>13.996851563951386</v>
      </c>
      <c r="H17" s="24">
        <f t="shared" si="1"/>
        <v>13.996851563951386</v>
      </c>
      <c r="I17" s="24">
        <f t="shared" si="2"/>
        <v>0</v>
      </c>
    </row>
    <row r="18" spans="2:9" ht="15.75" x14ac:dyDescent="0.25">
      <c r="B18" s="23">
        <f t="shared" si="3"/>
        <v>2032</v>
      </c>
      <c r="C18" s="24">
        <v>125.406852248394</v>
      </c>
      <c r="D18" s="24">
        <v>125.406852248394</v>
      </c>
      <c r="E18" s="24">
        <v>0</v>
      </c>
      <c r="G18" s="24">
        <f t="shared" si="0"/>
        <v>14.27673636707582</v>
      </c>
      <c r="H18" s="24">
        <f t="shared" si="1"/>
        <v>14.27673636707582</v>
      </c>
      <c r="I18" s="24">
        <f t="shared" si="2"/>
        <v>0</v>
      </c>
    </row>
    <row r="19" spans="2:9" ht="15.75" x14ac:dyDescent="0.25">
      <c r="B19" s="23">
        <f t="shared" si="3"/>
        <v>2033</v>
      </c>
      <c r="C19" s="24">
        <v>128.26552462526766</v>
      </c>
      <c r="D19" s="24">
        <v>128.26552462526766</v>
      </c>
      <c r="E19" s="24">
        <v>0</v>
      </c>
      <c r="G19" s="24">
        <f t="shared" si="0"/>
        <v>14.642183176400417</v>
      </c>
      <c r="H19" s="24">
        <f t="shared" si="1"/>
        <v>14.642183176400417</v>
      </c>
      <c r="I19" s="24">
        <f t="shared" si="2"/>
        <v>0</v>
      </c>
    </row>
    <row r="20" spans="2:9" ht="15.75" x14ac:dyDescent="0.25">
      <c r="B20" s="23">
        <f t="shared" si="3"/>
        <v>2034</v>
      </c>
      <c r="C20" s="24">
        <v>131.19914346895078</v>
      </c>
      <c r="D20" s="24">
        <v>131.19914346895078</v>
      </c>
      <c r="E20" s="24">
        <v>0</v>
      </c>
      <c r="G20" s="24">
        <f t="shared" si="0"/>
        <v>14.977071172254655</v>
      </c>
      <c r="H20" s="24">
        <f t="shared" si="1"/>
        <v>14.977071172254655</v>
      </c>
      <c r="I20" s="24">
        <f t="shared" si="2"/>
        <v>0</v>
      </c>
    </row>
    <row r="21" spans="2:9" ht="15.75" x14ac:dyDescent="0.25">
      <c r="B21" s="23">
        <f t="shared" si="3"/>
        <v>2035</v>
      </c>
      <c r="C21" s="24">
        <v>134.19700214132763</v>
      </c>
      <c r="D21" s="24">
        <v>134.19700214132763</v>
      </c>
      <c r="E21" s="24">
        <v>0</v>
      </c>
      <c r="G21" s="24">
        <f t="shared" si="0"/>
        <v>15.319292481886716</v>
      </c>
      <c r="H21" s="24">
        <f t="shared" si="1"/>
        <v>15.319292481886716</v>
      </c>
      <c r="I21" s="24">
        <f t="shared" si="2"/>
        <v>0</v>
      </c>
    </row>
    <row r="22" spans="2:9" ht="15.75" x14ac:dyDescent="0.25">
      <c r="B22" s="23">
        <f t="shared" si="3"/>
        <v>2036</v>
      </c>
      <c r="C22" s="24">
        <v>137.25910064239827</v>
      </c>
      <c r="D22" s="24">
        <v>137.25910064239827</v>
      </c>
      <c r="E22" s="24">
        <v>0</v>
      </c>
      <c r="G22" s="24">
        <f t="shared" si="0"/>
        <v>15.62603604763186</v>
      </c>
      <c r="H22" s="24">
        <f t="shared" si="1"/>
        <v>15.62603604763186</v>
      </c>
      <c r="I22" s="24">
        <f t="shared" si="2"/>
        <v>0</v>
      </c>
    </row>
    <row r="23" spans="2:9" ht="15.75" x14ac:dyDescent="0.25">
      <c r="B23" s="23">
        <f t="shared" si="3"/>
        <v>2037</v>
      </c>
      <c r="C23" s="24">
        <v>140.38543897216275</v>
      </c>
      <c r="D23" s="24">
        <v>140.38543897216275</v>
      </c>
      <c r="E23" s="24">
        <v>0</v>
      </c>
      <c r="G23" s="24">
        <f t="shared" si="0"/>
        <v>16.025735042484332</v>
      </c>
      <c r="H23" s="24">
        <f t="shared" si="1"/>
        <v>16.025735042484332</v>
      </c>
      <c r="I23" s="24">
        <f t="shared" si="2"/>
        <v>0</v>
      </c>
    </row>
    <row r="24" spans="2:9" ht="15.75" x14ac:dyDescent="0.25">
      <c r="B24" s="23">
        <f t="shared" si="3"/>
        <v>2038</v>
      </c>
      <c r="C24" s="24">
        <v>143.58672376873665</v>
      </c>
      <c r="D24" s="24">
        <v>143.58672376873665</v>
      </c>
      <c r="E24" s="24">
        <v>0</v>
      </c>
      <c r="G24" s="24">
        <f t="shared" si="0"/>
        <v>16.391178512412857</v>
      </c>
      <c r="H24" s="24">
        <f t="shared" si="1"/>
        <v>16.391178512412857</v>
      </c>
      <c r="I24" s="24">
        <f t="shared" si="2"/>
        <v>0</v>
      </c>
    </row>
    <row r="25" spans="2:9" ht="15.75" x14ac:dyDescent="0.25">
      <c r="B25" s="23">
        <f t="shared" si="3"/>
        <v>2039</v>
      </c>
      <c r="C25" s="24">
        <v>146.85224839400428</v>
      </c>
      <c r="D25" s="24">
        <v>146.85224839400428</v>
      </c>
      <c r="E25" s="24">
        <v>0</v>
      </c>
      <c r="G25" s="24">
        <f t="shared" si="0"/>
        <v>16.76395529611921</v>
      </c>
      <c r="H25" s="24">
        <f t="shared" si="1"/>
        <v>16.76395529611921</v>
      </c>
      <c r="I25" s="24">
        <f t="shared" si="2"/>
        <v>0</v>
      </c>
    </row>
    <row r="26" spans="2:9" ht="15.75" x14ac:dyDescent="0.25">
      <c r="B26" s="23">
        <f t="shared" si="3"/>
        <v>2040</v>
      </c>
      <c r="C26" s="24">
        <v>150.20342612419699</v>
      </c>
      <c r="D26" s="24">
        <v>150.20342612419699</v>
      </c>
      <c r="E26" s="24">
        <v>0</v>
      </c>
      <c r="G26" s="24">
        <f t="shared" si="0"/>
        <v>17.099661444011499</v>
      </c>
      <c r="H26" s="24">
        <f t="shared" si="1"/>
        <v>17.099661444011499</v>
      </c>
      <c r="I26" s="24">
        <f t="shared" si="2"/>
        <v>0</v>
      </c>
    </row>
    <row r="27" spans="2:9" ht="15.75" x14ac:dyDescent="0.25">
      <c r="B27" s="23">
        <f t="shared" si="3"/>
        <v>2041</v>
      </c>
      <c r="C27" s="24">
        <v>153.62955032119916</v>
      </c>
      <c r="D27" s="24">
        <v>153.62955032119916</v>
      </c>
      <c r="E27" s="24">
        <v>0</v>
      </c>
      <c r="G27" s="24">
        <f t="shared" si="0"/>
        <v>17.537619899680273</v>
      </c>
      <c r="H27" s="24">
        <f t="shared" si="1"/>
        <v>17.537619899680273</v>
      </c>
      <c r="I27" s="24">
        <f t="shared" si="2"/>
        <v>0</v>
      </c>
    </row>
    <row r="28" spans="2:9" ht="15.75" x14ac:dyDescent="0.25">
      <c r="B28" s="23">
        <f t="shared" si="3"/>
        <v>2042</v>
      </c>
      <c r="C28" s="24">
        <v>137.25910064239827</v>
      </c>
      <c r="D28" s="24">
        <v>137.25910064239827</v>
      </c>
      <c r="E28" s="24">
        <v>0</v>
      </c>
      <c r="G28" s="24">
        <f t="shared" si="0"/>
        <v>15.668847105296605</v>
      </c>
      <c r="H28" s="24">
        <f t="shared" si="1"/>
        <v>15.668847105296605</v>
      </c>
      <c r="I28" s="24">
        <f t="shared" si="2"/>
        <v>0</v>
      </c>
    </row>
    <row r="29" spans="2:9" ht="15.75" x14ac:dyDescent="0.25">
      <c r="B29" s="23"/>
      <c r="C29" s="25"/>
      <c r="D29" s="25"/>
      <c r="E29" s="25"/>
      <c r="G29" s="25"/>
      <c r="H29" s="25"/>
    </row>
    <row r="30" spans="2:9" x14ac:dyDescent="0.2">
      <c r="B30" s="18" t="str">
        <f>"Nominal Levelized Payment at "&amp;TEXT($B$41,"0.000%")&amp;" Discount Rate (2)"</f>
        <v>Nominal Levelized Payment at 6.380% Discount Rate (2)</v>
      </c>
    </row>
    <row r="31" spans="2:9" x14ac:dyDescent="0.2">
      <c r="B31" s="26" t="str">
        <f>$B$11&amp;" - "&amp;B25</f>
        <v>2025 - 2039</v>
      </c>
      <c r="C31" s="27">
        <f t="shared" ref="C31:E33" si="4">PMT($B$41,COUNT(C11:C25),-NPV($B$41,C11:C25))</f>
        <v>82.6899924216942</v>
      </c>
      <c r="D31" s="27">
        <f t="shared" ref="D31" si="5">PMT($B$41,COUNT(D11:D25),-NPV($B$41,D11:D25))</f>
        <v>82.6899924216942</v>
      </c>
      <c r="E31" s="27">
        <f t="shared" si="4"/>
        <v>0</v>
      </c>
      <c r="G31" s="27">
        <f t="shared" ref="G31:I33" si="6">PMT($B$41,COUNT(G11:G25),-NPV($B$41,G11:G25))</f>
        <v>9.4348290930798537</v>
      </c>
      <c r="H31" s="27">
        <f t="shared" ref="H31" si="7">PMT($B$41,COUNT(H11:H25),-NPV($B$41,H11:H25))</f>
        <v>9.4348290930798537</v>
      </c>
      <c r="I31" s="27">
        <f t="shared" si="6"/>
        <v>0</v>
      </c>
    </row>
    <row r="32" spans="2:9" x14ac:dyDescent="0.2">
      <c r="B32" s="26" t="str">
        <f>$B$12&amp;" - "&amp;B26</f>
        <v>2026 - 2040</v>
      </c>
      <c r="C32" s="27">
        <f t="shared" si="4"/>
        <v>94.234265749161352</v>
      </c>
      <c r="D32" s="27">
        <f t="shared" ref="D32" si="8">PMT($B$41,COUNT(D12:D26),-NPV($B$41,D12:D26))</f>
        <v>94.234265749161352</v>
      </c>
      <c r="E32" s="27">
        <f t="shared" si="4"/>
        <v>0</v>
      </c>
      <c r="G32" s="27">
        <f t="shared" si="6"/>
        <v>10.750415521067515</v>
      </c>
      <c r="H32" s="27">
        <f t="shared" ref="H32" si="9">PMT($B$41,COUNT(H12:H26),-NPV($B$41,H12:H26))</f>
        <v>10.750415521067515</v>
      </c>
      <c r="I32" s="27">
        <f t="shared" si="6"/>
        <v>0</v>
      </c>
    </row>
    <row r="33" spans="2:12" x14ac:dyDescent="0.2">
      <c r="B33" s="26" t="str">
        <f>$B$13&amp;" - "&amp;B27</f>
        <v>2027 - 2041</v>
      </c>
      <c r="C33" s="27">
        <f t="shared" si="4"/>
        <v>106.65805099694447</v>
      </c>
      <c r="D33" s="27">
        <f t="shared" ref="D33" si="10">PMT($B$41,COUNT(D13:D27),-NPV($B$41,D13:D27))</f>
        <v>106.65805099694447</v>
      </c>
      <c r="E33" s="27">
        <f t="shared" si="4"/>
        <v>0</v>
      </c>
      <c r="G33" s="27">
        <f t="shared" si="6"/>
        <v>12.168214302200507</v>
      </c>
      <c r="H33" s="27">
        <f t="shared" ref="H33" si="11">PMT($B$41,COUNT(H13:H27),-NPV($B$41,H13:H27))</f>
        <v>12.168214302200507</v>
      </c>
      <c r="I33" s="27">
        <f t="shared" si="6"/>
        <v>0</v>
      </c>
    </row>
    <row r="35" spans="2:12" x14ac:dyDescent="0.2">
      <c r="B35" s="18" t="str">
        <f>"(1)   Capacity costs are allocated based on assumed "&amp;TEXT(B43,"00%")&amp;" capacity factor."</f>
        <v>(1)   Capacity costs are allocated based on assumed 100% capacity factor.</v>
      </c>
    </row>
    <row r="36" spans="2:12" s="1" customFormat="1" x14ac:dyDescent="0.2">
      <c r="B36" s="18" t="str">
        <f>"(2)   "&amp;MID(Total!B36,7,99)</f>
        <v>(2)   Official Forward Price Curve Dated March 2025</v>
      </c>
      <c r="C36" s="18"/>
      <c r="D36" s="18"/>
      <c r="E36" s="18"/>
      <c r="F36" s="18"/>
      <c r="G36" s="18"/>
      <c r="H36" s="18"/>
      <c r="K36"/>
      <c r="L36"/>
    </row>
    <row r="37" spans="2:12" x14ac:dyDescent="0.2">
      <c r="B37" s="18" t="s">
        <v>16</v>
      </c>
    </row>
    <row r="40" spans="2:12" x14ac:dyDescent="0.2">
      <c r="B40" s="18" t="str">
        <f>MID(Total!B36,7,99)</f>
        <v>Official Forward Price Curve Dated March 2025</v>
      </c>
    </row>
    <row r="41" spans="2:12" x14ac:dyDescent="0.2">
      <c r="B41" s="28">
        <f>Discount_Rate</f>
        <v>6.3799999999999996E-2</v>
      </c>
    </row>
    <row r="42" spans="2:12" x14ac:dyDescent="0.2">
      <c r="B42" s="18" t="s">
        <v>17</v>
      </c>
    </row>
    <row r="43" spans="2:12" x14ac:dyDescent="0.2">
      <c r="B43" s="67">
        <v>1</v>
      </c>
    </row>
  </sheetData>
  <printOptions horizontalCentered="1"/>
  <pageMargins left="0.25" right="0.25" top="0.75" bottom="0.75" header="0.3" footer="0.2"/>
  <pageSetup scale="71" orientation="landscape" r:id="rId1"/>
  <headerFooter alignWithMargins="0">
    <oddFooter>&amp;L&amp;8NPC Group - &amp;F   ( &amp;A )&amp;C&amp;8Page &amp;P of &amp;N&amp;R&amp;8&amp;D 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6</vt:i4>
      </vt:variant>
    </vt:vector>
  </HeadingPairs>
  <TitlesOfParts>
    <vt:vector size="11" baseType="lpstr">
      <vt:lpstr>Summary</vt:lpstr>
      <vt:lpstr>Incremental</vt:lpstr>
      <vt:lpstr>Total</vt:lpstr>
      <vt:lpstr>Energy</vt:lpstr>
      <vt:lpstr>Capacity</vt:lpstr>
      <vt:lpstr>Summary!Discount_Rate</vt:lpstr>
      <vt:lpstr>Discount_Rate</vt:lpstr>
      <vt:lpstr>Capacity!Print_Area</vt:lpstr>
      <vt:lpstr>Energy!Print_Area</vt:lpstr>
      <vt:lpstr>Incremental!Print_Area</vt:lpstr>
      <vt:lpstr>Total!Print_Area</vt:lpstr>
    </vt:vector>
  </TitlesOfParts>
  <Company>PacifiCorp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Farmer</dc:creator>
  <cp:lastModifiedBy>Fred Nass</cp:lastModifiedBy>
  <cp:lastPrinted>2015-11-10T17:35:19Z</cp:lastPrinted>
  <dcterms:created xsi:type="dcterms:W3CDTF">2006-07-10T20:43:15Z</dcterms:created>
  <dcterms:modified xsi:type="dcterms:W3CDTF">2025-05-07T18:20:00Z</dcterms:modified>
</cp:coreProperties>
</file>