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4BBE50AE-300B-43A5-B60C-A846DEAEC2A5}" xr6:coauthVersionLast="47" xr6:coauthVersionMax="47" xr10:uidLastSave="{00000000-0000-0000-0000-000000000000}"/>
  <bookViews>
    <workbookView xWindow="30" yWindow="1005" windowWidth="24315" windowHeight="19875" xr2:uid="{5A82BEF7-7F4B-4747-B172-E2839BACFFB0}"/>
  </bookViews>
  <sheets>
    <sheet name="Appendix B.2" sheetId="195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BAT.PX.UTS._.ITC.Li_4hr.2027" sheetId="190" state="hidden" r:id="rId7"/>
    <sheet name="BAT.PX.WSF.ITC.IronAir100hr2030" sheetId="193" state="hidden" r:id="rId8"/>
    <sheet name="GSC.PX.BDG._.___.Frame 2030" sheetId="194" state="hidden" r:id="rId9"/>
    <sheet name="WD_.PX.DJW._.PTC.2028" sheetId="139" state="hidden" r:id="rId10"/>
    <sheet name="WD_.PX.DJW._.PTC.2029" sheetId="176" state="hidden" r:id="rId11"/>
    <sheet name="2025 IRP Assumptions" sheetId="167" state="hidden" r:id="rId12"/>
    <sheet name="PV_.PX.WMV._.PTC.2032" sheetId="181" r:id="rId13"/>
    <sheet name="Table 3 TransCost" sheetId="47" state="hidden" r:id="rId14"/>
    <sheet name="WD_.PX.WMV._.PTC.2032" sheetId="177" state="hidden" r:id="rId15"/>
    <sheet name="PV_.PX.WMV._.PTC.2036" sheetId="182" state="hidden" r:id="rId16"/>
    <sheet name="PV_.PX.YAK._.PTC.2032" sheetId="192" state="hidden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_xlnm._FilterDatabase" localSheetId="5" hidden="1">Table3Compare!$A$54:$V$58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6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6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6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6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6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1'!$I$43</definedName>
    <definedName name="Inflation" localSheetId="0">'[1]Table 1'!$J$45</definedName>
    <definedName name="Inflation">'Table 1'!$J$45</definedName>
    <definedName name="IRP23_Infl_Rate" localSheetId="0">'[1]Table 1'!$K$47</definedName>
    <definedName name="IRP23_Infl_Rate">#REF!</definedName>
    <definedName name="OATT">#REF!</definedName>
    <definedName name="_xlnm.Print_Area" localSheetId="12">'PV_.PX.WMV._.PTC.2032'!$A$1:$O$61</definedName>
    <definedName name="_xlnm.Print_Area" localSheetId="1">'Table 1'!$A$1:$H$61</definedName>
    <definedName name="_xlnm.Print_Area" localSheetId="4">'Table 5'!$A$1:$G$276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8" i="195" l="1"/>
  <c r="K31" i="195"/>
  <c r="K30" i="195"/>
  <c r="H30" i="195"/>
  <c r="G30" i="195"/>
  <c r="F30" i="195"/>
  <c r="E30" i="195"/>
  <c r="K28" i="195"/>
  <c r="K29" i="195" s="1"/>
  <c r="H28" i="195"/>
  <c r="G28" i="195"/>
  <c r="F28" i="195"/>
  <c r="E28" i="195"/>
  <c r="B12" i="195"/>
  <c r="B11" i="195"/>
  <c r="E11" i="195" s="1"/>
  <c r="F10" i="195"/>
  <c r="B10" i="195"/>
  <c r="H10" i="195" s="1"/>
  <c r="H9" i="195"/>
  <c r="G9" i="195"/>
  <c r="F9" i="195"/>
  <c r="E9" i="195"/>
  <c r="K9" i="195" s="1"/>
  <c r="G6" i="195"/>
  <c r="H6" i="195" s="1"/>
  <c r="E6" i="195"/>
  <c r="D6" i="195"/>
  <c r="FE9" i="25"/>
  <c r="G12" i="195" l="1"/>
  <c r="H12" i="195"/>
  <c r="F11" i="195"/>
  <c r="B13" i="195"/>
  <c r="G11" i="195"/>
  <c r="H11" i="195"/>
  <c r="K11" i="195" s="1"/>
  <c r="F12" i="195"/>
  <c r="E12" i="195"/>
  <c r="K12" i="195" s="1"/>
  <c r="E10" i="195"/>
  <c r="K10" i="195" s="1"/>
  <c r="G10" i="195"/>
  <c r="A11" i="47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G11" i="47"/>
  <c r="G12" i="47" s="1"/>
  <c r="G13" i="47" s="1"/>
  <c r="G14" i="47" s="1"/>
  <c r="G15" i="47" s="1"/>
  <c r="G16" i="47" s="1"/>
  <c r="G17" i="47" s="1"/>
  <c r="G18" i="47" s="1"/>
  <c r="G19" i="47" s="1"/>
  <c r="G20" i="47" s="1"/>
  <c r="G21" i="47" s="1"/>
  <c r="G22" i="47" s="1"/>
  <c r="G23" i="47" s="1"/>
  <c r="G24" i="47" s="1"/>
  <c r="G25" i="47" s="1"/>
  <c r="G26" i="47" s="1"/>
  <c r="G27" i="47" s="1"/>
  <c r="G28" i="47" s="1"/>
  <c r="G29" i="47" s="1"/>
  <c r="G30" i="47" s="1"/>
  <c r="G31" i="47" s="1"/>
  <c r="G32" i="47" s="1"/>
  <c r="G33" i="47" s="1"/>
  <c r="G34" i="47" s="1"/>
  <c r="G35" i="47" s="1"/>
  <c r="L11" i="47"/>
  <c r="L12" i="47" s="1"/>
  <c r="L13" i="47" s="1"/>
  <c r="L14" i="47" s="1"/>
  <c r="L15" i="47" s="1"/>
  <c r="L16" i="47" s="1"/>
  <c r="L17" i="47" s="1"/>
  <c r="L18" i="47" s="1"/>
  <c r="L19" i="47" s="1"/>
  <c r="L20" i="47" s="1"/>
  <c r="L21" i="47" s="1"/>
  <c r="L22" i="47" s="1"/>
  <c r="L23" i="47" s="1"/>
  <c r="L24" i="47" s="1"/>
  <c r="L25" i="47" s="1"/>
  <c r="L26" i="47" s="1"/>
  <c r="L27" i="47" s="1"/>
  <c r="L28" i="47" s="1"/>
  <c r="L29" i="47" s="1"/>
  <c r="L30" i="47" s="1"/>
  <c r="L31" i="47" s="1"/>
  <c r="L32" i="47" s="1"/>
  <c r="L33" i="47" s="1"/>
  <c r="L34" i="47" s="1"/>
  <c r="L35" i="47" s="1"/>
  <c r="V11" i="47"/>
  <c r="V12" i="47" s="1"/>
  <c r="V13" i="47" s="1"/>
  <c r="V14" i="47" s="1"/>
  <c r="V15" i="47" s="1"/>
  <c r="V16" i="47" s="1"/>
  <c r="V17" i="47" s="1"/>
  <c r="V18" i="47" s="1"/>
  <c r="V19" i="47" s="1"/>
  <c r="V20" i="47" s="1"/>
  <c r="V21" i="47" s="1"/>
  <c r="V22" i="47" s="1"/>
  <c r="V23" i="47" s="1"/>
  <c r="V24" i="47" s="1"/>
  <c r="V25" i="47" s="1"/>
  <c r="V26" i="47" s="1"/>
  <c r="V27" i="47" s="1"/>
  <c r="V28" i="47" s="1"/>
  <c r="V29" i="47" s="1"/>
  <c r="V30" i="47" s="1"/>
  <c r="V31" i="47" s="1"/>
  <c r="V32" i="47" s="1"/>
  <c r="V33" i="47" s="1"/>
  <c r="V34" i="47" s="1"/>
  <c r="V35" i="47" s="1"/>
  <c r="H13" i="195" l="1"/>
  <c r="G13" i="195"/>
  <c r="F13" i="195"/>
  <c r="E13" i="195"/>
  <c r="K13" i="195" s="1"/>
  <c r="B14" i="195"/>
  <c r="B2" i="131"/>
  <c r="B3" i="131"/>
  <c r="B5" i="131"/>
  <c r="B6" i="131"/>
  <c r="B15" i="195" l="1"/>
  <c r="E14" i="195"/>
  <c r="K14" i="195" s="1"/>
  <c r="G14" i="195"/>
  <c r="F14" i="195"/>
  <c r="H14" i="195"/>
  <c r="C18" i="192"/>
  <c r="F15" i="195" l="1"/>
  <c r="E15" i="195"/>
  <c r="H15" i="195"/>
  <c r="B16" i="195"/>
  <c r="G15" i="195"/>
  <c r="AH7" i="25"/>
  <c r="AF7" i="25"/>
  <c r="U7" i="25"/>
  <c r="Q7" i="25"/>
  <c r="P7" i="25"/>
  <c r="BP7" i="25"/>
  <c r="BN7" i="25"/>
  <c r="BC7" i="25"/>
  <c r="AY7" i="25"/>
  <c r="AX7" i="25"/>
  <c r="CZ7" i="25"/>
  <c r="CX7" i="25"/>
  <c r="CM7" i="25"/>
  <c r="B17" i="195" l="1"/>
  <c r="H16" i="195"/>
  <c r="G16" i="195"/>
  <c r="F16" i="195"/>
  <c r="E16" i="195"/>
  <c r="K16" i="195" s="1"/>
  <c r="K15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G17" i="195" l="1"/>
  <c r="B18" i="195"/>
  <c r="H17" i="195"/>
  <c r="E17" i="195"/>
  <c r="K17" i="195" s="1"/>
  <c r="F17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H18" i="195" l="1"/>
  <c r="F18" i="195"/>
  <c r="G18" i="195"/>
  <c r="E18" i="195"/>
  <c r="K18" i="195" s="1"/>
  <c r="B19" i="195"/>
  <c r="I13" i="31"/>
  <c r="B20" i="195" l="1"/>
  <c r="H19" i="195"/>
  <c r="G19" i="195"/>
  <c r="F19" i="195"/>
  <c r="E19" i="195"/>
  <c r="K19" i="195" s="1"/>
  <c r="E43" i="131"/>
  <c r="G2" i="131"/>
  <c r="F2" i="131"/>
  <c r="E2" i="131"/>
  <c r="D2" i="131"/>
  <c r="C2" i="131"/>
  <c r="E20" i="195" l="1"/>
  <c r="H20" i="195"/>
  <c r="B21" i="195"/>
  <c r="G20" i="195"/>
  <c r="F20" i="195"/>
  <c r="D67" i="194"/>
  <c r="C66" i="194"/>
  <c r="C67" i="194"/>
  <c r="C64" i="194"/>
  <c r="E83" i="194"/>
  <c r="E92" i="194"/>
  <c r="H10" i="194"/>
  <c r="I10" i="194"/>
  <c r="C10" i="194"/>
  <c r="K20" i="195" l="1"/>
  <c r="H21" i="195"/>
  <c r="G21" i="195"/>
  <c r="F21" i="195"/>
  <c r="E21" i="195"/>
  <c r="K21" i="195" s="1"/>
  <c r="B22" i="195"/>
  <c r="H73" i="194"/>
  <c r="D97" i="194"/>
  <c r="E22" i="195" l="1"/>
  <c r="B23" i="195"/>
  <c r="F22" i="195"/>
  <c r="H22" i="195"/>
  <c r="G22" i="195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23" i="195" l="1"/>
  <c r="E23" i="195"/>
  <c r="B24" i="195"/>
  <c r="G23" i="195"/>
  <c r="H23" i="195"/>
  <c r="B39" i="195"/>
  <c r="K22" i="195"/>
  <c r="F75" i="194"/>
  <c r="H75" i="194" s="1"/>
  <c r="H79" i="194"/>
  <c r="F80" i="194"/>
  <c r="I73" i="194"/>
  <c r="I75" i="194" s="1"/>
  <c r="F10" i="194"/>
  <c r="B16" i="194"/>
  <c r="H78" i="194"/>
  <c r="J78" i="194"/>
  <c r="B25" i="195" l="1"/>
  <c r="H24" i="195"/>
  <c r="G24" i="195"/>
  <c r="F24" i="195"/>
  <c r="E24" i="195"/>
  <c r="K24" i="195" s="1"/>
  <c r="K23" i="195"/>
  <c r="G73" i="194"/>
  <c r="G75" i="194" s="1"/>
  <c r="H80" i="194"/>
  <c r="I78" i="194" s="1"/>
  <c r="B17" i="194"/>
  <c r="G25" i="195" l="1"/>
  <c r="F25" i="195"/>
  <c r="H25" i="195"/>
  <c r="E25" i="195"/>
  <c r="K25" i="195" s="1"/>
  <c r="B18" i="194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D47" i="193" l="1"/>
  <c r="C47" i="193"/>
  <c r="D46" i="193"/>
  <c r="C46" i="193"/>
  <c r="D45" i="193"/>
  <c r="C45" i="193"/>
  <c r="D44" i="193"/>
  <c r="C44" i="193"/>
  <c r="C43" i="193"/>
  <c r="B12" i="193"/>
  <c r="B13" i="193" s="1"/>
  <c r="B14" i="193" s="1"/>
  <c r="B15" i="193" s="1"/>
  <c r="B16" i="193" s="1"/>
  <c r="B17" i="193" s="1"/>
  <c r="B18" i="193" s="1"/>
  <c r="B19" i="193" s="1"/>
  <c r="B20" i="193" s="1"/>
  <c r="B21" i="193" s="1"/>
  <c r="B22" i="193" s="1"/>
  <c r="B23" i="193" s="1"/>
  <c r="B24" i="193" s="1"/>
  <c r="B25" i="193" s="1"/>
  <c r="B26" i="193" s="1"/>
  <c r="B27" i="193" s="1"/>
  <c r="B28" i="193" s="1"/>
  <c r="B29" i="193" s="1"/>
  <c r="B30" i="193" s="1"/>
  <c r="B31" i="193" s="1"/>
  <c r="B32" i="193" s="1"/>
  <c r="B33" i="193" s="1"/>
  <c r="B34" i="193" s="1"/>
  <c r="B35" i="193" s="1"/>
  <c r="B36" i="193" s="1"/>
  <c r="B11" i="193"/>
  <c r="E10" i="193"/>
  <c r="C10" i="193"/>
  <c r="B3" i="193"/>
  <c r="B2" i="193"/>
  <c r="D18" i="192" l="1"/>
  <c r="E3" i="131" l="1"/>
  <c r="E6" i="131"/>
  <c r="E5" i="131"/>
  <c r="E36" i="131"/>
  <c r="D45" i="192"/>
  <c r="D44" i="192"/>
  <c r="D47" i="192"/>
  <c r="C47" i="192"/>
  <c r="D46" i="192"/>
  <c r="C46" i="192"/>
  <c r="C45" i="192"/>
  <c r="C44" i="192"/>
  <c r="C43" i="192"/>
  <c r="B12" i="192"/>
  <c r="B13" i="192" s="1"/>
  <c r="B11" i="192"/>
  <c r="E10" i="192"/>
  <c r="E11" i="192" s="1" a="1"/>
  <c r="E11" i="192" s="1"/>
  <c r="C10" i="192"/>
  <c r="B2" i="192"/>
  <c r="B14" i="192" l="1"/>
  <c r="B15" i="192" s="1"/>
  <c r="E12" i="192" a="1"/>
  <c r="E12" i="192" s="1"/>
  <c r="E13" i="192" a="1"/>
  <c r="E13" i="192" s="1"/>
  <c r="B3" i="192"/>
  <c r="C50" i="192" s="1"/>
  <c r="B9" i="192" s="1"/>
  <c r="E14" i="192" a="1"/>
  <c r="E14" i="192" s="1"/>
  <c r="B16" i="192" l="1"/>
  <c r="E15" i="192" a="1"/>
  <c r="E15" i="192" s="1"/>
  <c r="B17" i="192" l="1"/>
  <c r="E16" i="192" a="1"/>
  <c r="E16" i="192" s="1"/>
  <c r="E17" i="192" l="1" a="1"/>
  <c r="E17" i="192" s="1"/>
  <c r="B18" i="192"/>
  <c r="B19" i="192" l="1"/>
  <c r="E18" i="192" a="1"/>
  <c r="E18" i="192" s="1"/>
  <c r="B20" i="192" l="1"/>
  <c r="E19" i="192" a="1"/>
  <c r="E19" i="192" s="1"/>
  <c r="B21" i="192" l="1"/>
  <c r="E20" i="192" a="1"/>
  <c r="E20" i="192" s="1"/>
  <c r="B22" i="192" l="1"/>
  <c r="E21" i="192" a="1"/>
  <c r="E21" i="192" s="1"/>
  <c r="B23" i="192" l="1"/>
  <c r="E22" i="192" a="1"/>
  <c r="E22" i="192" s="1"/>
  <c r="B24" i="192" l="1"/>
  <c r="E23" i="192" a="1"/>
  <c r="E23" i="192" s="1"/>
  <c r="B25" i="192" l="1"/>
  <c r="E24" i="192" a="1"/>
  <c r="E24" i="192" s="1"/>
  <c r="B26" i="192" l="1"/>
  <c r="E25" i="192" a="1"/>
  <c r="E25" i="192" s="1"/>
  <c r="B27" i="192" l="1"/>
  <c r="E26" i="192" a="1"/>
  <c r="E26" i="192" s="1"/>
  <c r="B28" i="192" l="1"/>
  <c r="E27" i="192" a="1"/>
  <c r="E27" i="192" s="1"/>
  <c r="B29" i="192" l="1"/>
  <c r="E28" i="192" a="1"/>
  <c r="E28" i="192" s="1"/>
  <c r="E29" i="192" l="1" a="1"/>
  <c r="E29" i="192" s="1"/>
  <c r="B30" i="192"/>
  <c r="B31" i="192" l="1"/>
  <c r="E30" i="192" a="1"/>
  <c r="E30" i="192" s="1"/>
  <c r="B32" i="192" l="1"/>
  <c r="E31" i="192" a="1"/>
  <c r="E31" i="192" s="1"/>
  <c r="B33" i="192" l="1"/>
  <c r="E32" i="192" a="1"/>
  <c r="E32" i="192" s="1"/>
  <c r="B34" i="192" l="1"/>
  <c r="E33" i="192" a="1"/>
  <c r="E33" i="192" s="1"/>
  <c r="E34" i="192" s="1"/>
  <c r="E35" i="192" s="1"/>
  <c r="E36" i="192" s="1"/>
  <c r="B35" i="192" l="1"/>
  <c r="B36" i="192" l="1"/>
  <c r="V276" i="167" l="1"/>
  <c r="V278" i="167"/>
  <c r="V279" i="167"/>
  <c r="V280" i="167"/>
  <c r="V281" i="167"/>
  <c r="V282" i="167"/>
  <c r="V283" i="167"/>
  <c r="V284" i="167"/>
  <c r="V285" i="167"/>
  <c r="V286" i="167"/>
  <c r="V287" i="167"/>
  <c r="V288" i="167"/>
  <c r="V289" i="167"/>
  <c r="V290" i="167"/>
  <c r="V291" i="167"/>
  <c r="V292" i="167"/>
  <c r="V293" i="167"/>
  <c r="V294" i="167"/>
  <c r="V295" i="167"/>
  <c r="V296" i="167"/>
  <c r="V297" i="167"/>
  <c r="V298" i="167"/>
  <c r="V277" i="167"/>
  <c r="D45" i="190"/>
  <c r="D44" i="190"/>
  <c r="D47" i="190"/>
  <c r="C47" i="190"/>
  <c r="D46" i="190"/>
  <c r="C46" i="190"/>
  <c r="C45" i="190"/>
  <c r="C44" i="190"/>
  <c r="C43" i="190"/>
  <c r="B12" i="190"/>
  <c r="B13" i="190" s="1"/>
  <c r="B14" i="190" s="1"/>
  <c r="B11" i="190"/>
  <c r="E10" i="190"/>
  <c r="C10" i="190"/>
  <c r="B2" i="190"/>
  <c r="B15" i="190" l="1"/>
  <c r="B3" i="190"/>
  <c r="C50" i="190" s="1"/>
  <c r="B9" i="190" s="1"/>
  <c r="Q8" i="25"/>
  <c r="U8" i="25"/>
  <c r="AF8" i="25"/>
  <c r="AH8" i="25"/>
  <c r="P8" i="25"/>
  <c r="AY8" i="25"/>
  <c r="BC8" i="25"/>
  <c r="BN8" i="25"/>
  <c r="BP8" i="25"/>
  <c r="AX8" i="25"/>
  <c r="D5" i="131"/>
  <c r="C5" i="131"/>
  <c r="B16" i="190" l="1"/>
  <c r="G5" i="131"/>
  <c r="F5" i="131"/>
  <c r="B17" i="190" l="1"/>
  <c r="B58" i="131" l="1"/>
  <c r="D58" i="131"/>
  <c r="E58" i="131"/>
  <c r="B18" i="190"/>
  <c r="G36" i="131"/>
  <c r="F36" i="131"/>
  <c r="B19" i="190" l="1"/>
  <c r="G3" i="131"/>
  <c r="E56" i="131" s="1"/>
  <c r="F3" i="131"/>
  <c r="E57" i="131" s="1"/>
  <c r="B10" i="47"/>
  <c r="Q11" i="47"/>
  <c r="Q12" i="47" s="1"/>
  <c r="Q13" i="47" s="1"/>
  <c r="B20" i="190" l="1"/>
  <c r="Q14" i="47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W21" i="47"/>
  <c r="X21" i="47"/>
  <c r="X22" i="47" s="1"/>
  <c r="X23" i="47" s="1"/>
  <c r="X24" i="47" s="1"/>
  <c r="X25" i="47" s="1"/>
  <c r="X26" i="47" s="1"/>
  <c r="X27" i="47" s="1"/>
  <c r="X28" i="47" s="1"/>
  <c r="X29" i="47" s="1"/>
  <c r="X30" i="47" s="1"/>
  <c r="X31" i="47" s="1"/>
  <c r="X32" i="47" s="1"/>
  <c r="X33" i="47" s="1"/>
  <c r="X34" i="47" s="1"/>
  <c r="X35" i="47" s="1"/>
  <c r="W4" i="47"/>
  <c r="R17" i="47"/>
  <c r="S17" i="47"/>
  <c r="R4" i="47"/>
  <c r="M13" i="47"/>
  <c r="M14" i="47" s="1"/>
  <c r="M15" i="47" s="1"/>
  <c r="M16" i="47" s="1"/>
  <c r="M17" i="47" s="1"/>
  <c r="M18" i="47" s="1"/>
  <c r="M19" i="47" s="1"/>
  <c r="M20" i="47" s="1"/>
  <c r="M21" i="47" s="1"/>
  <c r="M22" i="47" s="1"/>
  <c r="M23" i="47" s="1"/>
  <c r="M24" i="47" s="1"/>
  <c r="M25" i="47" s="1"/>
  <c r="M26" i="47" s="1"/>
  <c r="M27" i="47" s="1"/>
  <c r="M28" i="47" s="1"/>
  <c r="M29" i="47" s="1"/>
  <c r="M30" i="47" s="1"/>
  <c r="M31" i="47" s="1"/>
  <c r="M32" i="47" s="1"/>
  <c r="M33" i="47" s="1"/>
  <c r="M34" i="47" s="1"/>
  <c r="M35" i="47" s="1"/>
  <c r="N13" i="47"/>
  <c r="N14" i="47" s="1"/>
  <c r="N15" i="47" s="1"/>
  <c r="N16" i="47" s="1"/>
  <c r="N17" i="47" s="1"/>
  <c r="N18" i="47" s="1"/>
  <c r="N19" i="47" s="1"/>
  <c r="N20" i="47" s="1"/>
  <c r="N21" i="47" s="1"/>
  <c r="N22" i="47" s="1"/>
  <c r="N23" i="47" s="1"/>
  <c r="N24" i="47" s="1"/>
  <c r="N25" i="47" s="1"/>
  <c r="N26" i="47" s="1"/>
  <c r="N27" i="47" s="1"/>
  <c r="N28" i="47" s="1"/>
  <c r="N29" i="47" s="1"/>
  <c r="N30" i="47" s="1"/>
  <c r="N31" i="47" s="1"/>
  <c r="N32" i="47" s="1"/>
  <c r="N33" i="47" s="1"/>
  <c r="N34" i="47" s="1"/>
  <c r="N35" i="47" s="1"/>
  <c r="M4" i="47"/>
  <c r="H12" i="47"/>
  <c r="I12" i="47"/>
  <c r="I13" i="47" s="1"/>
  <c r="I14" i="47" s="1"/>
  <c r="I15" i="47" s="1"/>
  <c r="I16" i="47" s="1"/>
  <c r="I17" i="47" s="1"/>
  <c r="I18" i="47" s="1"/>
  <c r="I19" i="47" s="1"/>
  <c r="I20" i="47" s="1"/>
  <c r="I21" i="47" s="1"/>
  <c r="I22" i="47" s="1"/>
  <c r="I23" i="47" s="1"/>
  <c r="I24" i="47" s="1"/>
  <c r="I25" i="47" s="1"/>
  <c r="I26" i="47" s="1"/>
  <c r="I27" i="47" s="1"/>
  <c r="I28" i="47" s="1"/>
  <c r="I29" i="47" s="1"/>
  <c r="I30" i="47" s="1"/>
  <c r="I31" i="47" s="1"/>
  <c r="I32" i="47" s="1"/>
  <c r="I33" i="47" s="1"/>
  <c r="I34" i="47" s="1"/>
  <c r="I35" i="47" s="1"/>
  <c r="H4" i="47"/>
  <c r="B36" i="131"/>
  <c r="C36" i="131"/>
  <c r="D36" i="131"/>
  <c r="D3" i="131"/>
  <c r="E41" i="131" s="1"/>
  <c r="I43" i="25"/>
  <c r="C3" i="131"/>
  <c r="E42" i="131" s="1"/>
  <c r="H13" i="47" l="1"/>
  <c r="H14" i="47" s="1"/>
  <c r="H15" i="47" s="1"/>
  <c r="H16" i="47" s="1"/>
  <c r="H17" i="47" s="1"/>
  <c r="H18" i="47" s="1"/>
  <c r="H19" i="47" s="1"/>
  <c r="H20" i="47" s="1"/>
  <c r="H21" i="47" s="1"/>
  <c r="H22" i="47" s="1"/>
  <c r="H23" i="47" s="1"/>
  <c r="H24" i="47" s="1"/>
  <c r="H25" i="47" s="1"/>
  <c r="H26" i="47" s="1"/>
  <c r="H27" i="47" s="1"/>
  <c r="H28" i="47" s="1"/>
  <c r="H29" i="47" s="1"/>
  <c r="H30" i="47" s="1"/>
  <c r="H31" i="47" s="1"/>
  <c r="H32" i="47" s="1"/>
  <c r="H33" i="47" s="1"/>
  <c r="H34" i="47" s="1"/>
  <c r="H35" i="47" s="1"/>
  <c r="W22" i="47"/>
  <c r="W23" i="47" s="1"/>
  <c r="W24" i="47" s="1"/>
  <c r="W25" i="47" s="1"/>
  <c r="W26" i="47" s="1"/>
  <c r="W27" i="47" s="1"/>
  <c r="W28" i="47" s="1"/>
  <c r="W29" i="47" s="1"/>
  <c r="W30" i="47" s="1"/>
  <c r="W31" i="47" s="1"/>
  <c r="W32" i="47" s="1"/>
  <c r="W33" i="47" s="1"/>
  <c r="W34" i="47" s="1"/>
  <c r="W35" i="47" s="1"/>
  <c r="S18" i="47"/>
  <c r="M253" i="31"/>
  <c r="M269" i="31"/>
  <c r="M265" i="31"/>
  <c r="M251" i="31"/>
  <c r="M268" i="31"/>
  <c r="M254" i="31"/>
  <c r="M270" i="31"/>
  <c r="M272" i="31"/>
  <c r="M257" i="31"/>
  <c r="M258" i="31"/>
  <c r="M243" i="31"/>
  <c r="M260" i="31"/>
  <c r="M276" i="31"/>
  <c r="M246" i="31"/>
  <c r="M262" i="31"/>
  <c r="M263" i="31"/>
  <c r="M264" i="31"/>
  <c r="M250" i="31"/>
  <c r="M255" i="31"/>
  <c r="M271" i="31"/>
  <c r="M256" i="31"/>
  <c r="M273" i="31"/>
  <c r="M274" i="31"/>
  <c r="M259" i="31"/>
  <c r="M244" i="31"/>
  <c r="M245" i="31"/>
  <c r="M247" i="31"/>
  <c r="M248" i="31"/>
  <c r="M249" i="31"/>
  <c r="M267" i="31"/>
  <c r="M241" i="31"/>
  <c r="M261" i="31"/>
  <c r="M266" i="31"/>
  <c r="M252" i="31"/>
  <c r="M242" i="31"/>
  <c r="M275" i="31"/>
  <c r="E11" i="190"/>
  <c r="E12" i="190" s="1"/>
  <c r="E13" i="190" s="1"/>
  <c r="E14" i="190" s="1"/>
  <c r="E15" i="190" s="1"/>
  <c r="E16" i="190" s="1"/>
  <c r="E17" i="190" s="1"/>
  <c r="E18" i="190" s="1"/>
  <c r="E19" i="190" s="1"/>
  <c r="E20" i="190" s="1"/>
  <c r="E21" i="190" s="1"/>
  <c r="E22" i="190" s="1"/>
  <c r="E23" i="190" s="1"/>
  <c r="E24" i="190" s="1"/>
  <c r="E25" i="190" s="1"/>
  <c r="E26" i="190" s="1"/>
  <c r="E27" i="190" s="1"/>
  <c r="E28" i="190" s="1"/>
  <c r="E29" i="190" s="1"/>
  <c r="E30" i="190" s="1"/>
  <c r="E31" i="190" s="1"/>
  <c r="E32" i="190" s="1"/>
  <c r="E33" i="190" s="1"/>
  <c r="E34" i="190" s="1"/>
  <c r="E35" i="190" s="1"/>
  <c r="E36" i="190" s="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E11" i="193"/>
  <c r="E12" i="193" s="1"/>
  <c r="E13" i="193" s="1"/>
  <c r="E14" i="193" s="1"/>
  <c r="E15" i="193" s="1"/>
  <c r="E16" i="193" s="1"/>
  <c r="E17" i="193" s="1"/>
  <c r="E18" i="193" s="1"/>
  <c r="E19" i="193" s="1"/>
  <c r="E20" i="193" s="1"/>
  <c r="E21" i="193" s="1"/>
  <c r="E22" i="193" s="1"/>
  <c r="E23" i="193" s="1"/>
  <c r="E24" i="193" s="1"/>
  <c r="E25" i="193" s="1"/>
  <c r="E26" i="193" s="1"/>
  <c r="E27" i="193" s="1"/>
  <c r="E28" i="193" s="1"/>
  <c r="E29" i="193" s="1"/>
  <c r="E30" i="193" s="1"/>
  <c r="E31" i="193" s="1"/>
  <c r="E32" i="193" s="1"/>
  <c r="E33" i="193" s="1"/>
  <c r="E34" i="193" s="1"/>
  <c r="E35" i="193" s="1"/>
  <c r="E36" i="193" s="1"/>
  <c r="B21" i="190"/>
  <c r="R18" i="47"/>
  <c r="B56" i="131"/>
  <c r="D56" i="131"/>
  <c r="B57" i="131"/>
  <c r="D57" i="131"/>
  <c r="R19" i="47" l="1"/>
  <c r="S19" i="47"/>
  <c r="F12" i="194"/>
  <c r="G11" i="194"/>
  <c r="H17" i="194"/>
  <c r="J16" i="194"/>
  <c r="D17" i="194"/>
  <c r="B22" i="190"/>
  <c r="S20" i="47" l="1"/>
  <c r="R20" i="47"/>
  <c r="D18" i="194"/>
  <c r="H18" i="194"/>
  <c r="J17" i="194"/>
  <c r="F13" i="194"/>
  <c r="G12" i="194"/>
  <c r="B23" i="190"/>
  <c r="R21" i="47" l="1"/>
  <c r="S21" i="47"/>
  <c r="G13" i="194"/>
  <c r="F14" i="194"/>
  <c r="H19" i="194"/>
  <c r="J18" i="194"/>
  <c r="D19" i="194"/>
  <c r="B24" i="190"/>
  <c r="S22" i="47" l="1"/>
  <c r="R22" i="47"/>
  <c r="D20" i="194"/>
  <c r="F15" i="194"/>
  <c r="G14" i="194"/>
  <c r="H20" i="194"/>
  <c r="J19" i="194"/>
  <c r="B25" i="190"/>
  <c r="R23" i="47" l="1"/>
  <c r="S23" i="47"/>
  <c r="H21" i="194"/>
  <c r="J20" i="194"/>
  <c r="F16" i="194"/>
  <c r="G15" i="194"/>
  <c r="D21" i="194"/>
  <c r="B26" i="190"/>
  <c r="S24" i="47" l="1"/>
  <c r="R24" i="47"/>
  <c r="D22" i="194"/>
  <c r="F17" i="194"/>
  <c r="G16" i="194"/>
  <c r="H22" i="194"/>
  <c r="J21" i="194"/>
  <c r="B27" i="190"/>
  <c r="R25" i="47" l="1"/>
  <c r="S25" i="47"/>
  <c r="H23" i="194"/>
  <c r="J22" i="194"/>
  <c r="K16" i="194"/>
  <c r="F18" i="194"/>
  <c r="G17" i="194"/>
  <c r="K17" i="194" s="1"/>
  <c r="D23" i="194"/>
  <c r="B28" i="190"/>
  <c r="S26" i="47" l="1"/>
  <c r="R26" i="47"/>
  <c r="D24" i="194"/>
  <c r="F19" i="194"/>
  <c r="G18" i="194"/>
  <c r="H24" i="194"/>
  <c r="J23" i="194"/>
  <c r="B29" i="190"/>
  <c r="R27" i="47" l="1"/>
  <c r="S27" i="47"/>
  <c r="F20" i="194"/>
  <c r="G19" i="194"/>
  <c r="K19" i="194" s="1"/>
  <c r="H25" i="194"/>
  <c r="J24" i="194"/>
  <c r="K18" i="194"/>
  <c r="D25" i="194"/>
  <c r="B30" i="190"/>
  <c r="S28" i="47" l="1"/>
  <c r="R28" i="47"/>
  <c r="D26" i="194"/>
  <c r="H26" i="194"/>
  <c r="J25" i="194"/>
  <c r="F21" i="194"/>
  <c r="G20" i="194"/>
  <c r="B31" i="190"/>
  <c r="R29" i="47" l="1"/>
  <c r="S29" i="47"/>
  <c r="F22" i="194"/>
  <c r="G21" i="194"/>
  <c r="K21" i="194" s="1"/>
  <c r="K20" i="194"/>
  <c r="H27" i="194"/>
  <c r="J26" i="194"/>
  <c r="D27" i="194"/>
  <c r="B32" i="190"/>
  <c r="S30" i="47" l="1"/>
  <c r="R30" i="47"/>
  <c r="D28" i="194"/>
  <c r="H28" i="194"/>
  <c r="J27" i="194"/>
  <c r="F23" i="194"/>
  <c r="G22" i="194"/>
  <c r="B33" i="190"/>
  <c r="R31" i="47" l="1"/>
  <c r="S31" i="47"/>
  <c r="K22" i="194"/>
  <c r="F24" i="194"/>
  <c r="G23" i="194"/>
  <c r="K23" i="194" s="1"/>
  <c r="H29" i="194"/>
  <c r="J28" i="194"/>
  <c r="D29" i="194"/>
  <c r="B34" i="190"/>
  <c r="B35" i="190" s="1"/>
  <c r="B36" i="190" s="1"/>
  <c r="S32" i="47" l="1"/>
  <c r="R32" i="47"/>
  <c r="D30" i="194"/>
  <c r="H30" i="194"/>
  <c r="J29" i="194"/>
  <c r="F25" i="194"/>
  <c r="G24" i="194"/>
  <c r="K24" i="194" s="1"/>
  <c r="R33" i="47" l="1"/>
  <c r="S33" i="47"/>
  <c r="F26" i="194"/>
  <c r="G25" i="194"/>
  <c r="K25" i="194" s="1"/>
  <c r="H31" i="194"/>
  <c r="J30" i="194"/>
  <c r="D31" i="194"/>
  <c r="S34" i="47" l="1"/>
  <c r="R34" i="47"/>
  <c r="D32" i="194"/>
  <c r="H32" i="194"/>
  <c r="J31" i="194"/>
  <c r="F27" i="194"/>
  <c r="G26" i="194"/>
  <c r="K26" i="194" s="1"/>
  <c r="R35" i="47" l="1"/>
  <c r="S35" i="47"/>
  <c r="D33" i="194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44" i="182"/>
  <c r="D47" i="182"/>
  <c r="C47" i="182"/>
  <c r="D46" i="182"/>
  <c r="C46" i="182"/>
  <c r="C45" i="182"/>
  <c r="C44" i="182"/>
  <c r="C43" i="182"/>
  <c r="B12" i="182"/>
  <c r="B13" i="182" s="1"/>
  <c r="B11" i="182"/>
  <c r="E10" i="182"/>
  <c r="E11" i="182" s="1" a="1"/>
  <c r="E11" i="182" s="1"/>
  <c r="C10" i="182"/>
  <c r="B2" i="182"/>
  <c r="B3" i="181"/>
  <c r="D44" i="181"/>
  <c r="C58" i="181"/>
  <c r="D47" i="181"/>
  <c r="C47" i="181"/>
  <c r="D46" i="181"/>
  <c r="C46" i="181"/>
  <c r="C45" i="181"/>
  <c r="C44" i="181"/>
  <c r="C43" i="181"/>
  <c r="B11" i="181"/>
  <c r="B12" i="181" s="1"/>
  <c r="B13" i="181" s="1"/>
  <c r="E10" i="181"/>
  <c r="C10" i="181"/>
  <c r="B2" i="181"/>
  <c r="D44" i="177"/>
  <c r="D47" i="177"/>
  <c r="C47" i="177"/>
  <c r="D46" i="177"/>
  <c r="C46" i="177"/>
  <c r="C45" i="177"/>
  <c r="C44" i="177"/>
  <c r="C43" i="177"/>
  <c r="B11" i="177"/>
  <c r="B12" i="177" s="1"/>
  <c r="E10" i="177"/>
  <c r="C10" i="177"/>
  <c r="B2" i="177"/>
  <c r="D44" i="176"/>
  <c r="D47" i="176"/>
  <c r="C47" i="176"/>
  <c r="D46" i="176"/>
  <c r="C46" i="176"/>
  <c r="C45" i="176"/>
  <c r="C44" i="176"/>
  <c r="C43" i="176"/>
  <c r="B11" i="176"/>
  <c r="B12" i="176" s="1"/>
  <c r="B13" i="176" s="1"/>
  <c r="E10" i="176"/>
  <c r="C10" i="176"/>
  <c r="B2" i="176"/>
  <c r="B14" i="182" l="1"/>
  <c r="E13" i="182" a="1"/>
  <c r="E13" i="182" s="1"/>
  <c r="B3" i="182"/>
  <c r="C50" i="182" s="1"/>
  <c r="B9" i="182" s="1"/>
  <c r="E12" i="182" a="1"/>
  <c r="E12" i="182" s="1"/>
  <c r="E14" i="182" a="1"/>
  <c r="E14" i="182" s="1"/>
  <c r="D45" i="182"/>
  <c r="C50" i="181"/>
  <c r="B9" i="181" s="1"/>
  <c r="B14" i="181"/>
  <c r="E11" i="181" a="1"/>
  <c r="E11" i="181" s="1"/>
  <c r="D45" i="181"/>
  <c r="E12" i="181" a="1"/>
  <c r="E12" i="181" s="1"/>
  <c r="E13" i="181" a="1"/>
  <c r="E13" i="181" s="1"/>
  <c r="B13" i="177"/>
  <c r="E13" i="177" a="1"/>
  <c r="E13" i="177" s="1"/>
  <c r="B3" i="177"/>
  <c r="C50" i="177" s="1"/>
  <c r="B9" i="177" s="1"/>
  <c r="D45" i="177"/>
  <c r="E11" i="177" a="1"/>
  <c r="E11" i="177" s="1"/>
  <c r="E12" i="177" a="1"/>
  <c r="E12" i="177" s="1"/>
  <c r="B14" i="176"/>
  <c r="E13" i="176" a="1"/>
  <c r="E13" i="176" s="1"/>
  <c r="E11" i="176" a="1"/>
  <c r="E11" i="176" s="1"/>
  <c r="D45" i="176"/>
  <c r="E12" i="176" a="1"/>
  <c r="E12" i="176" s="1"/>
  <c r="B3" i="176"/>
  <c r="E14" i="176" a="1"/>
  <c r="E14" i="176" s="1"/>
  <c r="B15" i="182" l="1"/>
  <c r="B15" i="181"/>
  <c r="E14" i="181" a="1"/>
  <c r="E14" i="181" s="1"/>
  <c r="B14" i="177"/>
  <c r="B15" i="176"/>
  <c r="B16" i="182" l="1"/>
  <c r="E15" i="182" a="1"/>
  <c r="E15" i="182" s="1"/>
  <c r="B16" i="181"/>
  <c r="E15" i="181" a="1"/>
  <c r="E15" i="181" s="1"/>
  <c r="B15" i="177"/>
  <c r="E14" i="177" a="1"/>
  <c r="E14" i="177" s="1"/>
  <c r="B16" i="176"/>
  <c r="E15" i="176" a="1"/>
  <c r="E15" i="176" s="1"/>
  <c r="B17" i="182" l="1"/>
  <c r="E16" i="182" a="1"/>
  <c r="E16" i="182" s="1"/>
  <c r="B17" i="181"/>
  <c r="E16" i="181" a="1"/>
  <c r="E16" i="181" s="1"/>
  <c r="B16" i="177"/>
  <c r="E15" i="177" a="1"/>
  <c r="E15" i="177" s="1"/>
  <c r="B17" i="176"/>
  <c r="E16" i="176" a="1"/>
  <c r="E16" i="176" s="1"/>
  <c r="B18" i="182" l="1"/>
  <c r="E17" i="182" a="1"/>
  <c r="E17" i="182" s="1"/>
  <c r="B18" i="181"/>
  <c r="E17" i="181" a="1"/>
  <c r="E17" i="181" s="1"/>
  <c r="B17" i="177"/>
  <c r="E16" i="177" a="1"/>
  <c r="E16" i="177" s="1"/>
  <c r="B18" i="176"/>
  <c r="E17" i="176" a="1"/>
  <c r="E17" i="176" s="1"/>
  <c r="B19" i="182" l="1"/>
  <c r="E18" i="182" a="1"/>
  <c r="E18" i="182" s="1"/>
  <c r="B19" i="181"/>
  <c r="E18" i="181" a="1"/>
  <c r="E18" i="181" s="1"/>
  <c r="B18" i="177"/>
  <c r="E17" i="177" a="1"/>
  <c r="E17" i="177" s="1"/>
  <c r="B19" i="176"/>
  <c r="E18" i="176" a="1"/>
  <c r="E18" i="176" s="1"/>
  <c r="B20" i="182" l="1"/>
  <c r="E19" i="182" a="1"/>
  <c r="E19" i="182" s="1"/>
  <c r="B20" i="181"/>
  <c r="E19" i="181" a="1"/>
  <c r="E19" i="181" s="1"/>
  <c r="E18" i="177" a="1"/>
  <c r="E18" i="177" s="1"/>
  <c r="B19" i="177"/>
  <c r="B20" i="176"/>
  <c r="E19" i="176" a="1"/>
  <c r="E19" i="176" s="1"/>
  <c r="E20" i="182" l="1" a="1"/>
  <c r="E20" i="182" s="1"/>
  <c r="B21" i="182"/>
  <c r="B21" i="181"/>
  <c r="E20" i="181" a="1"/>
  <c r="E20" i="181" s="1"/>
  <c r="B20" i="177"/>
  <c r="E19" i="177" a="1"/>
  <c r="E19" i="177" s="1"/>
  <c r="B21" i="176"/>
  <c r="E20" i="176" a="1"/>
  <c r="E20" i="176" s="1"/>
  <c r="B22" i="182" l="1"/>
  <c r="E21" i="182" a="1"/>
  <c r="E21" i="182" s="1"/>
  <c r="B22" i="181"/>
  <c r="E21" i="181" a="1"/>
  <c r="E21" i="181" s="1"/>
  <c r="E20" i="177" a="1"/>
  <c r="E20" i="177" s="1"/>
  <c r="B21" i="177"/>
  <c r="B22" i="176"/>
  <c r="E21" i="176" a="1"/>
  <c r="E21" i="176" s="1"/>
  <c r="B23" i="182" l="1"/>
  <c r="E22" i="182" a="1"/>
  <c r="E22" i="182" s="1"/>
  <c r="B23" i="181"/>
  <c r="E22" i="181" a="1"/>
  <c r="E22" i="181" s="1"/>
  <c r="B22" i="177"/>
  <c r="E21" i="177" a="1"/>
  <c r="E21" i="177" s="1"/>
  <c r="B23" i="176"/>
  <c r="E22" i="176" a="1"/>
  <c r="E22" i="176" s="1"/>
  <c r="B24" i="182" l="1"/>
  <c r="E23" i="182" a="1"/>
  <c r="E23" i="182" s="1"/>
  <c r="B24" i="181"/>
  <c r="E23" i="181" a="1"/>
  <c r="E23" i="181" s="1"/>
  <c r="B23" i="177"/>
  <c r="E22" i="177" a="1"/>
  <c r="E22" i="177" s="1"/>
  <c r="B24" i="176"/>
  <c r="E23" i="176" a="1"/>
  <c r="E23" i="176" s="1"/>
  <c r="E24" i="182" l="1" a="1"/>
  <c r="E24" i="182" s="1"/>
  <c r="B25" i="182"/>
  <c r="B25" i="181"/>
  <c r="E24" i="181" a="1"/>
  <c r="E24" i="181" s="1"/>
  <c r="B24" i="177"/>
  <c r="E23" i="177" a="1"/>
  <c r="E23" i="177" s="1"/>
  <c r="B25" i="176"/>
  <c r="E24" i="176" a="1"/>
  <c r="E24" i="176" s="1"/>
  <c r="B26" i="182" l="1"/>
  <c r="E25" i="182" a="1"/>
  <c r="E25" i="182" s="1"/>
  <c r="B26" i="181"/>
  <c r="E25" i="181" a="1"/>
  <c r="E25" i="181" s="1"/>
  <c r="B25" i="177"/>
  <c r="E24" i="177" a="1"/>
  <c r="E24" i="177" s="1"/>
  <c r="B26" i="176"/>
  <c r="E25" i="176" a="1"/>
  <c r="E25" i="176" s="1"/>
  <c r="B27" i="182" l="1"/>
  <c r="E26" i="182" a="1"/>
  <c r="E26" i="182" s="1"/>
  <c r="B27" i="181"/>
  <c r="E26" i="181" a="1"/>
  <c r="E26" i="181" s="1"/>
  <c r="B26" i="177"/>
  <c r="E25" i="177" a="1"/>
  <c r="E25" i="177" s="1"/>
  <c r="B27" i="176"/>
  <c r="E26" i="176" a="1"/>
  <c r="E26" i="176" s="1"/>
  <c r="B28" i="182" l="1"/>
  <c r="E27" i="182" a="1"/>
  <c r="E27" i="182" s="1"/>
  <c r="B28" i="181"/>
  <c r="E27" i="181" a="1"/>
  <c r="E27" i="181" s="1"/>
  <c r="B27" i="177"/>
  <c r="E26" i="177" a="1"/>
  <c r="E26" i="177" s="1"/>
  <c r="B28" i="176"/>
  <c r="E27" i="176" a="1"/>
  <c r="E27" i="176" s="1"/>
  <c r="B29" i="182" l="1"/>
  <c r="E28" i="182" a="1"/>
  <c r="E28" i="182" s="1"/>
  <c r="B29" i="181"/>
  <c r="E28" i="181" a="1"/>
  <c r="E28" i="181" s="1"/>
  <c r="B28" i="177"/>
  <c r="E27" i="177" a="1"/>
  <c r="E27" i="177" s="1"/>
  <c r="B29" i="176"/>
  <c r="E28" i="176" a="1"/>
  <c r="E28" i="176" s="1"/>
  <c r="B30" i="182" l="1"/>
  <c r="E29" i="182" a="1"/>
  <c r="E29" i="182" s="1"/>
  <c r="B30" i="181"/>
  <c r="E29" i="181" a="1"/>
  <c r="E29" i="181" s="1"/>
  <c r="E28" i="177" a="1"/>
  <c r="E28" i="177" s="1"/>
  <c r="B29" i="177"/>
  <c r="B30" i="176"/>
  <c r="E29" i="176" a="1"/>
  <c r="E29" i="176" s="1"/>
  <c r="E30" i="182" l="1" a="1"/>
  <c r="E30" i="182" s="1"/>
  <c r="B31" i="182"/>
  <c r="B31" i="181"/>
  <c r="E30" i="181" a="1"/>
  <c r="E30" i="181" s="1"/>
  <c r="B30" i="177"/>
  <c r="E29" i="177" a="1"/>
  <c r="E29" i="177" s="1"/>
  <c r="B31" i="176"/>
  <c r="E30" i="176" a="1"/>
  <c r="E30" i="176" s="1"/>
  <c r="B32" i="182" l="1"/>
  <c r="E31" i="182" a="1"/>
  <c r="E31" i="182" s="1"/>
  <c r="B32" i="181"/>
  <c r="E31" i="181" a="1"/>
  <c r="E31" i="181" s="1"/>
  <c r="E30" i="177" a="1"/>
  <c r="E30" i="177" s="1"/>
  <c r="B31" i="177"/>
  <c r="B32" i="176"/>
  <c r="E31" i="176" a="1"/>
  <c r="E31" i="176" s="1"/>
  <c r="B33" i="182" l="1"/>
  <c r="E32" i="182" a="1"/>
  <c r="E32" i="182" s="1"/>
  <c r="B33" i="181"/>
  <c r="E32" i="181" a="1"/>
  <c r="E32" i="181" s="1"/>
  <c r="B32" i="177"/>
  <c r="E31" i="177" a="1"/>
  <c r="E31" i="177" s="1"/>
  <c r="E32" i="176" a="1"/>
  <c r="E32" i="176" s="1"/>
  <c r="B33" i="176"/>
  <c r="E33" i="182" l="1" a="1"/>
  <c r="E33" i="182" s="1"/>
  <c r="E34" i="182" s="1"/>
  <c r="E35" i="182" s="1"/>
  <c r="E36" i="182" s="1"/>
  <c r="B34" i="182"/>
  <c r="B35" i="182" s="1"/>
  <c r="B36" i="182" s="1"/>
  <c r="B34" i="181"/>
  <c r="B35" i="181" s="1"/>
  <c r="B36" i="181" s="1"/>
  <c r="E33" i="181" a="1"/>
  <c r="E33" i="181" s="1"/>
  <c r="E34" i="181" s="1"/>
  <c r="E35" i="181" s="1"/>
  <c r="E36" i="181" s="1"/>
  <c r="B33" i="177"/>
  <c r="E32" i="177" a="1"/>
  <c r="E32" i="177" s="1"/>
  <c r="B34" i="176"/>
  <c r="B35" i="176" s="1"/>
  <c r="B36" i="176" s="1"/>
  <c r="E33" i="176" a="1"/>
  <c r="E33" i="176" s="1"/>
  <c r="E34" i="176" s="1"/>
  <c r="E35" i="176" s="1"/>
  <c r="E36" i="176" s="1"/>
  <c r="B34" i="177" l="1"/>
  <c r="B35" i="177" s="1"/>
  <c r="B36" i="177" s="1"/>
  <c r="E33" i="177" a="1"/>
  <c r="E33" i="177" s="1"/>
  <c r="E34" i="177" s="1"/>
  <c r="E35" i="177" s="1"/>
  <c r="E36" i="177" s="1"/>
  <c r="E70" i="167" l="1"/>
  <c r="E10" i="139" l="1"/>
  <c r="E22" i="139" s="1" a="1"/>
  <c r="E22" i="139" s="1"/>
  <c r="S146" i="167"/>
  <c r="S145" i="167"/>
  <c r="S144" i="167"/>
  <c r="S143" i="167"/>
  <c r="S142" i="167"/>
  <c r="S141" i="167"/>
  <c r="S140" i="167"/>
  <c r="S139" i="167"/>
  <c r="S138" i="167"/>
  <c r="S137" i="167"/>
  <c r="S136" i="167"/>
  <c r="S135" i="167"/>
  <c r="S134" i="167"/>
  <c r="S133" i="167"/>
  <c r="S132" i="167"/>
  <c r="S131" i="167"/>
  <c r="S130" i="167"/>
  <c r="S129" i="167"/>
  <c r="S128" i="167"/>
  <c r="S127" i="167"/>
  <c r="S126" i="167"/>
  <c r="S169" i="167"/>
  <c r="S168" i="167"/>
  <c r="S167" i="167"/>
  <c r="S166" i="167"/>
  <c r="S165" i="167"/>
  <c r="S164" i="167"/>
  <c r="S163" i="167"/>
  <c r="S162" i="167"/>
  <c r="S161" i="167"/>
  <c r="S160" i="167"/>
  <c r="S159" i="167"/>
  <c r="S158" i="167"/>
  <c r="S157" i="167"/>
  <c r="S156" i="167"/>
  <c r="S155" i="167"/>
  <c r="S154" i="167"/>
  <c r="S153" i="167"/>
  <c r="S152" i="167"/>
  <c r="S151" i="167"/>
  <c r="S150" i="167"/>
  <c r="S149" i="167"/>
  <c r="S221" i="167"/>
  <c r="S222" i="167"/>
  <c r="S223" i="167"/>
  <c r="S224" i="167"/>
  <c r="S225" i="167"/>
  <c r="S226" i="167"/>
  <c r="S227" i="167"/>
  <c r="S228" i="167"/>
  <c r="S229" i="167"/>
  <c r="S230" i="167"/>
  <c r="S231" i="167"/>
  <c r="S232" i="167"/>
  <c r="S233" i="167"/>
  <c r="S234" i="167"/>
  <c r="S235" i="167"/>
  <c r="S236" i="167"/>
  <c r="S237" i="167"/>
  <c r="S238" i="167"/>
  <c r="S239" i="167"/>
  <c r="S240" i="167"/>
  <c r="S220" i="167"/>
  <c r="S215" i="167"/>
  <c r="S214" i="167"/>
  <c r="S213" i="167"/>
  <c r="S212" i="167"/>
  <c r="S211" i="167"/>
  <c r="S210" i="167"/>
  <c r="S209" i="167"/>
  <c r="S208" i="167"/>
  <c r="S207" i="167"/>
  <c r="S196" i="167"/>
  <c r="S197" i="167"/>
  <c r="S198" i="167"/>
  <c r="S199" i="167"/>
  <c r="S200" i="167"/>
  <c r="S201" i="167"/>
  <c r="S202" i="167"/>
  <c r="S203" i="167"/>
  <c r="S204" i="167"/>
  <c r="S205" i="167"/>
  <c r="S206" i="167"/>
  <c r="S195" i="167"/>
  <c r="S276" i="167"/>
  <c r="S277" i="167"/>
  <c r="S278" i="167"/>
  <c r="S279" i="167"/>
  <c r="S280" i="167"/>
  <c r="S281" i="167"/>
  <c r="S282" i="167"/>
  <c r="S283" i="167"/>
  <c r="S284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75" i="167"/>
  <c r="S264" i="167"/>
  <c r="S265" i="167"/>
  <c r="S266" i="167"/>
  <c r="S267" i="167"/>
  <c r="S268" i="167"/>
  <c r="S269" i="167"/>
  <c r="S270" i="167"/>
  <c r="S271" i="167"/>
  <c r="S272" i="167"/>
  <c r="S263" i="167"/>
  <c r="S262" i="167"/>
  <c r="S261" i="167"/>
  <c r="S260" i="167"/>
  <c r="S25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192" i="167"/>
  <c r="S191" i="167"/>
  <c r="S190" i="167"/>
  <c r="S189" i="167"/>
  <c r="S188" i="167"/>
  <c r="S187" i="167"/>
  <c r="S186" i="167"/>
  <c r="S185" i="167"/>
  <c r="S184" i="167"/>
  <c r="S183" i="167"/>
  <c r="S182" i="167"/>
  <c r="S181" i="167"/>
  <c r="S180" i="167"/>
  <c r="S179" i="167"/>
  <c r="S178" i="167"/>
  <c r="S177" i="167"/>
  <c r="S176" i="167"/>
  <c r="S175" i="167"/>
  <c r="S174" i="167"/>
  <c r="S173" i="167"/>
  <c r="S172" i="167"/>
  <c r="C10" i="139"/>
  <c r="C15" i="193" l="1"/>
  <c r="C16" i="193"/>
  <c r="D16" i="193" s="1"/>
  <c r="C14" i="193"/>
  <c r="I26" i="192"/>
  <c r="I18" i="192"/>
  <c r="I19" i="192"/>
  <c r="I20" i="192"/>
  <c r="I21" i="192"/>
  <c r="I22" i="192"/>
  <c r="I23" i="192"/>
  <c r="I24" i="192"/>
  <c r="I25" i="192"/>
  <c r="C11" i="193"/>
  <c r="C12" i="193"/>
  <c r="C13" i="193"/>
  <c r="C17" i="192"/>
  <c r="D19" i="192" s="1" a="1"/>
  <c r="D19" i="192" s="1"/>
  <c r="D20" i="192" s="1" a="1"/>
  <c r="D20" i="192" s="1"/>
  <c r="D21" i="192" s="1" a="1"/>
  <c r="D21" i="192" s="1"/>
  <c r="D22" i="192" s="1" a="1"/>
  <c r="D22" i="192" s="1"/>
  <c r="D23" i="192" s="1" a="1"/>
  <c r="D23" i="192" s="1"/>
  <c r="D24" i="192" s="1" a="1"/>
  <c r="D24" i="192" s="1"/>
  <c r="D25" i="192" s="1" a="1"/>
  <c r="D25" i="192" s="1"/>
  <c r="D26" i="192" s="1" a="1"/>
  <c r="D26" i="192" s="1"/>
  <c r="D27" i="192" s="1" a="1"/>
  <c r="D27" i="192" s="1"/>
  <c r="D28" i="192" s="1" a="1"/>
  <c r="D28" i="192" s="1"/>
  <c r="D29" i="192" s="1" a="1"/>
  <c r="D29" i="192" s="1"/>
  <c r="D30" i="192" s="1" a="1"/>
  <c r="D30" i="192" s="1"/>
  <c r="D31" i="192" s="1" a="1"/>
  <c r="D31" i="192" s="1"/>
  <c r="D32" i="192" s="1" a="1"/>
  <c r="D32" i="192" s="1"/>
  <c r="D33" i="192" s="1" a="1"/>
  <c r="D33" i="192" s="1"/>
  <c r="D34" i="192" s="1"/>
  <c r="D35" i="192" s="1"/>
  <c r="D36" i="192" s="1"/>
  <c r="C14" i="192"/>
  <c r="C11" i="192"/>
  <c r="C12" i="192"/>
  <c r="C13" i="192"/>
  <c r="C15" i="192"/>
  <c r="C16" i="192"/>
  <c r="C13" i="190"/>
  <c r="D13" i="190" s="1"/>
  <c r="C11" i="190"/>
  <c r="C12" i="190"/>
  <c r="I25" i="181"/>
  <c r="I27" i="177"/>
  <c r="I19" i="177"/>
  <c r="I26" i="181"/>
  <c r="I26" i="177"/>
  <c r="I25" i="177"/>
  <c r="I21" i="177"/>
  <c r="I20" i="177"/>
  <c r="I24" i="181"/>
  <c r="I31" i="182"/>
  <c r="I24" i="177"/>
  <c r="I30" i="182"/>
  <c r="I23" i="177"/>
  <c r="I29" i="182"/>
  <c r="I22" i="177"/>
  <c r="I28" i="182"/>
  <c r="I27" i="181"/>
  <c r="I15" i="176"/>
  <c r="I16" i="176"/>
  <c r="I17" i="176"/>
  <c r="I18" i="176"/>
  <c r="I18" i="181"/>
  <c r="I18" i="177"/>
  <c r="I19" i="176"/>
  <c r="I19" i="181"/>
  <c r="I20" i="176"/>
  <c r="I20" i="181"/>
  <c r="I21" i="181"/>
  <c r="I21" i="176"/>
  <c r="I22" i="182"/>
  <c r="I22" i="181"/>
  <c r="I22" i="176"/>
  <c r="I23" i="182"/>
  <c r="I23" i="176"/>
  <c r="I23" i="181"/>
  <c r="I24" i="182"/>
  <c r="I25" i="182"/>
  <c r="I26" i="182"/>
  <c r="I27" i="182"/>
  <c r="C21" i="182"/>
  <c r="C20" i="182"/>
  <c r="C19" i="182"/>
  <c r="C16" i="181"/>
  <c r="C13" i="182"/>
  <c r="C12" i="181"/>
  <c r="C15" i="181"/>
  <c r="C22" i="182"/>
  <c r="D22" i="182" s="1"/>
  <c r="C17" i="181"/>
  <c r="C11" i="182"/>
  <c r="C13" i="181"/>
  <c r="C12" i="182"/>
  <c r="C11" i="181"/>
  <c r="C18" i="181"/>
  <c r="D18" i="181" s="1"/>
  <c r="C14" i="182"/>
  <c r="C14" i="181"/>
  <c r="C15" i="182"/>
  <c r="C16" i="182"/>
  <c r="C17" i="182"/>
  <c r="C18" i="182"/>
  <c r="C16" i="177"/>
  <c r="C17" i="177"/>
  <c r="C15" i="176"/>
  <c r="D15" i="176" s="1"/>
  <c r="C18" i="177"/>
  <c r="D18" i="177" s="1"/>
  <c r="C13" i="176"/>
  <c r="C11" i="177"/>
  <c r="C11" i="176"/>
  <c r="C12" i="176"/>
  <c r="C12" i="177"/>
  <c r="C13" i="177"/>
  <c r="C14" i="176"/>
  <c r="C14" i="177"/>
  <c r="C15" i="177"/>
  <c r="E16" i="139" a="1"/>
  <c r="E16" i="139" s="1"/>
  <c r="E12" i="139" a="1"/>
  <c r="E12" i="139" s="1"/>
  <c r="E13" i="139" a="1"/>
  <c r="E13" i="139" s="1"/>
  <c r="E14" i="139" a="1"/>
  <c r="E14" i="139" s="1"/>
  <c r="E17" i="139" a="1"/>
  <c r="E17" i="139" s="1"/>
  <c r="E18" i="139" a="1"/>
  <c r="E18" i="139" s="1"/>
  <c r="E23" i="139" a="1"/>
  <c r="E23" i="139" s="1"/>
  <c r="E24" i="139" a="1"/>
  <c r="E24" i="139" s="1"/>
  <c r="E25" i="139" a="1"/>
  <c r="E25" i="139" s="1"/>
  <c r="E26" i="139" a="1"/>
  <c r="E26" i="139" s="1"/>
  <c r="E28" i="139" a="1"/>
  <c r="E28" i="139" s="1"/>
  <c r="E29" i="139" a="1"/>
  <c r="E29" i="139" s="1"/>
  <c r="E15" i="139" a="1"/>
  <c r="E15" i="139" s="1"/>
  <c r="E27" i="139" a="1"/>
  <c r="E27" i="139" s="1"/>
  <c r="E19" i="139" a="1"/>
  <c r="E19" i="139" s="1"/>
  <c r="E30" i="139" a="1"/>
  <c r="E30" i="139" s="1"/>
  <c r="E31" i="139" a="1"/>
  <c r="E31" i="139" s="1"/>
  <c r="E20" i="139" a="1"/>
  <c r="E20" i="139" s="1"/>
  <c r="E32" i="139" a="1"/>
  <c r="E32" i="139" s="1"/>
  <c r="E33" i="139" a="1"/>
  <c r="E33" i="139" s="1"/>
  <c r="I15" i="139"/>
  <c r="I16" i="139"/>
  <c r="I21" i="139"/>
  <c r="I17" i="139"/>
  <c r="I22" i="139"/>
  <c r="I23" i="139"/>
  <c r="I14" i="139"/>
  <c r="I18" i="139"/>
  <c r="I19" i="139"/>
  <c r="I20" i="139"/>
  <c r="E21" i="139" a="1"/>
  <c r="E21" i="139" s="1"/>
  <c r="L13" i="190" l="1"/>
  <c r="D14" i="190"/>
  <c r="L15" i="176"/>
  <c r="D16" i="176" a="1"/>
  <c r="D16" i="176" s="1"/>
  <c r="G15" i="176"/>
  <c r="J15" i="176" s="1"/>
  <c r="K15" i="176" s="1"/>
  <c r="D19" i="181" a="1"/>
  <c r="D19" i="181" s="1"/>
  <c r="D19" i="177" a="1"/>
  <c r="D19" i="177" s="1"/>
  <c r="D23" i="182" a="1"/>
  <c r="D23" i="182" s="1"/>
  <c r="E34" i="139"/>
  <c r="E35" i="139" s="1"/>
  <c r="E36" i="139" s="1"/>
  <c r="D15" i="190" l="1"/>
  <c r="L14" i="190"/>
  <c r="D20" i="181" a="1"/>
  <c r="D20" i="181" s="1"/>
  <c r="D20" i="177" a="1"/>
  <c r="D20" i="177" s="1"/>
  <c r="L16" i="176"/>
  <c r="G16" i="176"/>
  <c r="J16" i="176" s="1"/>
  <c r="K16" i="176" s="1"/>
  <c r="D17" i="176" a="1"/>
  <c r="D17" i="176" s="1"/>
  <c r="D24" i="182" a="1"/>
  <c r="D24" i="182" s="1"/>
  <c r="D16" i="190" l="1"/>
  <c r="L15" i="190"/>
  <c r="D21" i="177" a="1"/>
  <c r="D21" i="177" s="1"/>
  <c r="D21" i="181" a="1"/>
  <c r="D21" i="181" s="1"/>
  <c r="D18" i="176" a="1"/>
  <c r="D18" i="176" s="1"/>
  <c r="G17" i="176"/>
  <c r="J17" i="176" s="1"/>
  <c r="K17" i="176" s="1"/>
  <c r="L17" i="176"/>
  <c r="D25" i="182" a="1"/>
  <c r="D25" i="182" s="1"/>
  <c r="D17" i="193" l="1"/>
  <c r="L16" i="193"/>
  <c r="D17" i="190"/>
  <c r="L16" i="190"/>
  <c r="G18" i="176"/>
  <c r="J18" i="176" s="1"/>
  <c r="K18" i="176" s="1"/>
  <c r="D19" i="176" a="1"/>
  <c r="D19" i="176" s="1"/>
  <c r="L18" i="176"/>
  <c r="D22" i="181" a="1"/>
  <c r="D22" i="181" s="1"/>
  <c r="D26" i="182" a="1"/>
  <c r="D26" i="182" s="1"/>
  <c r="D22" i="177" a="1"/>
  <c r="D22" i="177" s="1"/>
  <c r="L17" i="193" l="1"/>
  <c r="D18" i="193"/>
  <c r="D18" i="190"/>
  <c r="L17" i="190"/>
  <c r="D23" i="181" a="1"/>
  <c r="D23" i="181" s="1"/>
  <c r="D23" i="177" a="1"/>
  <c r="D23" i="177" s="1"/>
  <c r="D27" i="182" a="1"/>
  <c r="D27" i="182" s="1"/>
  <c r="G19" i="176"/>
  <c r="J19" i="176" s="1"/>
  <c r="K19" i="176" s="1"/>
  <c r="D20" i="176" a="1"/>
  <c r="D20" i="176" s="1"/>
  <c r="L19" i="176"/>
  <c r="D19" i="193" l="1"/>
  <c r="L18" i="193"/>
  <c r="D19" i="190"/>
  <c r="L18" i="190"/>
  <c r="L20" i="176"/>
  <c r="D21" i="176" a="1"/>
  <c r="D21" i="176" s="1"/>
  <c r="G20" i="176"/>
  <c r="J20" i="176" s="1"/>
  <c r="K20" i="176" s="1"/>
  <c r="D28" i="182" a="1"/>
  <c r="D28" i="182" s="1"/>
  <c r="D24" i="181" a="1"/>
  <c r="D24" i="181" s="1"/>
  <c r="D24" i="177" a="1"/>
  <c r="D24" i="177" s="1"/>
  <c r="D20" i="193" l="1"/>
  <c r="L19" i="193"/>
  <c r="D20" i="190"/>
  <c r="L19" i="190"/>
  <c r="D25" i="177" a="1"/>
  <c r="D25" i="177" s="1"/>
  <c r="D25" i="181" a="1"/>
  <c r="D25" i="181" s="1"/>
  <c r="D29" i="182" a="1"/>
  <c r="D29" i="182" s="1"/>
  <c r="G21" i="176"/>
  <c r="J21" i="176" s="1"/>
  <c r="K21" i="176" s="1"/>
  <c r="L21" i="176"/>
  <c r="D22" i="176" a="1"/>
  <c r="D22" i="176" s="1"/>
  <c r="D21" i="193" l="1"/>
  <c r="L20" i="193"/>
  <c r="D21" i="190"/>
  <c r="L20" i="190"/>
  <c r="D23" i="176" a="1"/>
  <c r="D23" i="176" s="1"/>
  <c r="L22" i="176"/>
  <c r="G22" i="176"/>
  <c r="J22" i="176" s="1"/>
  <c r="K22" i="176" s="1"/>
  <c r="D26" i="181" a="1"/>
  <c r="D26" i="181" s="1"/>
  <c r="D30" i="182" a="1"/>
  <c r="D30" i="182" s="1"/>
  <c r="D26" i="177" a="1"/>
  <c r="D26" i="177" s="1"/>
  <c r="L21" i="193" l="1"/>
  <c r="D22" i="193"/>
  <c r="D22" i="190"/>
  <c r="L21" i="190"/>
  <c r="D27" i="177" a="1"/>
  <c r="D27" i="177" s="1"/>
  <c r="L23" i="176"/>
  <c r="G23" i="176"/>
  <c r="J23" i="176" s="1"/>
  <c r="K23" i="176" s="1"/>
  <c r="D24" i="176" a="1"/>
  <c r="D24" i="176" s="1"/>
  <c r="D31" i="182" a="1"/>
  <c r="D31" i="182" s="1"/>
  <c r="D27" i="181" a="1"/>
  <c r="D27" i="181" s="1"/>
  <c r="D23" i="193" l="1"/>
  <c r="L22" i="193"/>
  <c r="D23" i="190"/>
  <c r="L22" i="190"/>
  <c r="D28" i="181" a="1"/>
  <c r="D28" i="181" s="1"/>
  <c r="L24" i="176"/>
  <c r="G24" i="176"/>
  <c r="J24" i="176" s="1"/>
  <c r="K24" i="176" s="1"/>
  <c r="D25" i="176" a="1"/>
  <c r="D25" i="176" s="1"/>
  <c r="D32" i="182" a="1"/>
  <c r="D32" i="182" s="1"/>
  <c r="D28" i="177" a="1"/>
  <c r="D28" i="177" s="1"/>
  <c r="D24" i="193" l="1"/>
  <c r="L23" i="193"/>
  <c r="D24" i="190"/>
  <c r="L23" i="190"/>
  <c r="D29" i="177" a="1"/>
  <c r="D29" i="177" s="1"/>
  <c r="D29" i="181" a="1"/>
  <c r="D29" i="181" s="1"/>
  <c r="D33" i="182" a="1"/>
  <c r="D33" i="182" s="1"/>
  <c r="L25" i="176"/>
  <c r="D26" i="176" a="1"/>
  <c r="D26" i="176" s="1"/>
  <c r="G25" i="176"/>
  <c r="J25" i="176" s="1"/>
  <c r="K25" i="176" s="1"/>
  <c r="L24" i="193" l="1"/>
  <c r="D25" i="193"/>
  <c r="D25" i="190"/>
  <c r="L24" i="190"/>
  <c r="D34" i="182"/>
  <c r="D30" i="181" a="1"/>
  <c r="D30" i="181" s="1"/>
  <c r="D30" i="177" a="1"/>
  <c r="D30" i="177" s="1"/>
  <c r="L26" i="176"/>
  <c r="G26" i="176"/>
  <c r="J26" i="176" s="1"/>
  <c r="K26" i="176" s="1"/>
  <c r="D27" i="176" a="1"/>
  <c r="D27" i="176" s="1"/>
  <c r="L25" i="193" l="1"/>
  <c r="D26" i="193"/>
  <c r="D26" i="190"/>
  <c r="L25" i="190"/>
  <c r="D31" i="181" a="1"/>
  <c r="D31" i="181" s="1"/>
  <c r="D31" i="177" a="1"/>
  <c r="D31" i="177" s="1"/>
  <c r="G27" i="176"/>
  <c r="J27" i="176" s="1"/>
  <c r="K27" i="176" s="1"/>
  <c r="D28" i="176" a="1"/>
  <c r="D28" i="176" s="1"/>
  <c r="L27" i="176"/>
  <c r="D35" i="182"/>
  <c r="D27" i="193" l="1"/>
  <c r="L26" i="193"/>
  <c r="D27" i="190"/>
  <c r="L26" i="190"/>
  <c r="D32" i="181" a="1"/>
  <c r="D32" i="181" s="1"/>
  <c r="D36" i="182"/>
  <c r="G28" i="176"/>
  <c r="J28" i="176" s="1"/>
  <c r="K28" i="176" s="1"/>
  <c r="L28" i="176"/>
  <c r="D29" i="176" a="1"/>
  <c r="D29" i="176" s="1"/>
  <c r="D32" i="177" a="1"/>
  <c r="D32" i="177" s="1"/>
  <c r="D28" i="193" l="1"/>
  <c r="L27" i="193"/>
  <c r="D28" i="190"/>
  <c r="L27" i="190"/>
  <c r="L38" i="190" s="1"/>
  <c r="P38" i="190" s="1"/>
  <c r="D33" i="177" a="1"/>
  <c r="D33" i="177" s="1"/>
  <c r="D30" i="176" a="1"/>
  <c r="D30" i="176" s="1"/>
  <c r="G29" i="176"/>
  <c r="J29" i="176" s="1"/>
  <c r="K29" i="176" s="1"/>
  <c r="L29" i="176"/>
  <c r="D33" i="181" a="1"/>
  <c r="D33" i="181" s="1"/>
  <c r="D29" i="193" l="1"/>
  <c r="L28" i="193"/>
  <c r="D29" i="190"/>
  <c r="L28" i="190"/>
  <c r="D31" i="176" a="1"/>
  <c r="D31" i="176" s="1"/>
  <c r="G30" i="176"/>
  <c r="J30" i="176" s="1"/>
  <c r="K30" i="176" s="1"/>
  <c r="L30" i="176"/>
  <c r="D34" i="177"/>
  <c r="D34" i="181"/>
  <c r="L29" i="193" l="1"/>
  <c r="D30" i="193"/>
  <c r="D30" i="190"/>
  <c r="L29" i="190"/>
  <c r="D35" i="177"/>
  <c r="D35" i="181"/>
  <c r="G31" i="176"/>
  <c r="J31" i="176" s="1"/>
  <c r="K31" i="176" s="1"/>
  <c r="D32" i="176" a="1"/>
  <c r="D32" i="176" s="1"/>
  <c r="L31" i="176"/>
  <c r="D31" i="193" l="1"/>
  <c r="L30" i="193"/>
  <c r="L38" i="193" s="1"/>
  <c r="P38" i="193" s="1"/>
  <c r="D31" i="190"/>
  <c r="L30" i="190"/>
  <c r="D36" i="177"/>
  <c r="D36" i="181"/>
  <c r="L32" i="176"/>
  <c r="G32" i="176"/>
  <c r="J32" i="176" s="1"/>
  <c r="K32" i="176" s="1"/>
  <c r="D33" i="176" a="1"/>
  <c r="D33" i="176" s="1"/>
  <c r="D32" i="193" l="1"/>
  <c r="L31" i="193"/>
  <c r="D32" i="190"/>
  <c r="L31" i="190"/>
  <c r="L33" i="176"/>
  <c r="G33" i="176"/>
  <c r="J33" i="176" s="1"/>
  <c r="K33" i="176" s="1"/>
  <c r="D34" i="176"/>
  <c r="D33" i="193" l="1"/>
  <c r="L32" i="193"/>
  <c r="D33" i="190"/>
  <c r="L32" i="190"/>
  <c r="L39" i="190" s="1"/>
  <c r="P39" i="190" s="1"/>
  <c r="D35" i="176"/>
  <c r="L34" i="176"/>
  <c r="G34" i="176"/>
  <c r="J34" i="176" s="1"/>
  <c r="K34" i="176" s="1"/>
  <c r="L33" i="193" l="1"/>
  <c r="D34" i="193"/>
  <c r="D34" i="190"/>
  <c r="L33" i="190"/>
  <c r="D36" i="176"/>
  <c r="L35" i="176"/>
  <c r="G35" i="176"/>
  <c r="J35" i="176" s="1"/>
  <c r="K35" i="176" s="1"/>
  <c r="D35" i="193" l="1"/>
  <c r="L34" i="193"/>
  <c r="D35" i="190"/>
  <c r="L34" i="190"/>
  <c r="G36" i="176"/>
  <c r="J36" i="176" s="1"/>
  <c r="K36" i="176" s="1"/>
  <c r="L36" i="176"/>
  <c r="D36" i="193" l="1"/>
  <c r="L36" i="193" s="1"/>
  <c r="L35" i="193"/>
  <c r="L39" i="193" s="1"/>
  <c r="P39" i="193" s="1"/>
  <c r="D36" i="190"/>
  <c r="L36" i="190" s="1"/>
  <c r="L35" i="190"/>
  <c r="E77" i="167" l="1"/>
  <c r="E76" i="167"/>
  <c r="E75" i="167"/>
  <c r="E74" i="167"/>
  <c r="E73" i="167"/>
  <c r="E72" i="167"/>
  <c r="E71" i="167"/>
  <c r="E69" i="167"/>
  <c r="E68" i="167"/>
  <c r="E67" i="167"/>
  <c r="E66" i="167"/>
  <c r="E65" i="167"/>
  <c r="BN9" i="25" l="1"/>
  <c r="AF9" i="25" s="1"/>
  <c r="F6" i="131" l="1"/>
  <c r="G6" i="131"/>
  <c r="C6" i="131"/>
  <c r="D6" i="131"/>
  <c r="A7" i="131"/>
  <c r="B7" i="131" l="1"/>
  <c r="E7" i="131"/>
  <c r="F7" i="131"/>
  <c r="G7" i="131"/>
  <c r="C7" i="131"/>
  <c r="D7" i="131"/>
  <c r="A8" i="131"/>
  <c r="B8" i="131" l="1"/>
  <c r="E8" i="131"/>
  <c r="G8" i="131"/>
  <c r="F8" i="131"/>
  <c r="C8" i="131"/>
  <c r="D8" i="131"/>
  <c r="A9" i="131"/>
  <c r="B9" i="131" l="1"/>
  <c r="E9" i="131"/>
  <c r="G9" i="131"/>
  <c r="F9" i="131"/>
  <c r="C9" i="131"/>
  <c r="D9" i="131"/>
  <c r="A10" i="131"/>
  <c r="E10" i="131" l="1"/>
  <c r="F10" i="131"/>
  <c r="G10" i="131"/>
  <c r="C10" i="131"/>
  <c r="D10" i="131"/>
  <c r="A11" i="131"/>
  <c r="E11" i="131" l="1"/>
  <c r="F11" i="131"/>
  <c r="G11" i="131"/>
  <c r="C11" i="131"/>
  <c r="D11" i="131"/>
  <c r="A12" i="131"/>
  <c r="E12" i="131" l="1"/>
  <c r="F12" i="131"/>
  <c r="G12" i="131"/>
  <c r="C12" i="131"/>
  <c r="D12" i="131"/>
  <c r="A13" i="131"/>
  <c r="F13" i="131" l="1"/>
  <c r="G13" i="131"/>
  <c r="C13" i="131"/>
  <c r="D13" i="131"/>
  <c r="A14" i="131"/>
  <c r="G14" i="131" l="1"/>
  <c r="C14" i="131"/>
  <c r="A15" i="131"/>
  <c r="G15" i="131" l="1"/>
  <c r="C15" i="131"/>
  <c r="A16" i="131"/>
  <c r="G16" i="131" l="1"/>
  <c r="C16" i="131"/>
  <c r="A17" i="131"/>
  <c r="G17" i="131" l="1"/>
  <c r="C17" i="131"/>
  <c r="A18" i="131"/>
  <c r="C18" i="131" l="1"/>
  <c r="A19" i="131"/>
  <c r="C19" i="131" l="1"/>
  <c r="A20" i="131"/>
  <c r="C20" i="131" l="1"/>
  <c r="A21" i="131"/>
  <c r="C21" i="131" l="1"/>
  <c r="A22" i="131"/>
  <c r="C22" i="131" l="1"/>
  <c r="A23" i="131"/>
  <c r="C23" i="131" l="1"/>
  <c r="A24" i="131"/>
  <c r="C24" i="131" l="1"/>
  <c r="A25" i="131"/>
  <c r="C25" i="131" l="1"/>
  <c r="A26" i="131"/>
  <c r="C26" i="131" l="1"/>
  <c r="A27" i="131"/>
  <c r="C27" i="131" l="1"/>
  <c r="A28" i="131"/>
  <c r="C28" i="131" l="1"/>
  <c r="A29" i="131"/>
  <c r="C29" i="131" l="1"/>
  <c r="A30" i="131"/>
  <c r="A31" i="131" l="1"/>
  <c r="C30" i="131"/>
  <c r="A32" i="131" l="1"/>
  <c r="C31" i="131"/>
  <c r="C32" i="131" l="1"/>
  <c r="C35" i="131" s="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BP9" i="25"/>
  <c r="AH9" i="25" s="1"/>
  <c r="EJ9" i="25"/>
  <c r="EI9" i="25" l="1"/>
  <c r="ED9" i="25" l="1"/>
  <c r="EB9" i="25" l="1"/>
  <c r="EO9" i="25" l="1"/>
  <c r="D44" i="139" l="1"/>
  <c r="D47" i="139"/>
  <c r="C47" i="139"/>
  <c r="D46" i="139"/>
  <c r="C46" i="139"/>
  <c r="C45" i="139"/>
  <c r="C44" i="139"/>
  <c r="C43" i="139"/>
  <c r="B2" i="139"/>
  <c r="AY9" i="25" l="1"/>
  <c r="Q9" i="25" s="1"/>
  <c r="D45" i="139"/>
  <c r="B11" i="139"/>
  <c r="B3" i="139"/>
  <c r="B9" i="139" s="1"/>
  <c r="C11" i="139" l="1"/>
  <c r="E11" i="139" a="1"/>
  <c r="E11" i="139" s="1"/>
  <c r="B12" i="139"/>
  <c r="EC9" i="25"/>
  <c r="B13" i="139" l="1"/>
  <c r="C12" i="139"/>
  <c r="EK9" i="25"/>
  <c r="B14" i="139" l="1"/>
  <c r="C13" i="139"/>
  <c r="C14" i="139" l="1"/>
  <c r="D14" i="139" s="1"/>
  <c r="B15" i="139"/>
  <c r="D15" i="139" l="1" a="1"/>
  <c r="D15" i="139" s="1"/>
  <c r="L14" i="139"/>
  <c r="B10" i="131" s="1"/>
  <c r="G14" i="139"/>
  <c r="J14" i="139" s="1"/>
  <c r="K14" i="139" s="1"/>
  <c r="B16" i="139"/>
  <c r="B17" i="139" l="1"/>
  <c r="D16" i="139" a="1"/>
  <c r="D16" i="139" s="1"/>
  <c r="D17" i="139" s="1" a="1"/>
  <c r="D17" i="139" s="1"/>
  <c r="B18" i="139" l="1"/>
  <c r="B19" i="139" l="1"/>
  <c r="D18" i="139" a="1"/>
  <c r="D18" i="139" s="1"/>
  <c r="D19" i="139" s="1" a="1"/>
  <c r="D19" i="139" s="1"/>
  <c r="B20" i="139" l="1"/>
  <c r="D20" i="139" a="1"/>
  <c r="D20" i="139" s="1"/>
  <c r="B21" i="139" l="1"/>
  <c r="D21" i="139" a="1"/>
  <c r="D21" i="139" s="1"/>
  <c r="B22" i="139" l="1"/>
  <c r="D22" i="139" a="1"/>
  <c r="D22" i="139" s="1"/>
  <c r="B23" i="139" l="1"/>
  <c r="D23" i="139" a="1"/>
  <c r="D23" i="139" s="1"/>
  <c r="B24" i="139" l="1"/>
  <c r="D24" i="139" a="1"/>
  <c r="D24" i="139" s="1"/>
  <c r="B25" i="139" l="1"/>
  <c r="B26" i="139" s="1"/>
  <c r="B27" i="139" s="1"/>
  <c r="B28" i="139" s="1"/>
  <c r="B29" i="139" s="1"/>
  <c r="B30" i="139" s="1"/>
  <c r="B31" i="139" s="1"/>
  <c r="B32" i="139" s="1"/>
  <c r="B33" i="139" s="1"/>
  <c r="B34" i="139" s="1"/>
  <c r="B35" i="139" s="1"/>
  <c r="B36" i="139" s="1"/>
  <c r="D25" i="139" l="1" a="1"/>
  <c r="D25" i="139" s="1"/>
  <c r="D26" i="139" s="1" a="1"/>
  <c r="D26" i="139" s="1"/>
  <c r="D27" i="139" s="1" a="1"/>
  <c r="D27" i="139" s="1"/>
  <c r="D28" i="139" s="1" a="1"/>
  <c r="D28" i="139" s="1"/>
  <c r="D29" i="139" s="1" a="1"/>
  <c r="D29" i="139" s="1"/>
  <c r="D30" i="139" s="1" a="1"/>
  <c r="D30" i="139" s="1"/>
  <c r="D31" i="139" s="1" a="1"/>
  <c r="D31" i="139" s="1"/>
  <c r="D32" i="139" s="1" a="1"/>
  <c r="D32" i="139" s="1"/>
  <c r="D33" i="139" s="1" a="1"/>
  <c r="D33" i="139" s="1"/>
  <c r="D34" i="139" s="1"/>
  <c r="D35" i="139" s="1"/>
  <c r="D36" i="139" s="1"/>
  <c r="AX9" i="25" l="1"/>
  <c r="P9" i="25" s="1"/>
  <c r="BC9" i="25"/>
  <c r="U9" i="25" s="1"/>
  <c r="EM9" i="25"/>
  <c r="EA9" i="25" l="1"/>
  <c r="B41" i="131"/>
  <c r="D41" i="131"/>
  <c r="L36" i="139" l="1"/>
  <c r="B32" i="131" s="1"/>
  <c r="G36" i="139"/>
  <c r="J36" i="139" s="1"/>
  <c r="K36" i="139" s="1"/>
  <c r="D42" i="131"/>
  <c r="B42" i="131"/>
  <c r="D43" i="131"/>
  <c r="B43" i="131"/>
  <c r="G15" i="139" l="1"/>
  <c r="J15" i="139" s="1"/>
  <c r="L15" i="139"/>
  <c r="B11" i="131" s="1"/>
  <c r="G16" i="139" l="1"/>
  <c r="J16" i="139" s="1"/>
  <c r="K16" i="139" s="1"/>
  <c r="L16" i="139"/>
  <c r="B12" i="131" s="1"/>
  <c r="K15" i="139"/>
  <c r="L17" i="139" l="1"/>
  <c r="B13" i="131" s="1"/>
  <c r="G17" i="139"/>
  <c r="J17" i="139" s="1"/>
  <c r="L18" i="139" l="1"/>
  <c r="B14" i="131" s="1"/>
  <c r="G18" i="139"/>
  <c r="J18" i="139" s="1"/>
  <c r="K18" i="139" s="1"/>
  <c r="K17" i="139"/>
  <c r="G19" i="139" l="1"/>
  <c r="J19" i="139" s="1"/>
  <c r="K19" i="139" s="1"/>
  <c r="L19" i="139"/>
  <c r="B15" i="131" s="1"/>
  <c r="G20" i="139" l="1"/>
  <c r="J20" i="139" s="1"/>
  <c r="K20" i="139" s="1"/>
  <c r="L20" i="139"/>
  <c r="B16" i="131" s="1"/>
  <c r="G21" i="139" l="1"/>
  <c r="J21" i="139" s="1"/>
  <c r="K21" i="139" s="1"/>
  <c r="L21" i="139"/>
  <c r="B17" i="131" s="1"/>
  <c r="G22" i="139" l="1"/>
  <c r="J22" i="139" s="1"/>
  <c r="K22" i="139" s="1"/>
  <c r="L22" i="139"/>
  <c r="B18" i="131" s="1"/>
  <c r="L23" i="139" l="1"/>
  <c r="B19" i="131" s="1"/>
  <c r="G23" i="139"/>
  <c r="J23" i="139" s="1"/>
  <c r="K23" i="139" s="1"/>
  <c r="G24" i="139" l="1"/>
  <c r="J24" i="139" s="1"/>
  <c r="K24" i="139" s="1"/>
  <c r="L24" i="139"/>
  <c r="B20" i="131" s="1"/>
  <c r="G25" i="139" l="1"/>
  <c r="J25" i="139" s="1"/>
  <c r="K25" i="139" s="1"/>
  <c r="L25" i="139"/>
  <c r="B21" i="131" s="1"/>
  <c r="G26" i="139" l="1"/>
  <c r="J26" i="139" s="1"/>
  <c r="K26" i="139" s="1"/>
  <c r="L26" i="139"/>
  <c r="B22" i="131" s="1"/>
  <c r="G27" i="139" l="1"/>
  <c r="J27" i="139" s="1"/>
  <c r="K27" i="139" s="1"/>
  <c r="L27" i="139"/>
  <c r="B23" i="131" s="1"/>
  <c r="G28" i="139" l="1"/>
  <c r="J28" i="139" s="1"/>
  <c r="K28" i="139" s="1"/>
  <c r="K38" i="139" s="1"/>
  <c r="L28" i="139"/>
  <c r="B24" i="131" s="1"/>
  <c r="L38" i="139" l="1"/>
  <c r="G29" i="139"/>
  <c r="J29" i="139" s="1"/>
  <c r="K29" i="139" s="1"/>
  <c r="L29" i="139"/>
  <c r="B25" i="131" s="1"/>
  <c r="G30" i="139" l="1"/>
  <c r="J30" i="139" s="1"/>
  <c r="K30" i="139" s="1"/>
  <c r="L30" i="139"/>
  <c r="B26" i="131" s="1"/>
  <c r="G32" i="139" l="1"/>
  <c r="J32" i="139" s="1"/>
  <c r="K32" i="139" s="1"/>
  <c r="L32" i="139"/>
  <c r="B28" i="131" s="1"/>
  <c r="G31" i="139"/>
  <c r="J31" i="139" s="1"/>
  <c r="L31" i="139"/>
  <c r="B27" i="131" s="1"/>
  <c r="L39" i="139" l="1"/>
  <c r="L34" i="139"/>
  <c r="B30" i="131" s="1"/>
  <c r="G34" i="139"/>
  <c r="J34" i="139" s="1"/>
  <c r="K34" i="139" s="1"/>
  <c r="L33" i="139"/>
  <c r="B29" i="131" s="1"/>
  <c r="G33" i="139"/>
  <c r="J33" i="139" s="1"/>
  <c r="K33" i="139" s="1"/>
  <c r="K31" i="139"/>
  <c r="K39" i="139" s="1"/>
  <c r="L35" i="139" l="1"/>
  <c r="G35" i="139"/>
  <c r="J35" i="139" s="1"/>
  <c r="K35" i="139" s="1"/>
  <c r="B31" i="131" l="1"/>
  <c r="B35" i="131" s="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B11" i="47" l="1"/>
  <c r="J12" i="47" l="1"/>
  <c r="B12" i="47" l="1"/>
  <c r="J13" i="47" l="1"/>
  <c r="O13" i="47"/>
  <c r="B13" i="47"/>
  <c r="B14" i="47" l="1"/>
  <c r="B15" i="47"/>
  <c r="C10" i="25"/>
  <c r="B16" i="47" l="1"/>
  <c r="T17" i="47" l="1"/>
  <c r="FD20" i="25" s="1"/>
  <c r="FD21" i="25" s="1" a="1"/>
  <c r="FD21" i="25" s="1"/>
  <c r="FD22" i="25" s="1" a="1"/>
  <c r="FD22" i="25" s="1"/>
  <c r="FD23" i="25" s="1" a="1"/>
  <c r="FD23" i="25" s="1"/>
  <c r="FD24" i="25" s="1" a="1"/>
  <c r="FD24" i="25" s="1"/>
  <c r="FD25" i="25" s="1" a="1"/>
  <c r="FD25" i="25" s="1"/>
  <c r="FD26" i="25" s="1" a="1"/>
  <c r="FD26" i="25" s="1"/>
  <c r="FD27" i="25" s="1" a="1"/>
  <c r="FD27" i="25" s="1"/>
  <c r="FD28" i="25" s="1" a="1"/>
  <c r="FD28" i="25" s="1"/>
  <c r="FD29" i="25" s="1" a="1"/>
  <c r="FD29" i="25" s="1"/>
  <c r="FD30" i="25" s="1" a="1"/>
  <c r="FD30" i="25" s="1"/>
  <c r="FD31" i="25" s="1" a="1"/>
  <c r="FD31" i="25" s="1"/>
  <c r="FD32" i="25" s="1" a="1"/>
  <c r="FD32" i="25" s="1"/>
  <c r="FD33" i="25" s="1" a="1"/>
  <c r="FD33" i="25" s="1"/>
  <c r="FD34" i="25" s="1" a="1"/>
  <c r="FD34" i="25" s="1"/>
  <c r="FD35" i="25" s="1" a="1"/>
  <c r="FD35" i="25" s="1"/>
  <c r="F18" i="181" l="1"/>
  <c r="F19" i="181" s="1" a="1"/>
  <c r="F19" i="181" s="1"/>
  <c r="F20" i="181" s="1" a="1"/>
  <c r="F20" i="181" s="1"/>
  <c r="F21" i="181" s="1" a="1"/>
  <c r="F21" i="181" s="1"/>
  <c r="F22" i="181" s="1" a="1"/>
  <c r="F22" i="181" s="1"/>
  <c r="F23" i="181" s="1" a="1"/>
  <c r="F23" i="181" s="1"/>
  <c r="F24" i="181" s="1" a="1"/>
  <c r="F24" i="181" s="1"/>
  <c r="F25" i="181" s="1" a="1"/>
  <c r="F25" i="181" s="1"/>
  <c r="F26" i="181" s="1" a="1"/>
  <c r="F26" i="181" s="1"/>
  <c r="F27" i="181" s="1" a="1"/>
  <c r="F27" i="181" s="1"/>
  <c r="F28" i="181" s="1" a="1"/>
  <c r="F28" i="181" s="1"/>
  <c r="F29" i="181" s="1" a="1"/>
  <c r="F29" i="181" s="1"/>
  <c r="F30" i="181" s="1" a="1"/>
  <c r="F30" i="181" s="1"/>
  <c r="F31" i="181" s="1" a="1"/>
  <c r="F31" i="181" s="1"/>
  <c r="F32" i="181" s="1" a="1"/>
  <c r="F32" i="181" s="1"/>
  <c r="F33" i="181" s="1" a="1"/>
  <c r="F33" i="181" s="1"/>
  <c r="F34" i="181" s="1"/>
  <c r="F35" i="181" s="1"/>
  <c r="F36" i="181" s="1"/>
  <c r="F18" i="177"/>
  <c r="F19" i="177" s="1" a="1"/>
  <c r="F19" i="177" s="1"/>
  <c r="F20" i="177" s="1" a="1"/>
  <c r="F20" i="177" s="1"/>
  <c r="F21" i="177" s="1" a="1"/>
  <c r="F21" i="177" s="1"/>
  <c r="F22" i="177" s="1" a="1"/>
  <c r="F22" i="177" s="1"/>
  <c r="F23" i="177" s="1" a="1"/>
  <c r="F23" i="177" s="1"/>
  <c r="F24" i="177" s="1" a="1"/>
  <c r="F24" i="177" s="1"/>
  <c r="F25" i="177" s="1" a="1"/>
  <c r="F25" i="177" s="1"/>
  <c r="F26" i="177" s="1" a="1"/>
  <c r="F26" i="177" s="1"/>
  <c r="F27" i="177" s="1" a="1"/>
  <c r="F27" i="177" s="1"/>
  <c r="F28" i="177" s="1" a="1"/>
  <c r="F28" i="177" s="1"/>
  <c r="F29" i="177" s="1" a="1"/>
  <c r="F29" i="177" s="1"/>
  <c r="F30" i="177" s="1" a="1"/>
  <c r="F30" i="177" s="1"/>
  <c r="F31" i="177" s="1" a="1"/>
  <c r="F31" i="177" s="1"/>
  <c r="F32" i="177" s="1" a="1"/>
  <c r="F32" i="177" s="1"/>
  <c r="F33" i="177" s="1" a="1"/>
  <c r="F33" i="177" s="1"/>
  <c r="F34" i="177" s="1"/>
  <c r="F35" i="177" s="1"/>
  <c r="F36" i="177" s="1"/>
  <c r="B17" i="47"/>
  <c r="B18" i="47" l="1"/>
  <c r="E13" i="131"/>
  <c r="B19" i="47" l="1"/>
  <c r="B20" i="47"/>
  <c r="G18" i="192"/>
  <c r="J18" i="192" s="1"/>
  <c r="K18" i="192" s="1"/>
  <c r="L18" i="192"/>
  <c r="E14" i="131" s="1"/>
  <c r="L18" i="181"/>
  <c r="F14" i="131" s="1"/>
  <c r="G18" i="181"/>
  <c r="J18" i="181" s="1"/>
  <c r="K18" i="181" s="1"/>
  <c r="Y21" i="47" l="1"/>
  <c r="F22" i="182" s="1"/>
  <c r="F23" i="182" s="1" a="1"/>
  <c r="F23" i="182" s="1"/>
  <c r="F24" i="182" s="1" a="1"/>
  <c r="F24" i="182" s="1"/>
  <c r="F25" i="182" s="1" a="1"/>
  <c r="F25" i="182" s="1"/>
  <c r="F26" i="182" s="1" a="1"/>
  <c r="F26" i="182" s="1"/>
  <c r="F27" i="182" s="1" a="1"/>
  <c r="F27" i="182" s="1"/>
  <c r="F28" i="182" s="1" a="1"/>
  <c r="F28" i="182" s="1"/>
  <c r="F29" i="182" s="1" a="1"/>
  <c r="F29" i="182" s="1"/>
  <c r="F30" i="182" s="1" a="1"/>
  <c r="F30" i="182" s="1"/>
  <c r="F31" i="182" s="1" a="1"/>
  <c r="F31" i="182" s="1"/>
  <c r="F32" i="182" s="1" a="1"/>
  <c r="F32" i="182" s="1"/>
  <c r="F33" i="182" s="1" a="1"/>
  <c r="F33" i="182" s="1"/>
  <c r="F34" i="182" s="1"/>
  <c r="F35" i="182" s="1"/>
  <c r="F36" i="182" s="1"/>
  <c r="G20" i="192"/>
  <c r="J20" i="192" s="1"/>
  <c r="K20" i="192" s="1"/>
  <c r="L20" i="192"/>
  <c r="E16" i="131" s="1"/>
  <c r="L19" i="192"/>
  <c r="E15" i="131" s="1"/>
  <c r="G19" i="192"/>
  <c r="J19" i="192" s="1"/>
  <c r="K19" i="192" s="1"/>
  <c r="B21" i="47" l="1"/>
  <c r="B22" i="47"/>
  <c r="G21" i="192"/>
  <c r="J21" i="192" s="1"/>
  <c r="K21" i="192" s="1"/>
  <c r="L21" i="192"/>
  <c r="E17" i="131" s="1"/>
  <c r="B23" i="47" l="1"/>
  <c r="L22" i="192"/>
  <c r="E18" i="131" s="1"/>
  <c r="G22" i="192"/>
  <c r="J22" i="192" s="1"/>
  <c r="K22" i="192" s="1"/>
  <c r="B24" i="47" l="1"/>
  <c r="L23" i="192"/>
  <c r="E19" i="131" s="1"/>
  <c r="G23" i="192"/>
  <c r="J23" i="192" s="1"/>
  <c r="K23" i="192" s="1"/>
  <c r="B25" i="47" l="1"/>
  <c r="G24" i="192"/>
  <c r="J24" i="192" s="1"/>
  <c r="K24" i="192" s="1"/>
  <c r="L24" i="192"/>
  <c r="E20" i="131" s="1"/>
  <c r="B26" i="47" l="1"/>
  <c r="L25" i="192"/>
  <c r="E21" i="131" s="1"/>
  <c r="G25" i="192"/>
  <c r="J25" i="192" s="1"/>
  <c r="K25" i="192" s="1"/>
  <c r="B27" i="47" l="1"/>
  <c r="L26" i="192"/>
  <c r="E22" i="131" s="1"/>
  <c r="G26" i="192"/>
  <c r="J26" i="192" s="1"/>
  <c r="K26" i="192" s="1"/>
  <c r="B28" i="47" l="1"/>
  <c r="G27" i="192"/>
  <c r="J27" i="192" s="1"/>
  <c r="K27" i="192" s="1"/>
  <c r="L27" i="192"/>
  <c r="E23" i="131" s="1"/>
  <c r="B29" i="47" l="1"/>
  <c r="L28" i="192"/>
  <c r="E24" i="131" s="1"/>
  <c r="G28" i="192"/>
  <c r="J28" i="192" s="1"/>
  <c r="K28" i="192" s="1"/>
  <c r="B30" i="47" l="1"/>
  <c r="L29" i="192"/>
  <c r="E25" i="131" s="1"/>
  <c r="G29" i="192"/>
  <c r="J29" i="192" s="1"/>
  <c r="K29" i="192" s="1"/>
  <c r="B31" i="47" l="1"/>
  <c r="G30" i="192"/>
  <c r="J30" i="192" s="1"/>
  <c r="K30" i="192" s="1"/>
  <c r="L30" i="192"/>
  <c r="E26" i="131" s="1"/>
  <c r="B32" i="47" l="1"/>
  <c r="L31" i="192"/>
  <c r="E27" i="131" s="1"/>
  <c r="G31" i="192"/>
  <c r="J31" i="192" s="1"/>
  <c r="K31" i="192" s="1"/>
  <c r="B33" i="47" l="1"/>
  <c r="B34" i="47" l="1"/>
  <c r="L33" i="192"/>
  <c r="E29" i="131" s="1"/>
  <c r="G33" i="192"/>
  <c r="J33" i="192" s="1"/>
  <c r="K33" i="192" s="1"/>
  <c r="L32" i="192"/>
  <c r="E28" i="131" s="1"/>
  <c r="G32" i="192"/>
  <c r="J32" i="192" s="1"/>
  <c r="K32" i="192" s="1"/>
  <c r="B35" i="47" l="1"/>
  <c r="G34" i="192"/>
  <c r="J34" i="192" s="1"/>
  <c r="K34" i="192" s="1"/>
  <c r="L34" i="192"/>
  <c r="E30" i="131" s="1"/>
  <c r="G35" i="182"/>
  <c r="J35" i="182" s="1"/>
  <c r="K35" i="182" s="1"/>
  <c r="G33" i="177"/>
  <c r="J33" i="177" s="1"/>
  <c r="K33" i="177" s="1"/>
  <c r="G33" i="181"/>
  <c r="J33" i="181" s="1"/>
  <c r="K33" i="181" s="1"/>
  <c r="L34" i="182"/>
  <c r="G30" i="131" s="1"/>
  <c r="G34" i="177"/>
  <c r="J34" i="177" s="1"/>
  <c r="K34" i="177" s="1"/>
  <c r="L33" i="177" l="1"/>
  <c r="D29" i="131" s="1"/>
  <c r="L33" i="181"/>
  <c r="F29" i="131" s="1"/>
  <c r="G34" i="182"/>
  <c r="J34" i="182" s="1"/>
  <c r="K34" i="182" s="1"/>
  <c r="G20" i="177"/>
  <c r="J20" i="177" s="1"/>
  <c r="K20" i="177" s="1"/>
  <c r="L20" i="177"/>
  <c r="D16" i="131" s="1"/>
  <c r="L26" i="181"/>
  <c r="F22" i="131" s="1"/>
  <c r="G26" i="181"/>
  <c r="J26" i="181" s="1"/>
  <c r="K26" i="181" s="1"/>
  <c r="G28" i="182"/>
  <c r="J28" i="182" s="1"/>
  <c r="K28" i="182" s="1"/>
  <c r="L28" i="182"/>
  <c r="G24" i="131" s="1"/>
  <c r="G26" i="182"/>
  <c r="J26" i="182" s="1"/>
  <c r="K26" i="182" s="1"/>
  <c r="L26" i="182"/>
  <c r="G22" i="131" s="1"/>
  <c r="G22" i="181"/>
  <c r="J22" i="181" s="1"/>
  <c r="K22" i="181" s="1"/>
  <c r="L22" i="181"/>
  <c r="F18" i="131" s="1"/>
  <c r="L22" i="182"/>
  <c r="G18" i="131" s="1"/>
  <c r="G22" i="182"/>
  <c r="J22" i="182" s="1"/>
  <c r="K22" i="182" s="1"/>
  <c r="L25" i="181"/>
  <c r="F21" i="131" s="1"/>
  <c r="G25" i="181"/>
  <c r="J25" i="181" s="1"/>
  <c r="K25" i="181" s="1"/>
  <c r="G29" i="182"/>
  <c r="J29" i="182" s="1"/>
  <c r="K29" i="182" s="1"/>
  <c r="L29" i="182"/>
  <c r="G25" i="131" s="1"/>
  <c r="G29" i="181"/>
  <c r="J29" i="181" s="1"/>
  <c r="K29" i="181" s="1"/>
  <c r="L29" i="181"/>
  <c r="F25" i="131" s="1"/>
  <c r="L28" i="181"/>
  <c r="F24" i="131" s="1"/>
  <c r="G28" i="181"/>
  <c r="J28" i="181" s="1"/>
  <c r="K28" i="181" s="1"/>
  <c r="L24" i="182"/>
  <c r="G20" i="131" s="1"/>
  <c r="G24" i="182"/>
  <c r="J24" i="182" s="1"/>
  <c r="K24" i="182" s="1"/>
  <c r="G30" i="182"/>
  <c r="J30" i="182" s="1"/>
  <c r="K30" i="182" s="1"/>
  <c r="L30" i="182"/>
  <c r="G26" i="131" s="1"/>
  <c r="G25" i="182"/>
  <c r="J25" i="182" s="1"/>
  <c r="K25" i="182" s="1"/>
  <c r="L25" i="182"/>
  <c r="G21" i="131" s="1"/>
  <c r="G30" i="181"/>
  <c r="J30" i="181" s="1"/>
  <c r="K30" i="181" s="1"/>
  <c r="L30" i="181"/>
  <c r="F26" i="131" s="1"/>
  <c r="G19" i="177"/>
  <c r="J19" i="177" s="1"/>
  <c r="K19" i="177" s="1"/>
  <c r="L19" i="177"/>
  <c r="D15" i="131" s="1"/>
  <c r="G32" i="182"/>
  <c r="J32" i="182" s="1"/>
  <c r="K32" i="182" s="1"/>
  <c r="L32" i="182"/>
  <c r="G28" i="131" s="1"/>
  <c r="G30" i="177"/>
  <c r="J30" i="177" s="1"/>
  <c r="K30" i="177" s="1"/>
  <c r="L30" i="177"/>
  <c r="D26" i="131" s="1"/>
  <c r="L33" i="182"/>
  <c r="G29" i="131" s="1"/>
  <c r="G33" i="182"/>
  <c r="J33" i="182" s="1"/>
  <c r="K33" i="182" s="1"/>
  <c r="G19" i="181"/>
  <c r="J19" i="181" s="1"/>
  <c r="K19" i="181" s="1"/>
  <c r="L19" i="181"/>
  <c r="F15" i="131" s="1"/>
  <c r="L20" i="181"/>
  <c r="F16" i="131" s="1"/>
  <c r="G20" i="181"/>
  <c r="J20" i="181" s="1"/>
  <c r="K20" i="181" s="1"/>
  <c r="G24" i="181"/>
  <c r="J24" i="181" s="1"/>
  <c r="K24" i="181" s="1"/>
  <c r="L24" i="181"/>
  <c r="F20" i="131" s="1"/>
  <c r="L23" i="182"/>
  <c r="G19" i="131" s="1"/>
  <c r="G23" i="182"/>
  <c r="J23" i="182" s="1"/>
  <c r="K23" i="182" s="1"/>
  <c r="L25" i="177"/>
  <c r="D21" i="131" s="1"/>
  <c r="G25" i="177"/>
  <c r="J25" i="177" s="1"/>
  <c r="K25" i="177" s="1"/>
  <c r="G27" i="177"/>
  <c r="J27" i="177" s="1"/>
  <c r="K27" i="177" s="1"/>
  <c r="L27" i="177"/>
  <c r="D23" i="131" s="1"/>
  <c r="L32" i="177"/>
  <c r="D28" i="131" s="1"/>
  <c r="G32" i="177"/>
  <c r="J32" i="177" s="1"/>
  <c r="K32" i="177" s="1"/>
  <c r="G26" i="177"/>
  <c r="J26" i="177" s="1"/>
  <c r="K26" i="177" s="1"/>
  <c r="L26" i="177"/>
  <c r="D22" i="131" s="1"/>
  <c r="G23" i="177"/>
  <c r="J23" i="177" s="1"/>
  <c r="K23" i="177" s="1"/>
  <c r="L23" i="177"/>
  <c r="D19" i="131" s="1"/>
  <c r="L31" i="181"/>
  <c r="F27" i="131" s="1"/>
  <c r="G31" i="181"/>
  <c r="J31" i="181" s="1"/>
  <c r="K31" i="181" s="1"/>
  <c r="G23" i="181"/>
  <c r="J23" i="181" s="1"/>
  <c r="K23" i="181" s="1"/>
  <c r="L23" i="181"/>
  <c r="F19" i="131" s="1"/>
  <c r="L28" i="177"/>
  <c r="D24" i="131" s="1"/>
  <c r="G28" i="177"/>
  <c r="J28" i="177" s="1"/>
  <c r="K28" i="177" s="1"/>
  <c r="L24" i="177"/>
  <c r="D20" i="131" s="1"/>
  <c r="G24" i="177"/>
  <c r="J24" i="177" s="1"/>
  <c r="K24" i="177" s="1"/>
  <c r="L21" i="177"/>
  <c r="D17" i="131" s="1"/>
  <c r="G21" i="177"/>
  <c r="J21" i="177" s="1"/>
  <c r="K21" i="177" s="1"/>
  <c r="G31" i="182"/>
  <c r="J31" i="182" s="1"/>
  <c r="K31" i="182" s="1"/>
  <c r="L31" i="182"/>
  <c r="G27" i="131" s="1"/>
  <c r="G27" i="181"/>
  <c r="J27" i="181" s="1"/>
  <c r="K27" i="181" s="1"/>
  <c r="L27" i="181"/>
  <c r="F23" i="131" s="1"/>
  <c r="G27" i="182"/>
  <c r="J27" i="182" s="1"/>
  <c r="K27" i="182" s="1"/>
  <c r="L27" i="182"/>
  <c r="G23" i="131" s="1"/>
  <c r="L31" i="177"/>
  <c r="D27" i="131" s="1"/>
  <c r="G31" i="177"/>
  <c r="J31" i="177" s="1"/>
  <c r="K31" i="177" s="1"/>
  <c r="G21" i="181"/>
  <c r="J21" i="181" s="1"/>
  <c r="K21" i="181" s="1"/>
  <c r="L21" i="181"/>
  <c r="F17" i="131" s="1"/>
  <c r="G32" i="181"/>
  <c r="J32" i="181" s="1"/>
  <c r="K32" i="181" s="1"/>
  <c r="L32" i="181"/>
  <c r="F28" i="131" s="1"/>
  <c r="G29" i="177"/>
  <c r="J29" i="177" s="1"/>
  <c r="K29" i="177" s="1"/>
  <c r="L29" i="177"/>
  <c r="D25" i="131" s="1"/>
  <c r="G22" i="177"/>
  <c r="J22" i="177" s="1"/>
  <c r="K22" i="177" s="1"/>
  <c r="L22" i="177"/>
  <c r="D18" i="131" s="1"/>
  <c r="L35" i="182"/>
  <c r="G31" i="131" s="1"/>
  <c r="L34" i="177"/>
  <c r="D30" i="131" s="1"/>
  <c r="G34" i="181"/>
  <c r="J34" i="181" s="1"/>
  <c r="K34" i="181" s="1"/>
  <c r="L34" i="181"/>
  <c r="F30" i="131" s="1"/>
  <c r="L35" i="192" l="1"/>
  <c r="E31" i="131" s="1"/>
  <c r="G35" i="192"/>
  <c r="J35" i="192" s="1"/>
  <c r="K35" i="192" s="1"/>
  <c r="G36" i="177"/>
  <c r="J36" i="177" s="1"/>
  <c r="K36" i="177" s="1"/>
  <c r="G36" i="181"/>
  <c r="J36" i="181" s="1"/>
  <c r="K36" i="181" s="1"/>
  <c r="G36" i="182"/>
  <c r="J36" i="182" s="1"/>
  <c r="K36" i="182" s="1"/>
  <c r="L36" i="182"/>
  <c r="G32" i="131" s="1"/>
  <c r="G35" i="131" s="1"/>
  <c r="C56" i="131" s="1"/>
  <c r="G35" i="177"/>
  <c r="J35" i="177" s="1"/>
  <c r="K35" i="177" s="1"/>
  <c r="L35" i="177"/>
  <c r="D31" i="131" s="1"/>
  <c r="G35" i="181"/>
  <c r="J35" i="181" s="1"/>
  <c r="K35" i="181" s="1"/>
  <c r="L35" i="181"/>
  <c r="F31" i="131" s="1"/>
  <c r="L36" i="192" l="1"/>
  <c r="E32" i="131" s="1"/>
  <c r="E35" i="131" s="1"/>
  <c r="C58" i="131" s="1"/>
  <c r="G36" i="192"/>
  <c r="J36" i="192" s="1"/>
  <c r="K36" i="192" s="1"/>
  <c r="G18" i="177"/>
  <c r="J18" i="177" s="1"/>
  <c r="K18" i="177" s="1"/>
  <c r="L18" i="177"/>
  <c r="D14" i="131" s="1"/>
  <c r="L36" i="181"/>
  <c r="F32" i="131" s="1"/>
  <c r="F35" i="131" s="1"/>
  <c r="C57" i="131" s="1"/>
  <c r="L36" i="177"/>
  <c r="D32" i="131" s="1"/>
  <c r="D35" i="131" l="1"/>
  <c r="C43" i="131" l="1"/>
  <c r="C41" i="131"/>
  <c r="C42" i="131"/>
  <c r="E9" i="28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65" i="31" s="1"/>
  <c r="I220" i="31"/>
  <c r="I165" i="31"/>
  <c r="I154" i="31"/>
  <c r="I198" i="31"/>
  <c r="I231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71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/>
  <c r="J13" i="31" l="1"/>
  <c r="B13" i="25" s="1"/>
  <c r="L16" i="31"/>
  <c r="B14" i="31"/>
  <c r="J14" i="31" l="1"/>
  <c r="B15" i="31"/>
  <c r="L17" i="31"/>
  <c r="O13" i="25"/>
  <c r="B14" i="25"/>
  <c r="O14" i="25" l="1"/>
  <c r="B15" i="25"/>
  <c r="FC13" i="25"/>
  <c r="CG13" i="25"/>
  <c r="L18" i="31"/>
  <c r="B16" i="31"/>
  <c r="J15" i="31"/>
  <c r="CI13" i="25" l="1"/>
  <c r="CH13" i="25"/>
  <c r="CX13" i="25"/>
  <c r="CZ13" i="25"/>
  <c r="CM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CH14" i="25" l="1"/>
  <c r="CI14" i="25"/>
  <c r="CZ14" i="25"/>
  <c r="CX14" i="25"/>
  <c r="CM14" i="25"/>
  <c r="EQ14" i="25"/>
  <c r="EP14" i="25"/>
  <c r="B18" i="31"/>
  <c r="J17" i="31"/>
  <c r="L20" i="31"/>
  <c r="ET15" i="25"/>
  <c r="CG15" i="25"/>
  <c r="FC15" i="25"/>
  <c r="B17" i="25"/>
  <c r="O16" i="25"/>
  <c r="ES15" i="25"/>
  <c r="CH15" i="25" l="1"/>
  <c r="CI15" i="25"/>
  <c r="CZ15" i="25"/>
  <c r="CX15" i="25"/>
  <c r="CM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CI16" i="25" l="1"/>
  <c r="CH16" i="25"/>
  <c r="CZ16" i="25"/>
  <c r="CX16" i="25"/>
  <c r="CM16" i="25"/>
  <c r="ET16" i="25"/>
  <c r="ER16" i="25"/>
  <c r="B20" i="31"/>
  <c r="J19" i="31"/>
  <c r="L22" i="31"/>
  <c r="O18" i="25"/>
  <c r="B19" i="25"/>
  <c r="CG17" i="25"/>
  <c r="FC17" i="25"/>
  <c r="ET17" i="25"/>
  <c r="EQ16" i="25"/>
  <c r="CI17" i="25" l="1"/>
  <c r="CH17" i="25"/>
  <c r="CZ17" i="25"/>
  <c r="CX17" i="25"/>
  <c r="CM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CI18" i="25" l="1"/>
  <c r="CH18" i="25"/>
  <c r="CZ18" i="25"/>
  <c r="CX18" i="25"/>
  <c r="CM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CH19" i="25" l="1"/>
  <c r="CI19" i="25"/>
  <c r="CZ19" i="25"/>
  <c r="CX19" i="25"/>
  <c r="CM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CI20" i="25" l="1"/>
  <c r="CH20" i="25"/>
  <c r="CZ20" i="25"/>
  <c r="CX20" i="25"/>
  <c r="CM20" i="25"/>
  <c r="EQ20" i="25"/>
  <c r="EP20" i="25"/>
  <c r="ER20" i="25"/>
  <c r="B23" i="25"/>
  <c r="O22" i="25"/>
  <c r="CG21" i="25"/>
  <c r="FC21" i="25"/>
  <c r="ES21" i="25"/>
  <c r="J23" i="31"/>
  <c r="B24" i="31"/>
  <c r="L26" i="31"/>
  <c r="CI21" i="25" l="1"/>
  <c r="CH21" i="25"/>
  <c r="CX21" i="25"/>
  <c r="CZ21" i="25"/>
  <c r="CM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CI22" i="25" l="1"/>
  <c r="CH22" i="25"/>
  <c r="CZ22" i="25"/>
  <c r="CX22" i="25"/>
  <c r="CM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CI23" i="25" l="1"/>
  <c r="CH23" i="25"/>
  <c r="CZ23" i="25"/>
  <c r="CX23" i="25"/>
  <c r="CM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CI24" i="25" l="1"/>
  <c r="CH24" i="25"/>
  <c r="CX24" i="25"/>
  <c r="CZ24" i="25"/>
  <c r="CM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CH25" i="25" l="1"/>
  <c r="CI25" i="25"/>
  <c r="CX25" i="25"/>
  <c r="CZ25" i="25"/>
  <c r="CM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CH26" i="25" l="1"/>
  <c r="CI26" i="25"/>
  <c r="CX26" i="25"/>
  <c r="CZ26" i="25"/>
  <c r="CM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CH27" i="25" l="1"/>
  <c r="CI27" i="25"/>
  <c r="CX27" i="25"/>
  <c r="CZ27" i="25"/>
  <c r="CM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CH28" i="25" l="1"/>
  <c r="CI28" i="25"/>
  <c r="CX28" i="25"/>
  <c r="CZ28" i="25"/>
  <c r="CM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CI29" i="25" l="1"/>
  <c r="CH29" i="25"/>
  <c r="CZ29" i="25"/>
  <c r="CX29" i="25"/>
  <c r="CM29" i="25"/>
  <c r="EP29" i="25"/>
  <c r="EQ29" i="25"/>
  <c r="ER29" i="25"/>
  <c r="CG30" i="25"/>
  <c r="ET30" i="25"/>
  <c r="ES30" i="25"/>
  <c r="FC30" i="25"/>
  <c r="B32" i="25"/>
  <c r="O31" i="25"/>
  <c r="B33" i="31"/>
  <c r="J32" i="31"/>
  <c r="L35" i="31"/>
  <c r="CI30" i="25" l="1"/>
  <c r="CH30" i="25"/>
  <c r="CX30" i="25"/>
  <c r="CZ30" i="25"/>
  <c r="CM30" i="25"/>
  <c r="EP30" i="25"/>
  <c r="EQ30" i="25"/>
  <c r="ER30" i="25"/>
  <c r="L36" i="31"/>
  <c r="ES31" i="25"/>
  <c r="CG31" i="25"/>
  <c r="FC31" i="25"/>
  <c r="ET31" i="25"/>
  <c r="O32" i="25"/>
  <c r="B33" i="25"/>
  <c r="J33" i="31"/>
  <c r="B34" i="31"/>
  <c r="CI31" i="25" l="1"/>
  <c r="CH31" i="25"/>
  <c r="CZ31" i="25"/>
  <c r="CX31" i="25"/>
  <c r="CM31" i="25"/>
  <c r="EQ31" i="25"/>
  <c r="EP31" i="25"/>
  <c r="ER31" i="25"/>
  <c r="B34" i="25"/>
  <c r="B35" i="25" s="1"/>
  <c r="O33" i="25"/>
  <c r="B35" i="31"/>
  <c r="J34" i="31"/>
  <c r="CG32" i="25"/>
  <c r="ES32" i="25"/>
  <c r="ET32" i="25"/>
  <c r="FC32" i="25"/>
  <c r="L37" i="31"/>
  <c r="CI32" i="25" l="1"/>
  <c r="CH32" i="25"/>
  <c r="CX32" i="25"/>
  <c r="CZ32" i="25"/>
  <c r="CM32" i="25"/>
  <c r="O35" i="25"/>
  <c r="B36" i="25"/>
  <c r="EP32" i="25"/>
  <c r="EQ32" i="25"/>
  <c r="L38" i="31"/>
  <c r="ER32" i="25"/>
  <c r="J35" i="31"/>
  <c r="B36" i="31"/>
  <c r="FC33" i="25"/>
  <c r="CG33" i="25"/>
  <c r="ET33" i="25"/>
  <c r="ES33" i="25"/>
  <c r="O34" i="25"/>
  <c r="FC35" i="25" l="1"/>
  <c r="CG35" i="25"/>
  <c r="B37" i="25"/>
  <c r="O36" i="25"/>
  <c r="CX35" i="25"/>
  <c r="CI33" i="25"/>
  <c r="CH33" i="25"/>
  <c r="CZ33" i="25"/>
  <c r="CX33" i="25"/>
  <c r="CM33" i="25"/>
  <c r="EQ33" i="25"/>
  <c r="EP33" i="25"/>
  <c r="ER33" i="25"/>
  <c r="CG34" i="25"/>
  <c r="FC34" i="25"/>
  <c r="B37" i="31"/>
  <c r="J36" i="31"/>
  <c r="L39" i="31"/>
  <c r="CZ35" i="25" l="1"/>
  <c r="CI35" i="25"/>
  <c r="CM35" i="25"/>
  <c r="CH35" i="25"/>
  <c r="CG36" i="25"/>
  <c r="CI36" i="25" s="1"/>
  <c r="CI34" i="25"/>
  <c r="CH34" i="25"/>
  <c r="CZ34" i="25"/>
  <c r="CX34" i="25"/>
  <c r="CM34" i="25"/>
  <c r="CH36" i="25"/>
  <c r="B38" i="25"/>
  <c r="O37" i="25"/>
  <c r="ER35" i="25"/>
  <c r="ER34" i="25"/>
  <c r="L40" i="31"/>
  <c r="B38" i="31"/>
  <c r="J37" i="31"/>
  <c r="EP34" i="25"/>
  <c r="EP35" i="25"/>
  <c r="ES34" i="25"/>
  <c r="ES35" i="25"/>
  <c r="EQ35" i="25"/>
  <c r="EQ34" i="25"/>
  <c r="ET34" i="25"/>
  <c r="ET35" i="25"/>
  <c r="CM36" i="25" l="1"/>
  <c r="CZ36" i="25"/>
  <c r="CX36" i="25"/>
  <c r="CG37" i="25"/>
  <c r="B39" i="25"/>
  <c r="O39" i="25" s="1"/>
  <c r="O38" i="25"/>
  <c r="B39" i="31"/>
  <c r="J38" i="31"/>
  <c r="L41" i="31"/>
  <c r="CX37" i="25" l="1"/>
  <c r="CZ37" i="25"/>
  <c r="CI37" i="25"/>
  <c r="CM37" i="25"/>
  <c r="CH37" i="25"/>
  <c r="CG38" i="25"/>
  <c r="CH38" i="25" s="1"/>
  <c r="CG39" i="25"/>
  <c r="L42" i="31"/>
  <c r="J39" i="31"/>
  <c r="B40" i="31"/>
  <c r="CI39" i="25" l="1"/>
  <c r="CZ38" i="25"/>
  <c r="CH39" i="25"/>
  <c r="CX38" i="25"/>
  <c r="CM38" i="25"/>
  <c r="CI38" i="25"/>
  <c r="CX39" i="25"/>
  <c r="CM39" i="25"/>
  <c r="CZ39" i="25"/>
  <c r="B41" i="31"/>
  <c r="J40" i="31"/>
  <c r="J41" i="31" l="1"/>
  <c r="B42" i="31"/>
  <c r="J42" i="31" l="1"/>
  <c r="B43" i="31"/>
  <c r="B44" i="31" l="1"/>
  <c r="J43" i="31"/>
  <c r="J44" i="31" l="1"/>
  <c r="B45" i="31"/>
  <c r="B46" i="31" l="1"/>
  <c r="J45" i="31"/>
  <c r="J46" i="31" l="1"/>
  <c r="B47" i="31"/>
  <c r="J47" i="31" l="1"/>
  <c r="B48" i="31"/>
  <c r="J48" i="31" l="1"/>
  <c r="B49" i="31"/>
  <c r="B50" i="31" l="1"/>
  <c r="J49" i="31"/>
  <c r="B51" i="31" l="1"/>
  <c r="J50" i="31"/>
  <c r="J51" i="31" l="1"/>
  <c r="B52" i="31"/>
  <c r="J52" i="31" l="1"/>
  <c r="B53" i="31"/>
  <c r="B54" i="31" l="1"/>
  <c r="J53" i="31"/>
  <c r="J54" i="31" l="1"/>
  <c r="B55" i="31"/>
  <c r="J55" i="31" l="1"/>
  <c r="B56" i="31"/>
  <c r="B57" i="31" l="1"/>
  <c r="J56" i="31"/>
  <c r="J57" i="31" l="1"/>
  <c r="B58" i="31"/>
  <c r="J58" i="31" l="1"/>
  <c r="B59" i="31"/>
  <c r="J59" i="31" l="1"/>
  <c r="B60" i="31"/>
  <c r="J60" i="31" l="1"/>
  <c r="B61" i="31"/>
  <c r="J61" i="31" l="1"/>
  <c r="B62" i="31"/>
  <c r="J62" i="31" l="1"/>
  <c r="B63" i="31"/>
  <c r="J63" i="31" l="1"/>
  <c r="B64" i="31"/>
  <c r="J64" i="31" l="1"/>
  <c r="B65" i="31"/>
  <c r="J65" i="31" l="1"/>
  <c r="B66" i="31"/>
  <c r="J66" i="31" l="1"/>
  <c r="B67" i="31"/>
  <c r="J67" i="31" l="1"/>
  <c r="B68" i="31"/>
  <c r="J68" i="31" l="1"/>
  <c r="B69" i="31"/>
  <c r="J69" i="31" l="1"/>
  <c r="B70" i="31"/>
  <c r="J70" i="31" l="1"/>
  <c r="B71" i="31"/>
  <c r="J71" i="31" l="1"/>
  <c r="B72" i="31"/>
  <c r="J72" i="31" l="1"/>
  <c r="B73" i="31"/>
  <c r="J73" i="31" l="1"/>
  <c r="B74" i="31"/>
  <c r="B75" i="31" l="1"/>
  <c r="J74" i="31"/>
  <c r="J75" i="31" l="1"/>
  <c r="B76" i="31"/>
  <c r="J76" i="31" l="1"/>
  <c r="B77" i="31"/>
  <c r="J77" i="31" l="1"/>
  <c r="B78" i="31"/>
  <c r="J78" i="31" l="1"/>
  <c r="B79" i="31"/>
  <c r="J79" i="31" l="1"/>
  <c r="B80" i="31"/>
  <c r="J80" i="31" l="1"/>
  <c r="B81" i="31"/>
  <c r="J81" i="31" l="1"/>
  <c r="B82" i="31"/>
  <c r="J82" i="31" l="1"/>
  <c r="B83" i="31"/>
  <c r="J83" i="31" l="1"/>
  <c r="B84" i="31"/>
  <c r="J84" i="31" l="1"/>
  <c r="B85" i="31"/>
  <c r="J85" i="31" l="1"/>
  <c r="B86" i="31"/>
  <c r="J86" i="31" l="1"/>
  <c r="B87" i="31"/>
  <c r="J87" i="31" l="1"/>
  <c r="B88" i="31"/>
  <c r="J88" i="31" l="1"/>
  <c r="B89" i="31"/>
  <c r="J89" i="31" l="1"/>
  <c r="B90" i="31"/>
  <c r="J90" i="31" l="1"/>
  <c r="B91" i="31"/>
  <c r="J91" i="31" l="1"/>
  <c r="B92" i="31"/>
  <c r="J92" i="31" l="1"/>
  <c r="B93" i="31"/>
  <c r="B94" i="31" l="1"/>
  <c r="J93" i="31"/>
  <c r="J94" i="31" l="1"/>
  <c r="B95" i="31"/>
  <c r="J95" i="31" l="1"/>
  <c r="B96" i="31"/>
  <c r="J96" i="31" l="1"/>
  <c r="B97" i="31"/>
  <c r="J97" i="31" l="1"/>
  <c r="B98" i="31"/>
  <c r="J98" i="31" l="1"/>
  <c r="B99" i="31"/>
  <c r="J99" i="31" l="1"/>
  <c r="B100" i="31"/>
  <c r="J100" i="31" l="1"/>
  <c r="B101" i="31"/>
  <c r="J101" i="31" l="1"/>
  <c r="B102" i="31"/>
  <c r="J102" i="31" l="1"/>
  <c r="B103" i="31"/>
  <c r="J103" i="31" l="1"/>
  <c r="B104" i="31"/>
  <c r="J104" i="31" l="1"/>
  <c r="B105" i="31"/>
  <c r="J105" i="31" l="1"/>
  <c r="B106" i="31"/>
  <c r="J106" i="31" l="1"/>
  <c r="B107" i="31"/>
  <c r="J107" i="31" l="1"/>
  <c r="B108" i="31"/>
  <c r="J108" i="31" l="1"/>
  <c r="B109" i="31"/>
  <c r="J109" i="31" l="1"/>
  <c r="B110" i="31"/>
  <c r="J110" i="31" l="1"/>
  <c r="B111" i="31"/>
  <c r="J111" i="31" l="1"/>
  <c r="B112" i="31"/>
  <c r="J112" i="31" l="1"/>
  <c r="B113" i="31"/>
  <c r="J113" i="31" l="1"/>
  <c r="B114" i="31"/>
  <c r="B115" i="31" l="1"/>
  <c r="J114" i="31"/>
  <c r="J115" i="31" l="1"/>
  <c r="B116" i="31"/>
  <c r="J116" i="31" l="1"/>
  <c r="B117" i="31"/>
  <c r="J117" i="31" l="1"/>
  <c r="B118" i="31"/>
  <c r="J118" i="31" l="1"/>
  <c r="B119" i="31"/>
  <c r="J119" i="31" l="1"/>
  <c r="B120" i="31"/>
  <c r="J120" i="31" l="1"/>
  <c r="B121" i="31"/>
  <c r="J121" i="31" l="1"/>
  <c r="B122" i="31"/>
  <c r="J122" i="31" l="1"/>
  <c r="B123" i="31"/>
  <c r="J123" i="31" l="1"/>
  <c r="B124" i="31"/>
  <c r="J124" i="31" l="1"/>
  <c r="B125" i="31"/>
  <c r="J125" i="31" l="1"/>
  <c r="B126" i="31"/>
  <c r="B127" i="31" l="1"/>
  <c r="J126" i="31"/>
  <c r="J127" i="31" l="1"/>
  <c r="B128" i="31"/>
  <c r="B129" i="31" l="1"/>
  <c r="J128" i="31"/>
  <c r="J129" i="31" l="1"/>
  <c r="B130" i="31"/>
  <c r="B131" i="31" l="1"/>
  <c r="J130" i="31"/>
  <c r="J131" i="31" l="1"/>
  <c r="B132" i="31"/>
  <c r="J132" i="31" l="1"/>
  <c r="B133" i="31"/>
  <c r="J133" i="31" l="1"/>
  <c r="B134" i="31"/>
  <c r="B135" i="31" l="1"/>
  <c r="J134" i="31"/>
  <c r="J135" i="31" l="1"/>
  <c r="B136" i="31"/>
  <c r="J136" i="31" l="1"/>
  <c r="B137" i="31"/>
  <c r="J137" i="31" l="1"/>
  <c r="B138" i="31"/>
  <c r="J138" i="31" l="1"/>
  <c r="B139" i="31"/>
  <c r="J139" i="31" l="1"/>
  <c r="B140" i="31"/>
  <c r="J140" i="31" l="1"/>
  <c r="B141" i="31"/>
  <c r="J141" i="31" l="1"/>
  <c r="B142" i="31"/>
  <c r="J142" i="31" l="1"/>
  <c r="B143" i="31"/>
  <c r="J143" i="31" l="1"/>
  <c r="B144" i="31"/>
  <c r="J144" i="31" l="1"/>
  <c r="B145" i="31"/>
  <c r="B146" i="31" l="1"/>
  <c r="J145" i="31"/>
  <c r="J146" i="31" l="1"/>
  <c r="B147" i="31"/>
  <c r="J147" i="31" l="1"/>
  <c r="B148" i="31"/>
  <c r="B149" i="31" l="1"/>
  <c r="J148" i="31"/>
  <c r="B150" i="31" l="1"/>
  <c r="J149" i="31"/>
  <c r="J150" i="31" l="1"/>
  <c r="B151" i="31"/>
  <c r="J151" i="31" l="1"/>
  <c r="B152" i="31"/>
  <c r="J152" i="31" l="1"/>
  <c r="B153" i="31"/>
  <c r="J153" i="31" l="1"/>
  <c r="B154" i="31"/>
  <c r="J154" i="31" l="1"/>
  <c r="B155" i="31"/>
  <c r="J155" i="31" l="1"/>
  <c r="B156" i="31"/>
  <c r="J156" i="31" l="1"/>
  <c r="B157" i="31"/>
  <c r="J157" i="31" l="1"/>
  <c r="B158" i="31"/>
  <c r="J158" i="31" l="1"/>
  <c r="B159" i="31"/>
  <c r="J159" i="31" l="1"/>
  <c r="B160" i="31"/>
  <c r="J160" i="31" l="1"/>
  <c r="B161" i="31"/>
  <c r="B162" i="31" l="1"/>
  <c r="J161" i="31"/>
  <c r="J162" i="31" l="1"/>
  <c r="B163" i="31"/>
  <c r="B164" i="31" l="1"/>
  <c r="J163" i="31"/>
  <c r="J164" i="31" l="1"/>
  <c r="B165" i="31"/>
  <c r="J165" i="31" l="1"/>
  <c r="B166" i="31"/>
  <c r="J166" i="31" l="1"/>
  <c r="B167" i="31"/>
  <c r="B168" i="31" l="1"/>
  <c r="J167" i="31"/>
  <c r="J168" i="31" l="1"/>
  <c r="B169" i="31"/>
  <c r="J169" i="31" l="1"/>
  <c r="B170" i="31"/>
  <c r="B171" i="31" l="1"/>
  <c r="J170" i="31"/>
  <c r="J171" i="31" l="1"/>
  <c r="B172" i="31"/>
  <c r="B173" i="31" l="1"/>
  <c r="J172" i="31"/>
  <c r="J173" i="31" l="1"/>
  <c r="B174" i="31"/>
  <c r="J174" i="31" l="1"/>
  <c r="B175" i="31"/>
  <c r="J175" i="31" l="1"/>
  <c r="B176" i="31"/>
  <c r="J176" i="31" l="1"/>
  <c r="B177" i="31"/>
  <c r="J177" i="31" l="1"/>
  <c r="B178" i="31"/>
  <c r="J178" i="31" l="1"/>
  <c r="B179" i="31"/>
  <c r="J179" i="31" l="1"/>
  <c r="B180" i="31"/>
  <c r="J180" i="31" l="1"/>
  <c r="B181" i="31"/>
  <c r="J181" i="31" l="1"/>
  <c r="B182" i="31"/>
  <c r="J182" i="31" l="1"/>
  <c r="B183" i="31"/>
  <c r="B184" i="31" l="1"/>
  <c r="J183" i="31"/>
  <c r="J184" i="31" l="1"/>
  <c r="B185" i="31"/>
  <c r="B186" i="31" l="1"/>
  <c r="J185" i="31"/>
  <c r="J186" i="31" l="1"/>
  <c r="B187" i="31"/>
  <c r="J187" i="31" l="1"/>
  <c r="B188" i="31"/>
  <c r="B189" i="31" l="1"/>
  <c r="J188" i="31"/>
  <c r="J189" i="31" l="1"/>
  <c r="B190" i="31"/>
  <c r="J190" i="31" l="1"/>
  <c r="B191" i="31"/>
  <c r="B192" i="31" l="1"/>
  <c r="J191" i="31"/>
  <c r="B193" i="31" l="1"/>
  <c r="J192" i="31"/>
  <c r="B194" i="31" l="1"/>
  <c r="J193" i="31"/>
  <c r="B195" i="31" l="1"/>
  <c r="J194" i="31"/>
  <c r="J195" i="31" l="1"/>
  <c r="B196" i="31"/>
  <c r="J196" i="31" l="1"/>
  <c r="B197" i="31"/>
  <c r="J197" i="31" l="1"/>
  <c r="B198" i="31"/>
  <c r="J198" i="31" l="1"/>
  <c r="B199" i="31"/>
  <c r="J199" i="31" l="1"/>
  <c r="B200" i="31"/>
  <c r="J200" i="31" l="1"/>
  <c r="B201" i="31"/>
  <c r="B202" i="31" l="1"/>
  <c r="J201" i="31"/>
  <c r="B203" i="31" l="1"/>
  <c r="J202" i="31"/>
  <c r="B204" i="31" l="1"/>
  <c r="J203" i="31"/>
  <c r="J204" i="31" l="1"/>
  <c r="B205" i="31"/>
  <c r="J205" i="31" l="1"/>
  <c r="B206" i="31"/>
  <c r="J206" i="31" l="1"/>
  <c r="B207" i="31"/>
  <c r="B208" i="31" l="1"/>
  <c r="J207" i="31"/>
  <c r="J208" i="31" l="1"/>
  <c r="B209" i="31"/>
  <c r="J209" i="31" l="1"/>
  <c r="B210" i="31"/>
  <c r="B211" i="31" l="1"/>
  <c r="J210" i="31"/>
  <c r="B212" i="31" l="1"/>
  <c r="J211" i="31"/>
  <c r="J212" i="31" l="1"/>
  <c r="B213" i="31"/>
  <c r="J213" i="31" l="1"/>
  <c r="B214" i="31"/>
  <c r="B215" i="31" l="1"/>
  <c r="J214" i="31"/>
  <c r="B216" i="31" l="1"/>
  <c r="J215" i="31"/>
  <c r="B217" i="31" l="1"/>
  <c r="J216" i="31"/>
  <c r="B218" i="31" l="1"/>
  <c r="J217" i="31"/>
  <c r="B219" i="31" l="1"/>
  <c r="J218" i="31"/>
  <c r="B220" i="31" l="1"/>
  <c r="J219" i="31"/>
  <c r="B221" i="31" l="1"/>
  <c r="J220" i="31"/>
  <c r="B222" i="31" l="1"/>
  <c r="J221" i="31"/>
  <c r="B223" i="31" l="1"/>
  <c r="J222" i="31"/>
  <c r="B224" i="31" l="1"/>
  <c r="J223" i="31"/>
  <c r="B225" i="31" l="1"/>
  <c r="J224" i="31"/>
  <c r="B226" i="31" l="1"/>
  <c r="J225" i="31"/>
  <c r="B227" i="31" l="1"/>
  <c r="J226" i="31"/>
  <c r="B228" i="31" l="1"/>
  <c r="J227" i="31"/>
  <c r="B229" i="31" l="1"/>
  <c r="J228" i="31"/>
  <c r="B230" i="31" l="1"/>
  <c r="J229" i="31"/>
  <c r="B231" i="31" l="1"/>
  <c r="J230" i="31"/>
  <c r="B232" i="31" l="1"/>
  <c r="J231" i="31"/>
  <c r="B233" i="31" l="1"/>
  <c r="J232" i="31"/>
  <c r="B234" i="31" l="1"/>
  <c r="J233" i="31"/>
  <c r="B235" i="31" l="1"/>
  <c r="J234" i="31"/>
  <c r="B236" i="31" l="1"/>
  <c r="J235" i="31"/>
  <c r="B237" i="31" l="1"/>
  <c r="J236" i="31"/>
  <c r="B238" i="31" l="1"/>
  <c r="J237" i="31"/>
  <c r="B239" i="31" l="1"/>
  <c r="J238" i="31"/>
  <c r="B240" i="31" l="1"/>
  <c r="J239" i="31"/>
  <c r="B241" i="31" l="1"/>
  <c r="J240" i="31"/>
  <c r="J241" i="31" l="1"/>
  <c r="B242" i="31"/>
  <c r="J242" i="31" l="1"/>
  <c r="B243" i="31"/>
  <c r="J243" i="31" l="1"/>
  <c r="B244" i="31"/>
  <c r="J244" i="31" l="1"/>
  <c r="B245" i="31"/>
  <c r="J245" i="31" l="1"/>
  <c r="B246" i="31"/>
  <c r="J246" i="31" l="1"/>
  <c r="B247" i="31"/>
  <c r="J247" i="31" l="1"/>
  <c r="B248" i="31"/>
  <c r="J248" i="31" l="1"/>
  <c r="B249" i="31"/>
  <c r="J249" i="31" l="1"/>
  <c r="B250" i="31"/>
  <c r="J250" i="31" l="1"/>
  <c r="B251" i="31"/>
  <c r="J251" i="31" l="1"/>
  <c r="B252" i="31"/>
  <c r="J252" i="31" l="1"/>
  <c r="B253" i="31"/>
  <c r="J253" i="31" l="1"/>
  <c r="B254" i="31"/>
  <c r="J254" i="31" l="1"/>
  <c r="B255" i="31"/>
  <c r="J255" i="31" l="1"/>
  <c r="B256" i="31"/>
  <c r="J256" i="31" l="1"/>
  <c r="B257" i="31"/>
  <c r="J257" i="31" l="1"/>
  <c r="B258" i="31"/>
  <c r="J258" i="31" l="1"/>
  <c r="B259" i="31"/>
  <c r="J259" i="31" l="1"/>
  <c r="B260" i="31"/>
  <c r="J260" i="31" l="1"/>
  <c r="B261" i="31"/>
  <c r="J261" i="31" l="1"/>
  <c r="B262" i="31"/>
  <c r="J262" i="31" l="1"/>
  <c r="B263" i="31"/>
  <c r="J263" i="31" l="1"/>
  <c r="B264" i="31"/>
  <c r="J264" i="31" l="1"/>
  <c r="B265" i="31"/>
  <c r="J265" i="31" l="1"/>
  <c r="B266" i="31"/>
  <c r="B267" i="31" l="1"/>
  <c r="J266" i="31"/>
  <c r="B268" i="31" l="1"/>
  <c r="J267" i="31"/>
  <c r="J268" i="31" l="1"/>
  <c r="B269" i="31"/>
  <c r="J269" i="31" l="1"/>
  <c r="B270" i="31"/>
  <c r="B271" i="31" l="1"/>
  <c r="J270" i="31"/>
  <c r="B272" i="31" l="1"/>
  <c r="J271" i="31"/>
  <c r="B273" i="31" l="1"/>
  <c r="J272" i="31"/>
  <c r="J273" i="31" l="1"/>
  <c r="B274" i="31"/>
  <c r="J274" i="31" l="1"/>
  <c r="B275" i="31"/>
  <c r="J275" i="31" l="1"/>
  <c r="B276" i="31"/>
  <c r="J276" i="31" l="1"/>
  <c r="U40" i="31" l="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DZ13" i="25"/>
  <c r="DZ14" i="25"/>
  <c r="DZ15" i="25"/>
  <c r="DZ18" i="25"/>
  <c r="DZ28" i="25"/>
  <c r="DZ17" i="25"/>
  <c r="DZ16" i="25"/>
  <c r="DZ21" i="25"/>
  <c r="DZ34" i="25"/>
  <c r="DZ25" i="25"/>
  <c r="DZ32" i="25"/>
  <c r="DZ31" i="25"/>
  <c r="DZ29" i="25"/>
  <c r="DZ27" i="25"/>
  <c r="DZ19" i="25"/>
  <c r="DZ23" i="25"/>
  <c r="DZ24" i="25"/>
  <c r="DZ26" i="25"/>
  <c r="DZ33" i="25"/>
  <c r="DZ35" i="25"/>
  <c r="DZ22" i="25"/>
  <c r="DZ20" i="25"/>
  <c r="DZ30" i="25"/>
  <c r="DV13" i="25"/>
  <c r="DV14" i="25"/>
  <c r="DV15" i="25"/>
  <c r="DV16" i="25"/>
  <c r="DV23" i="25"/>
  <c r="DV30" i="25"/>
  <c r="DV35" i="25"/>
  <c r="DV27" i="25"/>
  <c r="DV28" i="25"/>
  <c r="DV25" i="25"/>
  <c r="DV17" i="25"/>
  <c r="DV34" i="25"/>
  <c r="DV21" i="25"/>
  <c r="DV29" i="25"/>
  <c r="DV32" i="25"/>
  <c r="DV24" i="25"/>
  <c r="DV33" i="25"/>
  <c r="DV19" i="25"/>
  <c r="DV31" i="25"/>
  <c r="DV18" i="25"/>
  <c r="DV20" i="25"/>
  <c r="DV22" i="25"/>
  <c r="DV26" i="25"/>
  <c r="EO22" i="25"/>
  <c r="DT13" i="25"/>
  <c r="DT14" i="25"/>
  <c r="DT15" i="25"/>
  <c r="DT28" i="25"/>
  <c r="DT27" i="25"/>
  <c r="DT21" i="25"/>
  <c r="DT20" i="25"/>
  <c r="DT24" i="25"/>
  <c r="DT26" i="25"/>
  <c r="DT22" i="25"/>
  <c r="DT29" i="25"/>
  <c r="DT34" i="25"/>
  <c r="DT30" i="25"/>
  <c r="DT32" i="25"/>
  <c r="DT33" i="25"/>
  <c r="DT25" i="25"/>
  <c r="DT35" i="25"/>
  <c r="DT17" i="25"/>
  <c r="DT16" i="25"/>
  <c r="DT31" i="25"/>
  <c r="DT19" i="25"/>
  <c r="DT18" i="25"/>
  <c r="DT23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3" i="25"/>
  <c r="EO34" i="25"/>
  <c r="EO35" i="25"/>
  <c r="EO30" i="25"/>
  <c r="EO28" i="25"/>
  <c r="EO25" i="25"/>
  <c r="DU13" i="25"/>
  <c r="DU14" i="25"/>
  <c r="DU15" i="25"/>
  <c r="DU17" i="25"/>
  <c r="DU16" i="25"/>
  <c r="DU35" i="25"/>
  <c r="DU20" i="25"/>
  <c r="DU32" i="25"/>
  <c r="DU21" i="25"/>
  <c r="DU30" i="25"/>
  <c r="DU34" i="25"/>
  <c r="DU23" i="25"/>
  <c r="DU24" i="25"/>
  <c r="DU28" i="25"/>
  <c r="DU27" i="25"/>
  <c r="DU29" i="25"/>
  <c r="DU18" i="25"/>
  <c r="DU22" i="25"/>
  <c r="DU19" i="25"/>
  <c r="DU31" i="25"/>
  <c r="DU25" i="25"/>
  <c r="DU33" i="25"/>
  <c r="DU26" i="25"/>
  <c r="EO27" i="25"/>
  <c r="DX13" i="25" l="1"/>
  <c r="DX14" i="25"/>
  <c r="DX15" i="25"/>
  <c r="DY13" i="25"/>
  <c r="DY14" i="25"/>
  <c r="DY15" i="25" l="1"/>
  <c r="EB13" i="25" l="1"/>
  <c r="EB14" i="25"/>
  <c r="ED13" i="25" l="1"/>
  <c r="EC14" i="25"/>
  <c r="EC13" i="25"/>
  <c r="ED14" i="25"/>
  <c r="EA13" i="25" l="1"/>
  <c r="EA14" i="25"/>
  <c r="EN13" i="25" l="1"/>
  <c r="EB15" i="25"/>
  <c r="EN14" i="25"/>
  <c r="EG13" i="25" l="1"/>
  <c r="EI13" i="25"/>
  <c r="EI14" i="25"/>
  <c r="EC15" i="25" l="1"/>
  <c r="EA15" i="25" l="1"/>
  <c r="EG14" i="25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A16" i="25"/>
  <c r="EA17" i="25"/>
  <c r="EA18" i="25"/>
  <c r="EA20" i="25"/>
  <c r="EA19" i="25"/>
  <c r="EA21" i="25"/>
  <c r="EA22" i="25"/>
  <c r="EA23" i="25"/>
  <c r="EA24" i="25"/>
  <c r="EA26" i="25"/>
  <c r="EA25" i="25"/>
  <c r="EA27" i="25"/>
  <c r="EA30" i="25"/>
  <c r="EA29" i="25"/>
  <c r="EA28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DX16" i="25"/>
  <c r="DX17" i="25" l="1"/>
  <c r="DX19" i="25"/>
  <c r="DX20" i="25"/>
  <c r="DX18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DY18" i="25" l="1"/>
  <c r="DY17" i="25"/>
  <c r="DY16" i="25"/>
  <c r="DY20" i="25"/>
  <c r="DY19" i="25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5" i="25"/>
  <c r="EB33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5" i="25" l="1"/>
  <c r="EC34" i="25"/>
  <c r="EC32" i="25"/>
  <c r="EC33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A35" i="25" l="1"/>
  <c r="EA33" i="25"/>
  <c r="EA31" i="25"/>
  <c r="EA34" i="25"/>
  <c r="EA32" i="25"/>
  <c r="ED31" i="25" l="1"/>
  <c r="ED35" i="25"/>
  <c r="ED32" i="25"/>
  <c r="ED34" i="25"/>
  <c r="ED33" i="25"/>
  <c r="EI31" i="25" l="1"/>
  <c r="EI32" i="25"/>
  <c r="EI33" i="25"/>
  <c r="EI34" i="25"/>
  <c r="EI35" i="25"/>
  <c r="EN34" i="25"/>
  <c r="EN33" i="25"/>
  <c r="EN35" i="25"/>
  <c r="EN31" i="25"/>
  <c r="EN32" i="25"/>
  <c r="DX21" i="25"/>
  <c r="EK33" i="25" l="1"/>
  <c r="EK34" i="25"/>
  <c r="EK31" i="25"/>
  <c r="EK35" i="25"/>
  <c r="EK32" i="25"/>
  <c r="EM33" i="25"/>
  <c r="EM31" i="25"/>
  <c r="EM35" i="25"/>
  <c r="EM34" i="25"/>
  <c r="EM32" i="25"/>
  <c r="EF34" i="25"/>
  <c r="EF33" i="25"/>
  <c r="EF35" i="25"/>
  <c r="EF31" i="25"/>
  <c r="EF32" i="25"/>
  <c r="EG34" i="25"/>
  <c r="EG35" i="25"/>
  <c r="EG32" i="25"/>
  <c r="EG31" i="25"/>
  <c r="EG33" i="25"/>
  <c r="EE34" i="25" l="1"/>
  <c r="EE32" i="25"/>
  <c r="EE35" i="25"/>
  <c r="EE33" i="25"/>
  <c r="EE31" i="25"/>
  <c r="EL34" i="25" l="1"/>
  <c r="EL32" i="25"/>
  <c r="EL35" i="25"/>
  <c r="EL31" i="25"/>
  <c r="EL33" i="25"/>
  <c r="DX33" i="25"/>
  <c r="DX22" i="25"/>
  <c r="DX26" i="25"/>
  <c r="DX29" i="25"/>
  <c r="DX31" i="25"/>
  <c r="DX24" i="25"/>
  <c r="DX27" i="25"/>
  <c r="DX35" i="25"/>
  <c r="DX23" i="25"/>
  <c r="DX28" i="25"/>
  <c r="DX32" i="25"/>
  <c r="DX34" i="25"/>
  <c r="DX30" i="25"/>
  <c r="DX25" i="25"/>
  <c r="DY21" i="25" l="1"/>
  <c r="DY32" i="25"/>
  <c r="DY34" i="25"/>
  <c r="DY33" i="25"/>
  <c r="DY26" i="25"/>
  <c r="DY35" i="25"/>
  <c r="DY28" i="25"/>
  <c r="DY27" i="25"/>
  <c r="DY25" i="25"/>
  <c r="DY22" i="25"/>
  <c r="DY30" i="25"/>
  <c r="DY24" i="25"/>
  <c r="DY31" i="25"/>
  <c r="DY29" i="25"/>
  <c r="DY23" i="25"/>
  <c r="M38" i="31" l="1"/>
  <c r="S38" i="31"/>
  <c r="Q38" i="31" l="1"/>
  <c r="D12" i="31" l="1"/>
  <c r="K25" i="31"/>
  <c r="V24" i="31" s="1"/>
  <c r="O17" i="31"/>
  <c r="K49" i="31"/>
  <c r="V48" i="31" s="1"/>
  <c r="O19" i="31"/>
  <c r="K13" i="31"/>
  <c r="O16" i="31"/>
  <c r="K37" i="31"/>
  <c r="V36" i="31" s="1"/>
  <c r="O18" i="31"/>
  <c r="K14" i="31"/>
  <c r="V13" i="31" s="1"/>
  <c r="K19" i="31"/>
  <c r="V18" i="31" s="1"/>
  <c r="K26" i="31"/>
  <c r="V25" i="31" s="1"/>
  <c r="K21" i="31"/>
  <c r="V20" i="31" s="1"/>
  <c r="K28" i="31"/>
  <c r="V27" i="31" s="1"/>
  <c r="K29" i="31"/>
  <c r="V28" i="31" s="1"/>
  <c r="K23" i="31"/>
  <c r="V22" i="31" s="1"/>
  <c r="K74" i="31"/>
  <c r="V73" i="31" s="1"/>
  <c r="K75" i="31"/>
  <c r="V74" i="31" s="1"/>
  <c r="K64" i="31"/>
  <c r="V63" i="31" s="1"/>
  <c r="K43" i="31"/>
  <c r="V42" i="31" s="1"/>
  <c r="K109" i="31"/>
  <c r="V108" i="31" s="1"/>
  <c r="K88" i="31"/>
  <c r="V87" i="31" s="1"/>
  <c r="K110" i="31"/>
  <c r="V109" i="31" s="1"/>
  <c r="K67" i="31"/>
  <c r="V66" i="31" s="1"/>
  <c r="K45" i="31"/>
  <c r="V44" i="31" s="1"/>
  <c r="K111" i="31"/>
  <c r="V110" i="31" s="1"/>
  <c r="K101" i="31"/>
  <c r="V100" i="31" s="1"/>
  <c r="K46" i="31"/>
  <c r="V45" i="31" s="1"/>
  <c r="K35" i="31"/>
  <c r="V34" i="31" s="1"/>
  <c r="K113" i="31"/>
  <c r="V112" i="31" s="1"/>
  <c r="K157" i="31"/>
  <c r="V156" i="31" s="1"/>
  <c r="K47" i="31"/>
  <c r="V46" i="31" s="1"/>
  <c r="K147" i="31"/>
  <c r="V146" i="31" s="1"/>
  <c r="K136" i="31"/>
  <c r="V135" i="31" s="1"/>
  <c r="K81" i="31"/>
  <c r="V80" i="31" s="1"/>
  <c r="K170" i="31"/>
  <c r="V169" i="31" s="1"/>
  <c r="K138" i="31"/>
  <c r="V137" i="31" s="1"/>
  <c r="K93" i="31"/>
  <c r="V92" i="31" s="1"/>
  <c r="K127" i="31"/>
  <c r="V126" i="31" s="1"/>
  <c r="K137" i="31"/>
  <c r="V136" i="31" s="1"/>
  <c r="K115" i="31"/>
  <c r="V114" i="31" s="1"/>
  <c r="K15" i="31"/>
  <c r="V14" i="31" s="1"/>
  <c r="K18" i="31"/>
  <c r="V17" i="31" s="1"/>
  <c r="K20" i="31"/>
  <c r="V19" i="31" s="1"/>
  <c r="K27" i="31"/>
  <c r="V26" i="31" s="1"/>
  <c r="K39" i="31"/>
  <c r="V38" i="31" s="1"/>
  <c r="K40" i="31"/>
  <c r="V39" i="31" s="1"/>
  <c r="K63" i="31"/>
  <c r="V62" i="31" s="1"/>
  <c r="K52" i="31"/>
  <c r="V51" i="31" s="1"/>
  <c r="K86" i="31"/>
  <c r="V85" i="31" s="1"/>
  <c r="K97" i="31"/>
  <c r="V96" i="31" s="1"/>
  <c r="K54" i="31"/>
  <c r="V53" i="31" s="1"/>
  <c r="K65" i="31"/>
  <c r="V64" i="31" s="1"/>
  <c r="K66" i="31"/>
  <c r="V65" i="31" s="1"/>
  <c r="K44" i="31"/>
  <c r="V43" i="31" s="1"/>
  <c r="K34" i="31"/>
  <c r="V33" i="31" s="1"/>
  <c r="K56" i="31"/>
  <c r="V55" i="31" s="1"/>
  <c r="K89" i="31"/>
  <c r="V88" i="31" s="1"/>
  <c r="K134" i="31"/>
  <c r="V133" i="31" s="1"/>
  <c r="K79" i="31"/>
  <c r="V78" i="31" s="1"/>
  <c r="K58" i="31"/>
  <c r="V57" i="31" s="1"/>
  <c r="K36" i="31"/>
  <c r="V35" i="31" s="1"/>
  <c r="K80" i="31"/>
  <c r="V79" i="31" s="1"/>
  <c r="K92" i="31"/>
  <c r="V91" i="31" s="1"/>
  <c r="K59" i="31"/>
  <c r="V58" i="31" s="1"/>
  <c r="K70" i="31"/>
  <c r="V69" i="31" s="1"/>
  <c r="K193" i="31"/>
  <c r="V192" i="31" s="1"/>
  <c r="K60" i="31"/>
  <c r="V59" i="31" s="1"/>
  <c r="K83" i="31"/>
  <c r="V82" i="31" s="1"/>
  <c r="K181" i="31"/>
  <c r="V180" i="31" s="1"/>
  <c r="K72" i="31"/>
  <c r="V71" i="31" s="1"/>
  <c r="K160" i="31"/>
  <c r="V159" i="31" s="1"/>
  <c r="K148" i="31"/>
  <c r="V147" i="31" s="1"/>
  <c r="K16" i="31"/>
  <c r="V15" i="31" s="1"/>
  <c r="K50" i="31"/>
  <c r="V49" i="31" s="1"/>
  <c r="K22" i="31"/>
  <c r="V21" i="31" s="1"/>
  <c r="K51" i="31"/>
  <c r="V50" i="31" s="1"/>
  <c r="K41" i="31"/>
  <c r="V40" i="31" s="1"/>
  <c r="K24" i="31"/>
  <c r="V23" i="31" s="1"/>
  <c r="K53" i="31"/>
  <c r="V52" i="31" s="1"/>
  <c r="K42" i="31"/>
  <c r="V41" i="31" s="1"/>
  <c r="K87" i="31"/>
  <c r="V86" i="31" s="1"/>
  <c r="K32" i="31"/>
  <c r="V31" i="31" s="1"/>
  <c r="K99" i="31"/>
  <c r="V98" i="31" s="1"/>
  <c r="K33" i="31"/>
  <c r="V32" i="31" s="1"/>
  <c r="K122" i="31"/>
  <c r="V121" i="31" s="1"/>
  <c r="K133" i="31"/>
  <c r="V132" i="31" s="1"/>
  <c r="K145" i="31"/>
  <c r="V144" i="31" s="1"/>
  <c r="K123" i="31"/>
  <c r="V122" i="31" s="1"/>
  <c r="K68" i="31"/>
  <c r="V67" i="31" s="1"/>
  <c r="K91" i="31"/>
  <c r="V90" i="31" s="1"/>
  <c r="K69" i="31"/>
  <c r="V68" i="31" s="1"/>
  <c r="K124" i="31"/>
  <c r="V123" i="31" s="1"/>
  <c r="K114" i="31"/>
  <c r="V113" i="31" s="1"/>
  <c r="K125" i="31"/>
  <c r="V124" i="31" s="1"/>
  <c r="K48" i="31"/>
  <c r="V47" i="31" s="1"/>
  <c r="K149" i="31"/>
  <c r="V148" i="31" s="1"/>
  <c r="K104" i="31"/>
  <c r="V103" i="31" s="1"/>
  <c r="K94" i="31"/>
  <c r="V93" i="31" s="1"/>
  <c r="K71" i="31"/>
  <c r="V70" i="31" s="1"/>
  <c r="K116" i="31"/>
  <c r="V115" i="31" s="1"/>
  <c r="K82" i="31"/>
  <c r="V81" i="31" s="1"/>
  <c r="K100" i="31"/>
  <c r="V99" i="31" s="1"/>
  <c r="K17" i="31"/>
  <c r="V16" i="31" s="1"/>
  <c r="K38" i="31"/>
  <c r="V37" i="31" s="1"/>
  <c r="K61" i="31"/>
  <c r="V60" i="31" s="1"/>
  <c r="O20" i="31"/>
  <c r="K73" i="31"/>
  <c r="V72" i="31" s="1"/>
  <c r="K62" i="31"/>
  <c r="V61" i="31" s="1"/>
  <c r="K30" i="31"/>
  <c r="V29" i="31" s="1"/>
  <c r="K85" i="31"/>
  <c r="V84" i="31" s="1"/>
  <c r="K31" i="31"/>
  <c r="V30" i="31" s="1"/>
  <c r="K76" i="31"/>
  <c r="V75" i="31" s="1"/>
  <c r="K98" i="31"/>
  <c r="V97" i="31" s="1"/>
  <c r="K121" i="31"/>
  <c r="V120" i="31" s="1"/>
  <c r="K77" i="31"/>
  <c r="V76" i="31" s="1"/>
  <c r="K55" i="31"/>
  <c r="V54" i="31" s="1"/>
  <c r="K78" i="31"/>
  <c r="V77" i="31" s="1"/>
  <c r="K90" i="31"/>
  <c r="V89" i="31" s="1"/>
  <c r="K112" i="31"/>
  <c r="V111" i="31" s="1"/>
  <c r="K57" i="31"/>
  <c r="V56" i="31" s="1"/>
  <c r="K102" i="31"/>
  <c r="V101" i="31" s="1"/>
  <c r="K146" i="31"/>
  <c r="V145" i="31" s="1"/>
  <c r="K135" i="31"/>
  <c r="V134" i="31" s="1"/>
  <c r="K169" i="31"/>
  <c r="V168" i="31" s="1"/>
  <c r="K103" i="31"/>
  <c r="V102" i="31" s="1"/>
  <c r="K158" i="31"/>
  <c r="V157" i="31" s="1"/>
  <c r="K105" i="31"/>
  <c r="V104" i="31" s="1"/>
  <c r="K182" i="31"/>
  <c r="V181" i="31" s="1"/>
  <c r="K126" i="31"/>
  <c r="V125" i="31" s="1"/>
  <c r="K171" i="31"/>
  <c r="V170" i="31" s="1"/>
  <c r="K159" i="31"/>
  <c r="V158" i="31" s="1"/>
  <c r="G12" i="31" l="1"/>
  <c r="O21" i="31"/>
  <c r="K84" i="31"/>
  <c r="V83" i="31" s="1"/>
  <c r="K205" i="31"/>
  <c r="V204" i="31" s="1"/>
  <c r="K139" i="31"/>
  <c r="V138" i="31" s="1"/>
  <c r="K117" i="31"/>
  <c r="V116" i="31" s="1"/>
  <c r="K150" i="31"/>
  <c r="V149" i="31" s="1"/>
  <c r="K183" i="31"/>
  <c r="V182" i="31" s="1"/>
  <c r="K161" i="31"/>
  <c r="V160" i="31" s="1"/>
  <c r="K106" i="31"/>
  <c r="V105" i="31" s="1"/>
  <c r="K128" i="31"/>
  <c r="V127" i="31" s="1"/>
  <c r="K172" i="31"/>
  <c r="V171" i="31" s="1"/>
  <c r="K194" i="31"/>
  <c r="V193" i="31" s="1"/>
  <c r="K95" i="31"/>
  <c r="V94" i="31" s="1"/>
  <c r="V12" i="31"/>
  <c r="K4" i="31"/>
  <c r="K5" i="31"/>
  <c r="M8" i="31" s="1"/>
  <c r="O22" i="31" l="1"/>
  <c r="K96" i="31"/>
  <c r="V95" i="31" s="1"/>
  <c r="K217" i="31"/>
  <c r="V216" i="31" s="1"/>
  <c r="K195" i="31"/>
  <c r="V194" i="31" s="1"/>
  <c r="K173" i="31"/>
  <c r="V172" i="31" s="1"/>
  <c r="K151" i="31"/>
  <c r="V150" i="31" s="1"/>
  <c r="K118" i="31"/>
  <c r="V117" i="31" s="1"/>
  <c r="K140" i="31"/>
  <c r="V139" i="31" s="1"/>
  <c r="K206" i="31"/>
  <c r="V205" i="31" s="1"/>
  <c r="K184" i="31"/>
  <c r="V183" i="31" s="1"/>
  <c r="K162" i="31"/>
  <c r="V161" i="31" s="1"/>
  <c r="K129" i="31"/>
  <c r="V128" i="31" s="1"/>
  <c r="K107" i="31"/>
  <c r="V106" i="31" s="1"/>
  <c r="K6" i="31"/>
  <c r="B5" i="31" s="1"/>
  <c r="K3" i="25"/>
  <c r="O23" i="31" l="1"/>
  <c r="K108" i="31"/>
  <c r="V107" i="31" s="1"/>
  <c r="K141" i="31"/>
  <c r="V140" i="31" s="1"/>
  <c r="K119" i="31"/>
  <c r="V118" i="31" s="1"/>
  <c r="K152" i="31"/>
  <c r="V151" i="31" s="1"/>
  <c r="K174" i="31"/>
  <c r="V173" i="31" s="1"/>
  <c r="K196" i="31"/>
  <c r="V195" i="31" s="1"/>
  <c r="K218" i="31"/>
  <c r="V217" i="31" s="1"/>
  <c r="K130" i="31"/>
  <c r="V129" i="31" s="1"/>
  <c r="K163" i="31"/>
  <c r="V162" i="31" s="1"/>
  <c r="K185" i="31"/>
  <c r="V184" i="31" s="1"/>
  <c r="K207" i="31"/>
  <c r="V206" i="31" s="1"/>
  <c r="K229" i="31"/>
  <c r="V228" i="31" s="1"/>
  <c r="B5" i="25"/>
  <c r="G9" i="25"/>
  <c r="K120" i="31" l="1"/>
  <c r="V119" i="31" s="1"/>
  <c r="K219" i="31"/>
  <c r="V218" i="31" s="1"/>
  <c r="K197" i="31"/>
  <c r="V196" i="31" s="1"/>
  <c r="K175" i="31"/>
  <c r="V174" i="31" s="1"/>
  <c r="K153" i="31"/>
  <c r="V152" i="31" s="1"/>
  <c r="K142" i="31"/>
  <c r="V141" i="31" s="1"/>
  <c r="K230" i="31"/>
  <c r="V229" i="31" s="1"/>
  <c r="K208" i="31"/>
  <c r="V207" i="31" s="1"/>
  <c r="K186" i="31"/>
  <c r="V185" i="31" s="1"/>
  <c r="K164" i="31"/>
  <c r="V163" i="31" s="1"/>
  <c r="K131" i="31"/>
  <c r="V130" i="31" s="1"/>
  <c r="F253" i="31"/>
  <c r="K241" i="31"/>
  <c r="V240" i="31" s="1"/>
  <c r="F254" i="31"/>
  <c r="K242" i="31"/>
  <c r="V241" i="31" s="1"/>
  <c r="B5" i="28"/>
  <c r="B5" i="66"/>
  <c r="B4" i="31"/>
  <c r="K132" i="31" l="1"/>
  <c r="V131" i="31" s="1"/>
  <c r="K143" i="31"/>
  <c r="V142" i="31" s="1"/>
  <c r="K154" i="31"/>
  <c r="V153" i="31" s="1"/>
  <c r="K176" i="31"/>
  <c r="V175" i="31" s="1"/>
  <c r="K198" i="31"/>
  <c r="V197" i="31" s="1"/>
  <c r="K220" i="31"/>
  <c r="V219" i="31" s="1"/>
  <c r="K165" i="31"/>
  <c r="V164" i="31" s="1"/>
  <c r="K187" i="31"/>
  <c r="V186" i="31" s="1"/>
  <c r="K209" i="31"/>
  <c r="V208" i="31" s="1"/>
  <c r="K231" i="31"/>
  <c r="V230" i="31" s="1"/>
  <c r="F255" i="31"/>
  <c r="K243" i="31"/>
  <c r="V242" i="31" s="1"/>
  <c r="K254" i="31"/>
  <c r="F266" i="31"/>
  <c r="K253" i="31"/>
  <c r="F265" i="31"/>
  <c r="E13" i="25"/>
  <c r="E14" i="25"/>
  <c r="E15" i="25"/>
  <c r="E16" i="25"/>
  <c r="E17" i="25"/>
  <c r="M18" i="31" l="1"/>
  <c r="S18" i="31"/>
  <c r="S19" i="31"/>
  <c r="M21" i="31"/>
  <c r="S21" i="31"/>
  <c r="M19" i="31"/>
  <c r="M16" i="31"/>
  <c r="M17" i="31"/>
  <c r="S20" i="31"/>
  <c r="S22" i="31"/>
  <c r="S17" i="31"/>
  <c r="S23" i="31"/>
  <c r="M20" i="31"/>
  <c r="S16" i="31"/>
  <c r="K144" i="31"/>
  <c r="V143" i="31" s="1"/>
  <c r="K232" i="31"/>
  <c r="V231" i="31" s="1"/>
  <c r="K210" i="31"/>
  <c r="V209" i="31" s="1"/>
  <c r="K188" i="31"/>
  <c r="V187" i="31" s="1"/>
  <c r="K166" i="31"/>
  <c r="V165" i="31" s="1"/>
  <c r="F256" i="31"/>
  <c r="K244" i="31"/>
  <c r="V243" i="31" s="1"/>
  <c r="K221" i="31"/>
  <c r="V220" i="31" s="1"/>
  <c r="K199" i="31"/>
  <c r="V198" i="31" s="1"/>
  <c r="K177" i="31"/>
  <c r="V176" i="31" s="1"/>
  <c r="K155" i="31"/>
  <c r="V154" i="31" s="1"/>
  <c r="K265" i="31"/>
  <c r="V264" i="31" s="1"/>
  <c r="V252" i="31"/>
  <c r="K266" i="31"/>
  <c r="V265" i="31" s="1"/>
  <c r="V253" i="31"/>
  <c r="K255" i="31"/>
  <c r="F267" i="31"/>
  <c r="E18" i="25"/>
  <c r="S25" i="31" l="1"/>
  <c r="S24" i="31"/>
  <c r="Q19" i="31"/>
  <c r="Q21" i="31"/>
  <c r="Q17" i="31"/>
  <c r="Q18" i="31"/>
  <c r="Q16" i="31"/>
  <c r="Q20" i="31"/>
  <c r="K156" i="31"/>
  <c r="V155" i="31" s="1"/>
  <c r="K178" i="31"/>
  <c r="V177" i="31" s="1"/>
  <c r="K200" i="31"/>
  <c r="V199" i="31" s="1"/>
  <c r="K222" i="31"/>
  <c r="V221" i="31" s="1"/>
  <c r="F257" i="31"/>
  <c r="K245" i="31"/>
  <c r="V244" i="31" s="1"/>
  <c r="K167" i="31"/>
  <c r="V166" i="31" s="1"/>
  <c r="K189" i="31"/>
  <c r="V188" i="31" s="1"/>
  <c r="K211" i="31"/>
  <c r="V210" i="31" s="1"/>
  <c r="K233" i="31"/>
  <c r="V232" i="31" s="1"/>
  <c r="K267" i="31"/>
  <c r="V266" i="31" s="1"/>
  <c r="V254" i="31"/>
  <c r="K256" i="31"/>
  <c r="F268" i="31"/>
  <c r="E19" i="25"/>
  <c r="S26" i="31" l="1"/>
  <c r="M22" i="31"/>
  <c r="K234" i="31"/>
  <c r="V233" i="31" s="1"/>
  <c r="K212" i="31"/>
  <c r="V211" i="31" s="1"/>
  <c r="K190" i="31"/>
  <c r="V189" i="31" s="1"/>
  <c r="K168" i="31"/>
  <c r="V167" i="31" s="1"/>
  <c r="F258" i="31"/>
  <c r="K246" i="31"/>
  <c r="V245" i="31" s="1"/>
  <c r="K223" i="31"/>
  <c r="V222" i="31" s="1"/>
  <c r="K201" i="31"/>
  <c r="V200" i="31" s="1"/>
  <c r="K179" i="31"/>
  <c r="V178" i="31" s="1"/>
  <c r="K268" i="31"/>
  <c r="V267" i="31" s="1"/>
  <c r="V255" i="31"/>
  <c r="K257" i="31"/>
  <c r="F269" i="31"/>
  <c r="E20" i="25"/>
  <c r="M23" i="31" l="1"/>
  <c r="S28" i="31"/>
  <c r="Q22" i="31"/>
  <c r="K180" i="31"/>
  <c r="V179" i="31" s="1"/>
  <c r="K191" i="31"/>
  <c r="V190" i="31" s="1"/>
  <c r="K213" i="31"/>
  <c r="V212" i="31" s="1"/>
  <c r="K235" i="31"/>
  <c r="V234" i="31" s="1"/>
  <c r="K202" i="31"/>
  <c r="V201" i="31" s="1"/>
  <c r="K224" i="31"/>
  <c r="V223" i="31" s="1"/>
  <c r="F259" i="31"/>
  <c r="K247" i="31"/>
  <c r="V246" i="31" s="1"/>
  <c r="K269" i="31"/>
  <c r="V268" i="31" s="1"/>
  <c r="V256" i="31"/>
  <c r="K258" i="31"/>
  <c r="F270" i="31"/>
  <c r="F10" i="31"/>
  <c r="E21" i="25"/>
  <c r="S29" i="31" l="1"/>
  <c r="M24" i="31"/>
  <c r="S27" i="31"/>
  <c r="C254" i="31"/>
  <c r="Q23" i="31"/>
  <c r="K192" i="31"/>
  <c r="V191" i="31" s="1"/>
  <c r="S30" i="31" s="1"/>
  <c r="K236" i="31"/>
  <c r="V235" i="31" s="1"/>
  <c r="K214" i="31"/>
  <c r="V213" i="31" s="1"/>
  <c r="F260" i="31"/>
  <c r="K248" i="31"/>
  <c r="V247" i="31" s="1"/>
  <c r="K225" i="31"/>
  <c r="V224" i="31" s="1"/>
  <c r="K203" i="31"/>
  <c r="V202" i="31" s="1"/>
  <c r="K270" i="31"/>
  <c r="V269" i="31" s="1"/>
  <c r="V257" i="31"/>
  <c r="K259" i="31"/>
  <c r="F271" i="31"/>
  <c r="E22" i="25"/>
  <c r="F8" i="31"/>
  <c r="C266" i="31" l="1"/>
  <c r="M25" i="31"/>
  <c r="C255" i="31"/>
  <c r="K204" i="31"/>
  <c r="V203" i="31" s="1"/>
  <c r="K226" i="31"/>
  <c r="V225" i="31" s="1"/>
  <c r="F261" i="31"/>
  <c r="K249" i="31"/>
  <c r="V248" i="31" s="1"/>
  <c r="K215" i="31"/>
  <c r="V214" i="31" s="1"/>
  <c r="K237" i="31"/>
  <c r="V236" i="31" s="1"/>
  <c r="K271" i="31"/>
  <c r="V270" i="31" s="1"/>
  <c r="V258" i="31"/>
  <c r="K260" i="31"/>
  <c r="F272" i="31"/>
  <c r="E23" i="25"/>
  <c r="F7" i="31"/>
  <c r="C267" i="31" l="1"/>
  <c r="C257" i="31"/>
  <c r="M26" i="31"/>
  <c r="C256" i="31"/>
  <c r="S31" i="31"/>
  <c r="K216" i="31"/>
  <c r="V215" i="31" s="1"/>
  <c r="F262" i="31"/>
  <c r="K250" i="31"/>
  <c r="V249" i="31" s="1"/>
  <c r="K227" i="31"/>
  <c r="V226" i="31" s="1"/>
  <c r="K238" i="31"/>
  <c r="V237" i="31" s="1"/>
  <c r="K272" i="31"/>
  <c r="V271" i="31" s="1"/>
  <c r="V259" i="31"/>
  <c r="K261" i="31"/>
  <c r="F273" i="31"/>
  <c r="E24" i="25"/>
  <c r="C268" i="31" l="1"/>
  <c r="C269" i="31"/>
  <c r="M27" i="31"/>
  <c r="K228" i="31"/>
  <c r="V227" i="31" s="1"/>
  <c r="K239" i="31"/>
  <c r="V238" i="31" s="1"/>
  <c r="F263" i="31"/>
  <c r="K251" i="31"/>
  <c r="V250" i="31" s="1"/>
  <c r="K273" i="31"/>
  <c r="V272" i="31" s="1"/>
  <c r="V260" i="31"/>
  <c r="K262" i="31"/>
  <c r="F274" i="31"/>
  <c r="E25" i="25"/>
  <c r="C258" i="31" l="1"/>
  <c r="M28" i="31"/>
  <c r="C260" i="31"/>
  <c r="F264" i="31"/>
  <c r="K252" i="31"/>
  <c r="V251" i="31" s="1"/>
  <c r="K240" i="31"/>
  <c r="V239" i="31" s="1"/>
  <c r="K274" i="31"/>
  <c r="V273" i="31" s="1"/>
  <c r="V261" i="31"/>
  <c r="K263" i="31"/>
  <c r="F275" i="31"/>
  <c r="E26" i="25"/>
  <c r="C272" i="31" l="1"/>
  <c r="C270" i="31"/>
  <c r="O31" i="31"/>
  <c r="O27" i="31"/>
  <c r="Q27" i="31" s="1"/>
  <c r="O28" i="31"/>
  <c r="Q28" i="31" s="1"/>
  <c r="O30" i="31"/>
  <c r="O25" i="31"/>
  <c r="O26" i="31"/>
  <c r="Q26" i="31" s="1"/>
  <c r="O29" i="31"/>
  <c r="O24" i="31"/>
  <c r="Q24" i="31" s="1"/>
  <c r="O32" i="31"/>
  <c r="O33" i="31"/>
  <c r="O34" i="31"/>
  <c r="O35" i="31"/>
  <c r="O36" i="31"/>
  <c r="M29" i="31"/>
  <c r="C259" i="31"/>
  <c r="K275" i="31"/>
  <c r="V274" i="31" s="1"/>
  <c r="V262" i="31"/>
  <c r="K264" i="31"/>
  <c r="F276" i="31"/>
  <c r="D271" i="31" s="1"/>
  <c r="N38" i="31" s="1"/>
  <c r="E27" i="25"/>
  <c r="C10" i="31"/>
  <c r="C271" i="31" l="1"/>
  <c r="E271" i="31" s="1"/>
  <c r="G271" i="31" s="1"/>
  <c r="D275" i="31"/>
  <c r="D273" i="31"/>
  <c r="E50" i="25"/>
  <c r="R38" i="31"/>
  <c r="P38" i="31"/>
  <c r="M30" i="31"/>
  <c r="Q29" i="31"/>
  <c r="Q25" i="31"/>
  <c r="D265" i="31"/>
  <c r="D267" i="31"/>
  <c r="E267" i="31" s="1"/>
  <c r="G267" i="31" s="1"/>
  <c r="D266" i="31"/>
  <c r="E266" i="31" s="1"/>
  <c r="G266" i="31" s="1"/>
  <c r="D268" i="31"/>
  <c r="E268" i="31" s="1"/>
  <c r="G268" i="31" s="1"/>
  <c r="O37" i="31"/>
  <c r="D269" i="31"/>
  <c r="E269" i="31" s="1"/>
  <c r="G269" i="31" s="1"/>
  <c r="D270" i="31"/>
  <c r="C262" i="31"/>
  <c r="D274" i="31"/>
  <c r="D272" i="31"/>
  <c r="E272" i="31" s="1"/>
  <c r="G272" i="31" s="1"/>
  <c r="K276" i="31"/>
  <c r="V275" i="31" s="1"/>
  <c r="D276" i="31"/>
  <c r="V263" i="31"/>
  <c r="C8" i="31"/>
  <c r="E29" i="25"/>
  <c r="E28" i="25"/>
  <c r="C7" i="31"/>
  <c r="C274" i="31" l="1"/>
  <c r="E274" i="31" s="1"/>
  <c r="G274" i="31" s="1"/>
  <c r="E54" i="25"/>
  <c r="E60" i="25"/>
  <c r="N37" i="31"/>
  <c r="U37" i="31"/>
  <c r="E270" i="31"/>
  <c r="G270" i="31" s="1"/>
  <c r="M32" i="31"/>
  <c r="C261" i="31"/>
  <c r="Q30" i="31"/>
  <c r="M31" i="31"/>
  <c r="E30" i="25"/>
  <c r="M33" i="31" l="1"/>
  <c r="Q31" i="31"/>
  <c r="C273" i="31"/>
  <c r="E273" i="31" s="1"/>
  <c r="G273" i="31" s="1"/>
  <c r="Q32" i="31"/>
  <c r="C263" i="31"/>
  <c r="R37" i="31"/>
  <c r="E32" i="25"/>
  <c r="E31" i="25"/>
  <c r="M34" i="31" l="1"/>
  <c r="C275" i="31"/>
  <c r="E275" i="31" s="1"/>
  <c r="G275" i="31" s="1"/>
  <c r="Q33" i="31"/>
  <c r="M35" i="31"/>
  <c r="C253" i="31"/>
  <c r="C264" i="31"/>
  <c r="E33" i="25"/>
  <c r="M36" i="31" l="1"/>
  <c r="C265" i="31"/>
  <c r="Q34" i="31"/>
  <c r="Q35" i="31"/>
  <c r="C276" i="31"/>
  <c r="E276" i="31" l="1"/>
  <c r="G276" i="31" s="1"/>
  <c r="S32" i="31"/>
  <c r="S33" i="31"/>
  <c r="S34" i="31"/>
  <c r="S36" i="31"/>
  <c r="S35" i="31"/>
  <c r="S37" i="31"/>
  <c r="E265" i="31"/>
  <c r="G265" i="31" s="1"/>
  <c r="M37" i="31"/>
  <c r="Q36" i="31"/>
  <c r="Q37" i="31" l="1"/>
  <c r="P37" i="31"/>
  <c r="FE13" i="25" l="1"/>
  <c r="FE14" i="25"/>
  <c r="FE15" i="25"/>
  <c r="FE16" i="25"/>
  <c r="FE17" i="25"/>
  <c r="FE18" i="25"/>
  <c r="FE19" i="25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FE33" i="25"/>
  <c r="FE35" i="25"/>
  <c r="FE34" i="25"/>
  <c r="BN19" i="25" l="1"/>
  <c r="BN16" i="25"/>
  <c r="BN13" i="25"/>
  <c r="BN33" i="25"/>
  <c r="BN34" i="25"/>
  <c r="BN14" i="25"/>
  <c r="BN35" i="25"/>
  <c r="BN18" i="25"/>
  <c r="BN15" i="25"/>
  <c r="EH15" i="25" s="1"/>
  <c r="BN22" i="25"/>
  <c r="BN20" i="25"/>
  <c r="BN17" i="25"/>
  <c r="BN21" i="25"/>
  <c r="BC35" i="25"/>
  <c r="BC17" i="25"/>
  <c r="BC19" i="25"/>
  <c r="BC18" i="25"/>
  <c r="BC34" i="25"/>
  <c r="BC16" i="25"/>
  <c r="BC15" i="25"/>
  <c r="BC14" i="25"/>
  <c r="BC20" i="25"/>
  <c r="BC13" i="25"/>
  <c r="BC33" i="25"/>
  <c r="BC22" i="25"/>
  <c r="BC21" i="25"/>
  <c r="AX34" i="25" l="1"/>
  <c r="AX33" i="25"/>
  <c r="AX20" i="25"/>
  <c r="AX14" i="25"/>
  <c r="AX18" i="25"/>
  <c r="AX13" i="25"/>
  <c r="AX17" i="25"/>
  <c r="AX15" i="25"/>
  <c r="AX16" i="25"/>
  <c r="AX35" i="25"/>
  <c r="DW17" i="25"/>
  <c r="EH13" i="25"/>
  <c r="EH14" i="25"/>
  <c r="EH16" i="25"/>
  <c r="EH17" i="25"/>
  <c r="EH18" i="25"/>
  <c r="EH19" i="25"/>
  <c r="EH20" i="25"/>
  <c r="EH21" i="25"/>
  <c r="EH22" i="25"/>
  <c r="DW13" i="25"/>
  <c r="DW14" i="25"/>
  <c r="DW15" i="25"/>
  <c r="DW16" i="25"/>
  <c r="DW19" i="25"/>
  <c r="DW20" i="25"/>
  <c r="DW18" i="25"/>
  <c r="DW21" i="25"/>
  <c r="DW22" i="25"/>
  <c r="AY20" i="25"/>
  <c r="AY15" i="25"/>
  <c r="AY16" i="25"/>
  <c r="AY13" i="25"/>
  <c r="AY17" i="25"/>
  <c r="AY18" i="25"/>
  <c r="AY34" i="25"/>
  <c r="AY14" i="25"/>
  <c r="AY33" i="25"/>
  <c r="AY35" i="25"/>
  <c r="BN23" i="25"/>
  <c r="DR13" i="25" l="1"/>
  <c r="DR15" i="25"/>
  <c r="DR14" i="25"/>
  <c r="DR16" i="25"/>
  <c r="DR18" i="25"/>
  <c r="DR17" i="25"/>
  <c r="EH23" i="25"/>
  <c r="DS13" i="25"/>
  <c r="DS14" i="25"/>
  <c r="DS15" i="25"/>
  <c r="DS17" i="25"/>
  <c r="DS16" i="25"/>
  <c r="DS18" i="25"/>
  <c r="BC23" i="25"/>
  <c r="DW23" i="25" l="1"/>
  <c r="BN24" i="25"/>
  <c r="BN25" i="25"/>
  <c r="BC24" i="25"/>
  <c r="DW24" i="25" s="1"/>
  <c r="AX19" i="25" l="1"/>
  <c r="AY19" i="25"/>
  <c r="EH24" i="25"/>
  <c r="EH25" i="25"/>
  <c r="BP22" i="25"/>
  <c r="BP25" i="25"/>
  <c r="BP14" i="25"/>
  <c r="BP33" i="25"/>
  <c r="BP24" i="25"/>
  <c r="BP23" i="25"/>
  <c r="BP16" i="25"/>
  <c r="BP17" i="25"/>
  <c r="BP21" i="25"/>
  <c r="BP15" i="25"/>
  <c r="BP35" i="25"/>
  <c r="BP20" i="25"/>
  <c r="BP13" i="25"/>
  <c r="BP34" i="25"/>
  <c r="BP26" i="25"/>
  <c r="BP19" i="25"/>
  <c r="BP18" i="25"/>
  <c r="AY22" i="25"/>
  <c r="AX22" i="25"/>
  <c r="BN26" i="25"/>
  <c r="EH26" i="25" s="1"/>
  <c r="BC25" i="25"/>
  <c r="EJ14" i="25" l="1"/>
  <c r="FA14" i="25" s="1"/>
  <c r="C14" i="25" s="1"/>
  <c r="EJ13" i="25"/>
  <c r="FA13" i="25" s="1"/>
  <c r="C13" i="25" s="1"/>
  <c r="EJ16" i="25"/>
  <c r="FA16" i="25" s="1"/>
  <c r="C16" i="25" s="1"/>
  <c r="EJ17" i="25"/>
  <c r="FA17" i="25" s="1"/>
  <c r="C17" i="25" s="1"/>
  <c r="EJ18" i="25"/>
  <c r="FA18" i="25" s="1"/>
  <c r="C18" i="25" s="1"/>
  <c r="EJ21" i="25"/>
  <c r="EJ20" i="25"/>
  <c r="EJ22" i="25"/>
  <c r="EJ24" i="25"/>
  <c r="EJ26" i="25"/>
  <c r="EJ19" i="25"/>
  <c r="EJ23" i="25"/>
  <c r="EJ25" i="25"/>
  <c r="DW25" i="25"/>
  <c r="DS19" i="25"/>
  <c r="DS20" i="25"/>
  <c r="EJ15" i="25"/>
  <c r="FA15" i="25" s="1"/>
  <c r="C15" i="25" s="1"/>
  <c r="DR20" i="25"/>
  <c r="DR19" i="25"/>
  <c r="AX21" i="25"/>
  <c r="AY21" i="25"/>
  <c r="DS21" i="25" s="1"/>
  <c r="BC26" i="25"/>
  <c r="DW26" i="25" s="1"/>
  <c r="FA19" i="25" l="1"/>
  <c r="C19" i="25" s="1"/>
  <c r="D91" i="31" s="1"/>
  <c r="FA20" i="25"/>
  <c r="C20" i="25" s="1"/>
  <c r="DS22" i="25"/>
  <c r="D81" i="31"/>
  <c r="D73" i="31"/>
  <c r="D77" i="31"/>
  <c r="D75" i="31"/>
  <c r="D79" i="31"/>
  <c r="D83" i="31"/>
  <c r="D80" i="31"/>
  <c r="D82" i="31"/>
  <c r="D78" i="31"/>
  <c r="D76" i="31"/>
  <c r="D74" i="31"/>
  <c r="D84" i="31"/>
  <c r="D64" i="31"/>
  <c r="D71" i="31"/>
  <c r="D69" i="31"/>
  <c r="D62" i="31"/>
  <c r="D65" i="31"/>
  <c r="D72" i="31"/>
  <c r="D63" i="31"/>
  <c r="D66" i="31"/>
  <c r="D70" i="31"/>
  <c r="D67" i="31"/>
  <c r="D68" i="31"/>
  <c r="D61" i="31"/>
  <c r="D50" i="31"/>
  <c r="D54" i="31"/>
  <c r="D60" i="31"/>
  <c r="D55" i="31"/>
  <c r="D58" i="31"/>
  <c r="D51" i="31"/>
  <c r="D49" i="31"/>
  <c r="D53" i="31"/>
  <c r="D57" i="31"/>
  <c r="D52" i="31"/>
  <c r="D59" i="31"/>
  <c r="D56" i="31"/>
  <c r="DR22" i="25"/>
  <c r="D19" i="31"/>
  <c r="D18" i="31"/>
  <c r="D20" i="31"/>
  <c r="D22" i="31"/>
  <c r="D16" i="31"/>
  <c r="D24" i="31"/>
  <c r="D17" i="31"/>
  <c r="D21" i="31"/>
  <c r="D13" i="31"/>
  <c r="D23" i="31"/>
  <c r="D14" i="31"/>
  <c r="D15" i="31"/>
  <c r="BN27" i="25"/>
  <c r="BP27" i="25"/>
  <c r="D32" i="31"/>
  <c r="D33" i="31"/>
  <c r="D34" i="31"/>
  <c r="D36" i="31"/>
  <c r="D26" i="31"/>
  <c r="D25" i="31"/>
  <c r="D35" i="31"/>
  <c r="D27" i="31"/>
  <c r="D30" i="31"/>
  <c r="D28" i="31"/>
  <c r="D29" i="31"/>
  <c r="D31" i="31"/>
  <c r="BN28" i="25"/>
  <c r="BP28" i="25"/>
  <c r="D38" i="31"/>
  <c r="D44" i="31"/>
  <c r="D43" i="31"/>
  <c r="D46" i="31"/>
  <c r="D39" i="31"/>
  <c r="D40" i="31"/>
  <c r="D41" i="31"/>
  <c r="D47" i="31"/>
  <c r="D48" i="31"/>
  <c r="D45" i="31"/>
  <c r="D37" i="31"/>
  <c r="D42" i="31"/>
  <c r="AY23" i="25"/>
  <c r="DS23" i="25" s="1"/>
  <c r="AX23" i="25"/>
  <c r="DR21" i="25"/>
  <c r="FA21" i="25" s="1"/>
  <c r="C21" i="25" s="1"/>
  <c r="BC27" i="25"/>
  <c r="E84" i="31" l="1"/>
  <c r="E17" i="31"/>
  <c r="G17" i="31" s="1"/>
  <c r="E55" i="31"/>
  <c r="E45" i="31"/>
  <c r="G45" i="31" s="1"/>
  <c r="E27" i="31"/>
  <c r="G27" i="31" s="1"/>
  <c r="E24" i="31"/>
  <c r="G24" i="31" s="1"/>
  <c r="E60" i="31"/>
  <c r="G60" i="31" s="1"/>
  <c r="E74" i="31"/>
  <c r="G74" i="31" s="1"/>
  <c r="E76" i="31"/>
  <c r="E21" i="31"/>
  <c r="G21" i="31" s="1"/>
  <c r="E35" i="31"/>
  <c r="G35" i="31" s="1"/>
  <c r="E22" i="31"/>
  <c r="G22" i="31" s="1"/>
  <c r="E50" i="31"/>
  <c r="G50" i="31" s="1"/>
  <c r="E82" i="31"/>
  <c r="G82" i="31" s="1"/>
  <c r="E41" i="31"/>
  <c r="G41" i="31" s="1"/>
  <c r="E80" i="31"/>
  <c r="G80" i="31" s="1"/>
  <c r="E28" i="31"/>
  <c r="E16" i="31"/>
  <c r="E26" i="31"/>
  <c r="E68" i="31"/>
  <c r="G68" i="31" s="1"/>
  <c r="E39" i="31"/>
  <c r="G39" i="31" s="1"/>
  <c r="E34" i="31"/>
  <c r="G34" i="31" s="1"/>
  <c r="E19" i="31"/>
  <c r="G19" i="31" s="1"/>
  <c r="E67" i="31"/>
  <c r="G67" i="31" s="1"/>
  <c r="E83" i="31"/>
  <c r="G83" i="31" s="1"/>
  <c r="E47" i="31"/>
  <c r="G47" i="31" s="1"/>
  <c r="E33" i="31"/>
  <c r="G33" i="31" s="1"/>
  <c r="E70" i="31"/>
  <c r="G70" i="31" s="1"/>
  <c r="E79" i="31"/>
  <c r="G79" i="31" s="1"/>
  <c r="E75" i="31"/>
  <c r="G75" i="31" s="1"/>
  <c r="E58" i="31"/>
  <c r="G58" i="31" s="1"/>
  <c r="E40" i="31"/>
  <c r="G40" i="31" s="1"/>
  <c r="E59" i="31"/>
  <c r="E63" i="31"/>
  <c r="E77" i="31"/>
  <c r="G77" i="31" s="1"/>
  <c r="E48" i="31"/>
  <c r="G48" i="31" s="1"/>
  <c r="E56" i="31"/>
  <c r="G56" i="31" s="1"/>
  <c r="E52" i="31"/>
  <c r="G52" i="31" s="1"/>
  <c r="E72" i="31"/>
  <c r="G72" i="31" s="1"/>
  <c r="E20" i="31"/>
  <c r="G20" i="31" s="1"/>
  <c r="E36" i="31"/>
  <c r="E43" i="31"/>
  <c r="G43" i="31" s="1"/>
  <c r="E32" i="31"/>
  <c r="G32" i="31" s="1"/>
  <c r="E38" i="31"/>
  <c r="G38" i="31" s="1"/>
  <c r="E15" i="31"/>
  <c r="G15" i="31" s="1"/>
  <c r="E57" i="31"/>
  <c r="G57" i="31" s="1"/>
  <c r="E65" i="31"/>
  <c r="G65" i="31" s="1"/>
  <c r="E81" i="31"/>
  <c r="G81" i="31" s="1"/>
  <c r="E46" i="31"/>
  <c r="E14" i="31"/>
  <c r="E53" i="31"/>
  <c r="G53" i="31" s="1"/>
  <c r="E62" i="31"/>
  <c r="G62" i="31" s="1"/>
  <c r="E44" i="31"/>
  <c r="G44" i="31" s="1"/>
  <c r="E31" i="31"/>
  <c r="G31" i="31" s="1"/>
  <c r="E23" i="31"/>
  <c r="G23" i="31" s="1"/>
  <c r="E69" i="31"/>
  <c r="G69" i="31" s="1"/>
  <c r="E64" i="31"/>
  <c r="E29" i="31"/>
  <c r="G29" i="31" s="1"/>
  <c r="E51" i="31"/>
  <c r="G51" i="31" s="1"/>
  <c r="E71" i="31"/>
  <c r="G71" i="31" s="1"/>
  <c r="E91" i="31"/>
  <c r="G91" i="31" s="1"/>
  <c r="G64" i="31"/>
  <c r="G76" i="31"/>
  <c r="G55" i="31"/>
  <c r="G84" i="31"/>
  <c r="G46" i="31"/>
  <c r="G59" i="31"/>
  <c r="G14" i="31"/>
  <c r="G28" i="31"/>
  <c r="G26" i="31"/>
  <c r="G63" i="31"/>
  <c r="G16" i="31"/>
  <c r="G36" i="31"/>
  <c r="D96" i="31"/>
  <c r="D95" i="31"/>
  <c r="D90" i="31"/>
  <c r="D85" i="31"/>
  <c r="D89" i="31"/>
  <c r="D92" i="31"/>
  <c r="D93" i="31"/>
  <c r="D88" i="31"/>
  <c r="D86" i="31"/>
  <c r="D87" i="31"/>
  <c r="D94" i="31"/>
  <c r="FA22" i="25"/>
  <c r="C22" i="25" s="1"/>
  <c r="D121" i="31" s="1"/>
  <c r="N18" i="31"/>
  <c r="E37" i="31"/>
  <c r="U17" i="31"/>
  <c r="E30" i="31"/>
  <c r="U20" i="31"/>
  <c r="E66" i="31"/>
  <c r="N16" i="31"/>
  <c r="E13" i="31"/>
  <c r="N21" i="31"/>
  <c r="E73" i="31"/>
  <c r="EH27" i="25"/>
  <c r="EH28" i="25"/>
  <c r="N17" i="31"/>
  <c r="E25" i="31"/>
  <c r="N19" i="31"/>
  <c r="E49" i="31"/>
  <c r="D116" i="31"/>
  <c r="D114" i="31"/>
  <c r="D112" i="31"/>
  <c r="D109" i="31"/>
  <c r="D111" i="31"/>
  <c r="D113" i="31"/>
  <c r="D110" i="31"/>
  <c r="D115" i="31"/>
  <c r="D117" i="31"/>
  <c r="D118" i="31"/>
  <c r="D119" i="31"/>
  <c r="D120" i="31"/>
  <c r="U16" i="31"/>
  <c r="E18" i="31"/>
  <c r="U19" i="31"/>
  <c r="E54" i="31"/>
  <c r="DR23" i="25"/>
  <c r="FA23" i="25" s="1"/>
  <c r="C23" i="25" s="1"/>
  <c r="DW27" i="25"/>
  <c r="U21" i="31"/>
  <c r="E78" i="31"/>
  <c r="D101" i="31"/>
  <c r="D97" i="31"/>
  <c r="D99" i="31"/>
  <c r="D105" i="31"/>
  <c r="D103" i="31"/>
  <c r="D100" i="31"/>
  <c r="D104" i="31"/>
  <c r="D98" i="31"/>
  <c r="D102" i="31"/>
  <c r="D106" i="31"/>
  <c r="D107" i="31"/>
  <c r="D108" i="31"/>
  <c r="U18" i="31"/>
  <c r="E42" i="31"/>
  <c r="EJ28" i="25"/>
  <c r="EJ27" i="25"/>
  <c r="N20" i="31"/>
  <c r="E61" i="31"/>
  <c r="BC28" i="25"/>
  <c r="DW28" i="25" s="1"/>
  <c r="G14" i="25"/>
  <c r="G16" i="25"/>
  <c r="G18" i="25"/>
  <c r="G17" i="25"/>
  <c r="G13" i="25"/>
  <c r="G15" i="25"/>
  <c r="D12" i="195" l="1"/>
  <c r="J12" i="195" s="1"/>
  <c r="D10" i="195"/>
  <c r="J10" i="195" s="1"/>
  <c r="D11" i="195"/>
  <c r="J11" i="195" s="1"/>
  <c r="D13" i="195"/>
  <c r="J13" i="195" s="1"/>
  <c r="D14" i="195"/>
  <c r="J14" i="195" s="1"/>
  <c r="D9" i="195"/>
  <c r="J9" i="195" s="1"/>
  <c r="E88" i="31"/>
  <c r="E98" i="31"/>
  <c r="E119" i="31"/>
  <c r="G119" i="31" s="1"/>
  <c r="E93" i="31"/>
  <c r="G93" i="31" s="1"/>
  <c r="E100" i="31"/>
  <c r="G100" i="31" s="1"/>
  <c r="E118" i="31"/>
  <c r="G118" i="31" s="1"/>
  <c r="E92" i="31"/>
  <c r="G92" i="31" s="1"/>
  <c r="E89" i="31"/>
  <c r="G89" i="31" s="1"/>
  <c r="E120" i="31"/>
  <c r="G120" i="31" s="1"/>
  <c r="E104" i="31"/>
  <c r="G104" i="31" s="1"/>
  <c r="E103" i="31"/>
  <c r="G103" i="31" s="1"/>
  <c r="E117" i="31"/>
  <c r="G117" i="31" s="1"/>
  <c r="E105" i="31"/>
  <c r="G105" i="31" s="1"/>
  <c r="E115" i="31"/>
  <c r="G115" i="31" s="1"/>
  <c r="E85" i="31"/>
  <c r="G85" i="31" s="1"/>
  <c r="U22" i="31"/>
  <c r="E110" i="31"/>
  <c r="E113" i="31"/>
  <c r="G113" i="31" s="1"/>
  <c r="E95" i="31"/>
  <c r="G95" i="31" s="1"/>
  <c r="E96" i="31"/>
  <c r="G96" i="31" s="1"/>
  <c r="E101" i="31"/>
  <c r="G101" i="31" s="1"/>
  <c r="E111" i="31"/>
  <c r="G111" i="31" s="1"/>
  <c r="E112" i="31"/>
  <c r="G112" i="31" s="1"/>
  <c r="E121" i="31"/>
  <c r="G121" i="31" s="1"/>
  <c r="E86" i="31"/>
  <c r="G86" i="31" s="1"/>
  <c r="E99" i="31"/>
  <c r="G99" i="31" s="1"/>
  <c r="E94" i="31"/>
  <c r="G94" i="31" s="1"/>
  <c r="E116" i="31"/>
  <c r="G116" i="31" s="1"/>
  <c r="E107" i="31"/>
  <c r="G107" i="31" s="1"/>
  <c r="E106" i="31"/>
  <c r="G106" i="31" s="1"/>
  <c r="E87" i="31"/>
  <c r="G87" i="31" s="1"/>
  <c r="G42" i="31"/>
  <c r="G66" i="31"/>
  <c r="G30" i="31"/>
  <c r="G54" i="31"/>
  <c r="G18" i="31"/>
  <c r="G98" i="31"/>
  <c r="G78" i="31"/>
  <c r="E90" i="31"/>
  <c r="G90" i="31" s="1"/>
  <c r="G88" i="31"/>
  <c r="G110" i="31"/>
  <c r="N22" i="31"/>
  <c r="D122" i="31"/>
  <c r="D124" i="31"/>
  <c r="D127" i="31"/>
  <c r="D125" i="31"/>
  <c r="D126" i="31"/>
  <c r="D123" i="31"/>
  <c r="D132" i="31"/>
  <c r="D131" i="31"/>
  <c r="D129" i="31"/>
  <c r="D130" i="31"/>
  <c r="D128" i="31"/>
  <c r="R21" i="31"/>
  <c r="P21" i="31"/>
  <c r="G49" i="31"/>
  <c r="G13" i="31"/>
  <c r="R19" i="31"/>
  <c r="P19" i="31"/>
  <c r="R16" i="31"/>
  <c r="P16" i="31"/>
  <c r="AX25" i="25"/>
  <c r="AY25" i="25"/>
  <c r="BN29" i="25"/>
  <c r="EH29" i="25" s="1"/>
  <c r="BP29" i="25"/>
  <c r="G25" i="31"/>
  <c r="R17" i="31"/>
  <c r="P17" i="31"/>
  <c r="E97" i="31"/>
  <c r="E109" i="31"/>
  <c r="N24" i="31"/>
  <c r="AX24" i="25"/>
  <c r="AY24" i="25"/>
  <c r="N23" i="31"/>
  <c r="E108" i="31"/>
  <c r="D134" i="31"/>
  <c r="D135" i="31"/>
  <c r="D138" i="31"/>
  <c r="D137" i="31"/>
  <c r="D136" i="31"/>
  <c r="D133" i="31"/>
  <c r="D139" i="31"/>
  <c r="D140" i="31"/>
  <c r="D141" i="31"/>
  <c r="D142" i="31"/>
  <c r="D143" i="31"/>
  <c r="D144" i="31"/>
  <c r="U24" i="31"/>
  <c r="E114" i="31"/>
  <c r="G37" i="31"/>
  <c r="G61" i="31"/>
  <c r="R18" i="31"/>
  <c r="P18" i="31"/>
  <c r="R20" i="31"/>
  <c r="P20" i="31"/>
  <c r="U23" i="31"/>
  <c r="E102" i="31"/>
  <c r="G73" i="31"/>
  <c r="BC29" i="25"/>
  <c r="DW29" i="25" s="1"/>
  <c r="BC31" i="25"/>
  <c r="G20" i="25"/>
  <c r="G19" i="25"/>
  <c r="G21" i="25"/>
  <c r="D16" i="195" l="1"/>
  <c r="J16" i="195" s="1"/>
  <c r="D17" i="195"/>
  <c r="J17" i="195" s="1"/>
  <c r="D15" i="195"/>
  <c r="J15" i="195" s="1"/>
  <c r="E144" i="31"/>
  <c r="G144" i="31" s="1"/>
  <c r="E128" i="31"/>
  <c r="E143" i="31"/>
  <c r="G143" i="31" s="1"/>
  <c r="E141" i="31"/>
  <c r="G141" i="31" s="1"/>
  <c r="E139" i="31"/>
  <c r="G139" i="31" s="1"/>
  <c r="E131" i="31"/>
  <c r="G131" i="31" s="1"/>
  <c r="E140" i="31"/>
  <c r="G140" i="31" s="1"/>
  <c r="E126" i="31"/>
  <c r="G126" i="31" s="1"/>
  <c r="E130" i="31"/>
  <c r="E125" i="31"/>
  <c r="G125" i="31" s="1"/>
  <c r="E137" i="31"/>
  <c r="G137" i="31" s="1"/>
  <c r="E127" i="31"/>
  <c r="G127" i="31" s="1"/>
  <c r="E134" i="31"/>
  <c r="G134" i="31" s="1"/>
  <c r="E124" i="31"/>
  <c r="G124" i="31" s="1"/>
  <c r="E132" i="31"/>
  <c r="G132" i="31" s="1"/>
  <c r="E136" i="31"/>
  <c r="G136" i="31" s="1"/>
  <c r="E135" i="31"/>
  <c r="G135" i="31" s="1"/>
  <c r="E122" i="31"/>
  <c r="E142" i="31"/>
  <c r="G142" i="31" s="1"/>
  <c r="E129" i="31"/>
  <c r="G129" i="31" s="1"/>
  <c r="E123" i="31"/>
  <c r="G123" i="31" s="1"/>
  <c r="U25" i="31"/>
  <c r="R22" i="31"/>
  <c r="G102" i="31"/>
  <c r="G128" i="31"/>
  <c r="G130" i="31"/>
  <c r="G108" i="31"/>
  <c r="G122" i="31"/>
  <c r="G114" i="31"/>
  <c r="P22" i="31"/>
  <c r="N25" i="31"/>
  <c r="R23" i="31"/>
  <c r="P23" i="31"/>
  <c r="DS25" i="25"/>
  <c r="DS24" i="25"/>
  <c r="DR25" i="25"/>
  <c r="DR24" i="25"/>
  <c r="EJ29" i="25"/>
  <c r="R24" i="31"/>
  <c r="P24" i="31"/>
  <c r="G109" i="31"/>
  <c r="G97" i="31"/>
  <c r="E133" i="31"/>
  <c r="N26" i="31"/>
  <c r="E138" i="31"/>
  <c r="U26" i="31"/>
  <c r="BC30" i="25"/>
  <c r="DW30" i="25" s="1"/>
  <c r="G23" i="25"/>
  <c r="G22" i="25"/>
  <c r="D18" i="195" l="1"/>
  <c r="J18" i="195" s="1"/>
  <c r="D19" i="195"/>
  <c r="J19" i="195" s="1"/>
  <c r="P25" i="31"/>
  <c r="G138" i="31"/>
  <c r="R25" i="31"/>
  <c r="DW31" i="25"/>
  <c r="P26" i="31"/>
  <c r="R26" i="31"/>
  <c r="G133" i="31"/>
  <c r="FA24" i="25"/>
  <c r="C24" i="25" s="1"/>
  <c r="AX26" i="25"/>
  <c r="AY26" i="25"/>
  <c r="AY27" i="25"/>
  <c r="AX27" i="25"/>
  <c r="FA25" i="25"/>
  <c r="C25" i="25" s="1"/>
  <c r="BC32" i="25"/>
  <c r="DR27" i="25" l="1"/>
  <c r="DS27" i="25"/>
  <c r="FA27" i="25" s="1"/>
  <c r="C27" i="25" s="1"/>
  <c r="D181" i="31" s="1"/>
  <c r="DS26" i="25"/>
  <c r="DR26" i="25"/>
  <c r="D159" i="31"/>
  <c r="D160" i="31"/>
  <c r="D158" i="31"/>
  <c r="D157" i="31"/>
  <c r="D161" i="31"/>
  <c r="D162" i="31"/>
  <c r="D163" i="31"/>
  <c r="D164" i="31"/>
  <c r="D165" i="31"/>
  <c r="D166" i="31"/>
  <c r="D167" i="31"/>
  <c r="D168" i="31"/>
  <c r="D145" i="31"/>
  <c r="D148" i="31"/>
  <c r="D149" i="31"/>
  <c r="D147" i="31"/>
  <c r="D146" i="31"/>
  <c r="D150" i="31"/>
  <c r="D151" i="31"/>
  <c r="D152" i="31"/>
  <c r="D153" i="31"/>
  <c r="D154" i="31"/>
  <c r="D155" i="31"/>
  <c r="D156" i="31"/>
  <c r="DW33" i="25"/>
  <c r="DW34" i="25"/>
  <c r="DW32" i="25"/>
  <c r="DW35" i="25"/>
  <c r="E163" i="31" l="1"/>
  <c r="E161" i="31"/>
  <c r="E164" i="31"/>
  <c r="E151" i="31"/>
  <c r="G151" i="31" s="1"/>
  <c r="E158" i="31"/>
  <c r="E166" i="31"/>
  <c r="G166" i="31" s="1"/>
  <c r="E160" i="31"/>
  <c r="G160" i="31" s="1"/>
  <c r="E155" i="31"/>
  <c r="G155" i="31" s="1"/>
  <c r="E146" i="31"/>
  <c r="G146" i="31" s="1"/>
  <c r="E159" i="31"/>
  <c r="G159" i="31" s="1"/>
  <c r="E168" i="31"/>
  <c r="G168" i="31" s="1"/>
  <c r="E165" i="31"/>
  <c r="G165" i="31" s="1"/>
  <c r="E153" i="31"/>
  <c r="G153" i="31" s="1"/>
  <c r="E147" i="31"/>
  <c r="G147" i="31" s="1"/>
  <c r="E167" i="31"/>
  <c r="G167" i="31" s="1"/>
  <c r="E156" i="31"/>
  <c r="G156" i="31" s="1"/>
  <c r="E152" i="31"/>
  <c r="E149" i="31"/>
  <c r="G149" i="31" s="1"/>
  <c r="E154" i="31"/>
  <c r="E148" i="31"/>
  <c r="G148" i="31" s="1"/>
  <c r="G163" i="31"/>
  <c r="G154" i="31"/>
  <c r="G161" i="31"/>
  <c r="G152" i="31"/>
  <c r="G158" i="31"/>
  <c r="G164" i="31"/>
  <c r="D192" i="31"/>
  <c r="D191" i="31"/>
  <c r="D190" i="31"/>
  <c r="D189" i="31"/>
  <c r="D188" i="31"/>
  <c r="D187" i="31"/>
  <c r="D186" i="31"/>
  <c r="D185" i="31"/>
  <c r="D184" i="31"/>
  <c r="D183" i="31"/>
  <c r="D182" i="31"/>
  <c r="E162" i="31"/>
  <c r="U28" i="31"/>
  <c r="E157" i="31"/>
  <c r="N28" i="31"/>
  <c r="E150" i="31"/>
  <c r="U27" i="31"/>
  <c r="AY28" i="25"/>
  <c r="DS28" i="25" s="1"/>
  <c r="AX28" i="25"/>
  <c r="DR28" i="25" s="1"/>
  <c r="FA26" i="25"/>
  <c r="C26" i="25" s="1"/>
  <c r="E145" i="31"/>
  <c r="N27" i="31"/>
  <c r="E181" i="31"/>
  <c r="G25" i="25"/>
  <c r="G24" i="25"/>
  <c r="D20" i="195" l="1"/>
  <c r="J20" i="195" s="1"/>
  <c r="D21" i="195"/>
  <c r="J21" i="195" s="1"/>
  <c r="E189" i="31"/>
  <c r="E190" i="31"/>
  <c r="G190" i="31" s="1"/>
  <c r="E192" i="31"/>
  <c r="G192" i="31" s="1"/>
  <c r="E182" i="31"/>
  <c r="G182" i="31" s="1"/>
  <c r="E191" i="31"/>
  <c r="G191" i="31" s="1"/>
  <c r="E184" i="31"/>
  <c r="G184" i="31" s="1"/>
  <c r="E183" i="31"/>
  <c r="G183" i="31" s="1"/>
  <c r="E185" i="31"/>
  <c r="G185" i="31" s="1"/>
  <c r="U30" i="31"/>
  <c r="E187" i="31"/>
  <c r="G187" i="31" s="1"/>
  <c r="E188" i="31"/>
  <c r="G188" i="31" s="1"/>
  <c r="G189" i="31"/>
  <c r="G150" i="31"/>
  <c r="G162" i="31"/>
  <c r="E186" i="31"/>
  <c r="N30" i="31"/>
  <c r="R27" i="31"/>
  <c r="P27" i="31"/>
  <c r="G145" i="31"/>
  <c r="D170" i="31"/>
  <c r="D169" i="31"/>
  <c r="D171" i="31"/>
  <c r="D172" i="31"/>
  <c r="D173" i="31"/>
  <c r="D174" i="31"/>
  <c r="D175" i="31"/>
  <c r="D176" i="31"/>
  <c r="D177" i="31"/>
  <c r="D178" i="31"/>
  <c r="D179" i="31"/>
  <c r="D180" i="31"/>
  <c r="AX31" i="25"/>
  <c r="AY31" i="25"/>
  <c r="AY29" i="25"/>
  <c r="DS29" i="25" s="1"/>
  <c r="AX29" i="25"/>
  <c r="DR29" i="25" s="1"/>
  <c r="FA28" i="25"/>
  <c r="C28" i="25" s="1"/>
  <c r="R28" i="31"/>
  <c r="P28" i="31"/>
  <c r="G157" i="31"/>
  <c r="G181" i="31"/>
  <c r="D10" i="31"/>
  <c r="G27" i="25"/>
  <c r="D23" i="195" l="1"/>
  <c r="J23" i="195" s="1"/>
  <c r="E176" i="31"/>
  <c r="E177" i="31"/>
  <c r="G177" i="31" s="1"/>
  <c r="E171" i="31"/>
  <c r="E178" i="31"/>
  <c r="G178" i="31" s="1"/>
  <c r="E175" i="31"/>
  <c r="G175" i="31" s="1"/>
  <c r="E173" i="31"/>
  <c r="G173" i="31" s="1"/>
  <c r="E172" i="31"/>
  <c r="G172" i="31" s="1"/>
  <c r="E170" i="31"/>
  <c r="G170" i="31" s="1"/>
  <c r="E180" i="31"/>
  <c r="E179" i="31"/>
  <c r="G171" i="31"/>
  <c r="G176" i="31"/>
  <c r="G179" i="31"/>
  <c r="R30" i="31"/>
  <c r="G180" i="31"/>
  <c r="G186" i="31"/>
  <c r="FA29" i="25"/>
  <c r="C29" i="25" s="1"/>
  <c r="D205" i="31" s="1"/>
  <c r="P30" i="31"/>
  <c r="C49" i="25"/>
  <c r="G10" i="31"/>
  <c r="E174" i="31"/>
  <c r="U29" i="31"/>
  <c r="D193" i="31"/>
  <c r="D194" i="31"/>
  <c r="D195" i="31"/>
  <c r="D196" i="31"/>
  <c r="D197" i="31"/>
  <c r="D198" i="31"/>
  <c r="D199" i="31"/>
  <c r="D200" i="31"/>
  <c r="D201" i="31"/>
  <c r="D202" i="31"/>
  <c r="D203" i="31"/>
  <c r="D204" i="31"/>
  <c r="E169" i="31"/>
  <c r="N29" i="31"/>
  <c r="AX30" i="25"/>
  <c r="DR30" i="25" s="1"/>
  <c r="AY30" i="25"/>
  <c r="DS30" i="25" s="1"/>
  <c r="DR31" i="25"/>
  <c r="G26" i="25"/>
  <c r="D8" i="31"/>
  <c r="E10" i="31"/>
  <c r="D22" i="195" l="1"/>
  <c r="J22" i="195" s="1"/>
  <c r="E201" i="31"/>
  <c r="E200" i="31"/>
  <c r="E197" i="31"/>
  <c r="G197" i="31" s="1"/>
  <c r="E195" i="31"/>
  <c r="G195" i="31" s="1"/>
  <c r="E202" i="31"/>
  <c r="G202" i="31" s="1"/>
  <c r="E199" i="31"/>
  <c r="G199" i="31" s="1"/>
  <c r="E194" i="31"/>
  <c r="G194" i="31" s="1"/>
  <c r="E196" i="31"/>
  <c r="G196" i="31" s="1"/>
  <c r="E204" i="31"/>
  <c r="G204" i="31" s="1"/>
  <c r="E203" i="31"/>
  <c r="G203" i="31" s="1"/>
  <c r="G50" i="25"/>
  <c r="D28" i="195" s="1"/>
  <c r="J28" i="195" s="1"/>
  <c r="J29" i="195" s="1"/>
  <c r="D215" i="31"/>
  <c r="D213" i="31"/>
  <c r="D214" i="31"/>
  <c r="D212" i="31"/>
  <c r="D211" i="31"/>
  <c r="D208" i="31"/>
  <c r="D216" i="31"/>
  <c r="D210" i="31"/>
  <c r="D209" i="31"/>
  <c r="D207" i="31"/>
  <c r="D206" i="31"/>
  <c r="G201" i="31"/>
  <c r="G200" i="31"/>
  <c r="G174" i="31"/>
  <c r="C54" i="25"/>
  <c r="G8" i="31"/>
  <c r="G55" i="25" s="1"/>
  <c r="D30" i="195" s="1"/>
  <c r="J30" i="195" s="1"/>
  <c r="J31" i="195" s="1"/>
  <c r="I79" i="25"/>
  <c r="E198" i="31"/>
  <c r="U31" i="31"/>
  <c r="N31" i="31"/>
  <c r="E193" i="31"/>
  <c r="AX32" i="25"/>
  <c r="AY32" i="25"/>
  <c r="E205" i="31"/>
  <c r="DS31" i="25"/>
  <c r="R29" i="31"/>
  <c r="P29" i="31"/>
  <c r="G169" i="31"/>
  <c r="E8" i="31"/>
  <c r="D7" i="31"/>
  <c r="G28" i="25"/>
  <c r="D24" i="195" l="1"/>
  <c r="J24" i="195" s="1"/>
  <c r="I80" i="25"/>
  <c r="E216" i="31"/>
  <c r="G216" i="31" s="1"/>
  <c r="E210" i="31"/>
  <c r="G210" i="31" s="1"/>
  <c r="E208" i="31"/>
  <c r="G208" i="31" s="1"/>
  <c r="E209" i="31"/>
  <c r="G209" i="31" s="1"/>
  <c r="E212" i="31"/>
  <c r="G212" i="31" s="1"/>
  <c r="E207" i="31"/>
  <c r="G207" i="31" s="1"/>
  <c r="E214" i="31"/>
  <c r="G214" i="31" s="1"/>
  <c r="E213" i="31"/>
  <c r="G213" i="31" s="1"/>
  <c r="N32" i="31"/>
  <c r="R32" i="31" s="1"/>
  <c r="E211" i="31"/>
  <c r="G211" i="31" s="1"/>
  <c r="E215" i="31"/>
  <c r="G215" i="31" s="1"/>
  <c r="U32" i="31"/>
  <c r="G7" i="31"/>
  <c r="G60" i="25" s="1"/>
  <c r="C59" i="25"/>
  <c r="E206" i="31"/>
  <c r="G198" i="31"/>
  <c r="DS34" i="25"/>
  <c r="DS33" i="25"/>
  <c r="DS35" i="25"/>
  <c r="DS32" i="25"/>
  <c r="DR32" i="25"/>
  <c r="DR35" i="25"/>
  <c r="FA35" i="25" s="1"/>
  <c r="DR34" i="25"/>
  <c r="FA34" i="25" s="1"/>
  <c r="DR33" i="25"/>
  <c r="G193" i="31"/>
  <c r="R31" i="31"/>
  <c r="P31" i="31"/>
  <c r="G205" i="31"/>
  <c r="E7" i="31"/>
  <c r="G29" i="25"/>
  <c r="D25" i="195" l="1"/>
  <c r="J25" i="195" s="1"/>
  <c r="P32" i="31"/>
  <c r="G206" i="31"/>
  <c r="BN31" i="25"/>
  <c r="BP31" i="25"/>
  <c r="BN30" i="25" l="1"/>
  <c r="EH30" i="25" s="1"/>
  <c r="BP30" i="25"/>
  <c r="EH31" i="25" l="1"/>
  <c r="BN32" i="25"/>
  <c r="BP32" i="25"/>
  <c r="EJ35" i="25"/>
  <c r="EJ30" i="25"/>
  <c r="FA30" i="25" s="1"/>
  <c r="C30" i="25" s="1"/>
  <c r="EJ33" i="25"/>
  <c r="EJ34" i="25"/>
  <c r="EJ31" i="25"/>
  <c r="FA31" i="25" s="1"/>
  <c r="C31" i="25" s="1"/>
  <c r="EJ32" i="25"/>
  <c r="D229" i="31" l="1"/>
  <c r="D230" i="31"/>
  <c r="D231" i="31"/>
  <c r="D232" i="31"/>
  <c r="D233" i="31"/>
  <c r="D234" i="31"/>
  <c r="D235" i="31"/>
  <c r="D236" i="31"/>
  <c r="D237" i="31"/>
  <c r="D238" i="31"/>
  <c r="D239" i="31"/>
  <c r="D240" i="31"/>
  <c r="D217" i="31"/>
  <c r="D218" i="31"/>
  <c r="D219" i="31"/>
  <c r="D220" i="31"/>
  <c r="D221" i="31"/>
  <c r="D222" i="31"/>
  <c r="D223" i="31"/>
  <c r="D224" i="31"/>
  <c r="D225" i="31"/>
  <c r="D226" i="31"/>
  <c r="D227" i="31"/>
  <c r="D228" i="31"/>
  <c r="EH33" i="25"/>
  <c r="FA33" i="25" s="1"/>
  <c r="C33" i="25" s="1"/>
  <c r="EH34" i="25"/>
  <c r="EH32" i="25"/>
  <c r="FA32" i="25" s="1"/>
  <c r="C32" i="25" s="1"/>
  <c r="EH35" i="25"/>
  <c r="E237" i="31" l="1"/>
  <c r="E239" i="31"/>
  <c r="E231" i="31"/>
  <c r="G231" i="31" s="1"/>
  <c r="E240" i="31"/>
  <c r="E238" i="31"/>
  <c r="G238" i="31" s="1"/>
  <c r="E236" i="31"/>
  <c r="G236" i="31" s="1"/>
  <c r="E233" i="31"/>
  <c r="G233" i="31" s="1"/>
  <c r="E230" i="31"/>
  <c r="G230" i="31" s="1"/>
  <c r="E235" i="31"/>
  <c r="G235" i="31" s="1"/>
  <c r="E232" i="31"/>
  <c r="G232" i="31" s="1"/>
  <c r="E220" i="31"/>
  <c r="G220" i="31" s="1"/>
  <c r="E218" i="31"/>
  <c r="G218" i="31" s="1"/>
  <c r="E228" i="31"/>
  <c r="G228" i="31" s="1"/>
  <c r="E219" i="31"/>
  <c r="G219" i="31" s="1"/>
  <c r="E225" i="31"/>
  <c r="G225" i="31" s="1"/>
  <c r="E224" i="31"/>
  <c r="G224" i="31" s="1"/>
  <c r="E223" i="31"/>
  <c r="G223" i="31" s="1"/>
  <c r="E227" i="31"/>
  <c r="G227" i="31" s="1"/>
  <c r="E226" i="31"/>
  <c r="G226" i="31" s="1"/>
  <c r="E221" i="31"/>
  <c r="G237" i="31"/>
  <c r="G221" i="31"/>
  <c r="G240" i="31"/>
  <c r="G239" i="31"/>
  <c r="N33" i="31"/>
  <c r="E217" i="31"/>
  <c r="D241" i="31"/>
  <c r="D242" i="31"/>
  <c r="D243" i="31"/>
  <c r="D244" i="31"/>
  <c r="D245" i="31"/>
  <c r="D246" i="31"/>
  <c r="D247" i="31"/>
  <c r="D248" i="31"/>
  <c r="D249" i="31"/>
  <c r="D250" i="31"/>
  <c r="D251" i="31"/>
  <c r="D252" i="31"/>
  <c r="D260" i="31"/>
  <c r="D258" i="31"/>
  <c r="D259" i="31"/>
  <c r="D254" i="31"/>
  <c r="D262" i="31"/>
  <c r="D257" i="31"/>
  <c r="D253" i="31"/>
  <c r="D255" i="31"/>
  <c r="D263" i="31"/>
  <c r="D264" i="31"/>
  <c r="D256" i="31"/>
  <c r="D261" i="31"/>
  <c r="E234" i="31"/>
  <c r="U34" i="31"/>
  <c r="E222" i="31"/>
  <c r="U33" i="31"/>
  <c r="N34" i="31"/>
  <c r="E229" i="31"/>
  <c r="G30" i="25"/>
  <c r="G31" i="25"/>
  <c r="E244" i="31" l="1"/>
  <c r="E243" i="31"/>
  <c r="E264" i="31"/>
  <c r="G264" i="31" s="1"/>
  <c r="E255" i="31"/>
  <c r="G255" i="31" s="1"/>
  <c r="E262" i="31"/>
  <c r="G262" i="31" s="1"/>
  <c r="E257" i="31"/>
  <c r="G257" i="31" s="1"/>
  <c r="E245" i="31"/>
  <c r="G245" i="31" s="1"/>
  <c r="E254" i="31"/>
  <c r="G254" i="31" s="1"/>
  <c r="E263" i="31"/>
  <c r="G263" i="31" s="1"/>
  <c r="E259" i="31"/>
  <c r="G259" i="31" s="1"/>
  <c r="E252" i="31"/>
  <c r="G252" i="31" s="1"/>
  <c r="E242" i="31"/>
  <c r="G242" i="31" s="1"/>
  <c r="E251" i="31"/>
  <c r="G251" i="31" s="1"/>
  <c r="E250" i="31"/>
  <c r="G250" i="31" s="1"/>
  <c r="E249" i="31"/>
  <c r="G249" i="31" s="1"/>
  <c r="E248" i="31"/>
  <c r="G248" i="31" s="1"/>
  <c r="E260" i="31"/>
  <c r="G260" i="31" s="1"/>
  <c r="E261" i="31"/>
  <c r="G261" i="31" s="1"/>
  <c r="E256" i="31"/>
  <c r="G256" i="31" s="1"/>
  <c r="E247" i="31"/>
  <c r="G247" i="31" s="1"/>
  <c r="G222" i="31"/>
  <c r="G234" i="31"/>
  <c r="G244" i="31"/>
  <c r="G243" i="31"/>
  <c r="R34" i="31"/>
  <c r="P34" i="31"/>
  <c r="E258" i="31"/>
  <c r="G258" i="31" s="1"/>
  <c r="U36" i="31"/>
  <c r="E246" i="31"/>
  <c r="U35" i="31"/>
  <c r="N36" i="31"/>
  <c r="E253" i="31"/>
  <c r="G229" i="31"/>
  <c r="N35" i="31"/>
  <c r="E241" i="31"/>
  <c r="G217" i="31"/>
  <c r="R33" i="31"/>
  <c r="P33" i="31"/>
  <c r="G33" i="25"/>
  <c r="G32" i="25"/>
  <c r="G246" i="31" l="1"/>
  <c r="G241" i="31"/>
  <c r="R35" i="31"/>
  <c r="P35" i="31"/>
  <c r="G253" i="31"/>
  <c r="R36" i="31"/>
  <c r="P36" i="31"/>
  <c r="C13" i="195" l="1"/>
  <c r="I13" i="195" s="1"/>
  <c r="C10" i="195"/>
  <c r="I10" i="195" s="1"/>
  <c r="C14" i="195"/>
  <c r="I14" i="195" s="1"/>
  <c r="C12" i="195"/>
  <c r="I12" i="195" s="1"/>
  <c r="C9" i="195"/>
  <c r="I9" i="195" s="1"/>
  <c r="C11" i="195"/>
  <c r="I11" i="195" s="1"/>
  <c r="C17" i="195" l="1"/>
  <c r="I17" i="195" s="1"/>
  <c r="C16" i="195"/>
  <c r="I16" i="195" s="1"/>
  <c r="C15" i="195"/>
  <c r="I15" i="195" s="1"/>
  <c r="C18" i="195" l="1"/>
  <c r="I18" i="195" s="1"/>
  <c r="C19" i="195"/>
  <c r="I19" i="195" s="1"/>
  <c r="C21" i="195" l="1"/>
  <c r="I21" i="195" s="1"/>
  <c r="C20" i="195"/>
  <c r="I20" i="195" s="1"/>
  <c r="C23" i="195" l="1"/>
  <c r="I23" i="195" s="1"/>
  <c r="C22" i="195" l="1"/>
  <c r="I22" i="195" s="1"/>
  <c r="C28" i="195"/>
  <c r="I28" i="195" s="1"/>
  <c r="I29" i="195" s="1"/>
  <c r="C24" i="195" l="1"/>
  <c r="I24" i="195" s="1"/>
  <c r="C30" i="195"/>
  <c r="I30" i="195" s="1"/>
  <c r="I31" i="195" s="1"/>
  <c r="C25" i="195" l="1"/>
  <c r="I25" i="1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Alpay, Ebru (PacifiCorp)</author>
  </authors>
  <commentList>
    <comment ref="E126" authorId="0" shapeId="0" xr:uid="{EC9C6485-C06D-456A-8B57-E59FAE991E46}">
      <text>
        <r>
          <rPr>
            <b/>
            <sz val="9"/>
            <color indexed="81"/>
            <rFont val="Tahoma"/>
            <charset val="1"/>
          </rPr>
          <t>Corrected Build Cost Escalation Factors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<sst xmlns="http://schemas.openxmlformats.org/spreadsheetml/2006/main" count="3820" uniqueCount="397">
  <si>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</si>
  <si>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</si>
  <si>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</si>
  <si>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</si>
  <si>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</si>
  <si>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</si>
  <si>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</si>
  <si>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</si>
  <si>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</si>
  <si>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</si>
  <si>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</si>
  <si>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</si>
  <si>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</si>
  <si>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</si>
  <si>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</si>
  <si>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</si>
  <si>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</si>
  <si>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</si>
  <si>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</si>
  <si>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</si>
  <si>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</si>
  <si>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</si>
  <si>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</si>
  <si>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</si>
  <si>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</si>
  <si>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</si>
  <si>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</si>
  <si>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</si>
  <si>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</si>
  <si>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</si>
  <si>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</si>
  <si>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</si>
  <si>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</si>
  <si>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</si>
  <si>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</si>
  <si>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</si>
  <si>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</si>
  <si>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</si>
  <si>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</si>
  <si>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</si>
  <si>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</si>
  <si>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</si>
  <si>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</si>
  <si>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</si>
  <si>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</si>
  <si>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</si>
  <si>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</si>
  <si>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</si>
  <si>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</si>
  <si>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</si>
  <si>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</si>
  <si>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</si>
  <si>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</si>
  <si>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</si>
  <si>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</si>
  <si>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</si>
  <si>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</si>
  <si>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</si>
  <si>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</si>
  <si>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</si>
  <si>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</si>
  <si>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</si>
  <si>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</si>
  <si>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Cost and Input Assumptions</t>
  </si>
  <si>
    <t xml:space="preserve">  Fixed O&amp;M, plus on-going capital cost</t>
  </si>
  <si>
    <t xml:space="preserve">  Variable O&amp;M</t>
  </si>
  <si>
    <t xml:space="preserve">  Tax Credit $/MWh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</si>
  <si>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</si>
  <si>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</si>
  <si>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</si>
  <si>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</si>
  <si>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</si>
  <si>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</si>
  <si>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</si>
  <si>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</si>
  <si>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</si>
  <si>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</si>
  <si>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</si>
  <si>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</si>
  <si>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</si>
  <si>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</si>
  <si>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</si>
  <si>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</si>
  <si>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</si>
  <si>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</si>
  <si>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</si>
  <si>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</si>
  <si>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</si>
  <si>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Wheeling ($ MWh)</t>
  </si>
  <si>
    <t>Naughton</t>
  </si>
  <si>
    <t>Burner tip</t>
  </si>
  <si>
    <t>Network Upgrade ($/kw-yr)</t>
  </si>
  <si>
    <t>Total Fixed Cost</t>
  </si>
  <si>
    <t>if Deferred 1</t>
  </si>
  <si>
    <t>15 Year Starting 2025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</si>
  <si>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</si>
  <si>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</si>
  <si>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</si>
  <si>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</si>
  <si>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</si>
  <si>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</si>
  <si>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</si>
  <si>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</si>
  <si>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</si>
  <si>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</si>
  <si>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</si>
  <si>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</si>
  <si>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</si>
  <si>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</si>
  <si>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</si>
  <si>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</si>
  <si>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</si>
  <si>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</si>
  <si>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</si>
  <si>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</si>
  <si>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</si>
  <si>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</si>
  <si>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</si>
  <si>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</si>
  <si>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</si>
  <si>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</si>
  <si>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</si>
  <si>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</si>
  <si>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</si>
  <si>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</si>
  <si>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</si>
  <si>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</si>
  <si>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</si>
  <si>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</si>
  <si>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</si>
  <si>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</si>
  <si>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</si>
  <si>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</si>
  <si>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</si>
  <si>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</si>
  <si>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</si>
  <si>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</si>
  <si>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</si>
  <si>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</si>
  <si>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</si>
  <si>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>INC Walla Walla - WA &gt; Yakima 2030</t>
  </si>
  <si>
    <t xml:space="preserve"> Interconnect (MW)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</si>
  <si>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</si>
  <si>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</si>
  <si>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</si>
  <si>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</si>
  <si>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</si>
  <si>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</si>
  <si>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</si>
  <si>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</si>
  <si>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</si>
  <si>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</si>
  <si>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</si>
  <si>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</si>
  <si>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</si>
  <si>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</si>
  <si>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</si>
  <si>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</si>
  <si>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</si>
  <si>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</si>
  <si>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</si>
  <si>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</si>
  <si>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</si>
  <si>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</si>
  <si>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</si>
  <si>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</si>
  <si>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</si>
  <si>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</si>
  <si>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</si>
  <si>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</si>
  <si>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</si>
  <si>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</si>
  <si>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</si>
  <si>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</si>
  <si>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</si>
  <si>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</si>
  <si>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</si>
  <si>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</si>
  <si>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</si>
  <si>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</si>
  <si>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</si>
  <si>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</si>
  <si>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Granularity_Adj</t>
  </si>
  <si>
    <t>+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</si>
  <si>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</si>
  <si>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</si>
  <si>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</si>
  <si>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</si>
  <si>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</si>
  <si>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</si>
  <si>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</si>
  <si>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H:\2025 IRP\03. Assumptions\12. New Resources (SSR)\RESD SSR Database 2025 v6 20240923 Modifiers Expanded.xlsx - Cost Forecasts Tab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</si>
  <si>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</si>
  <si>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</si>
  <si>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</si>
  <si>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</si>
  <si>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</si>
  <si>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</si>
  <si>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NUC.PX.NTN._.NTC.Adv_Reactor</t>
  </si>
  <si>
    <t>VO&amp;M Charge</t>
  </si>
  <si>
    <t>New Nuclear</t>
  </si>
  <si>
    <t>NUC.PX.NTN._.PTC.Adv_Reactor</t>
  </si>
  <si>
    <t>PV_.PX.COR._.NTC.Utility_Scale</t>
  </si>
  <si>
    <t>PV_.PX.SUM._.NTC.Utility_Scale</t>
  </si>
  <si>
    <t>PV_.PX.WMV._.NTC.Utility_Scale</t>
  </si>
  <si>
    <t>PV_.PX.WWA._.NTC.Utility_Scale</t>
  </si>
  <si>
    <t>PV_.PX.WWA._.PTC.Utility_Scale</t>
  </si>
  <si>
    <t>PV_.PX.YAK._.NTC.Utility_Scale</t>
  </si>
  <si>
    <t>WD_.PX.DJW._.NTC.Utility_Scale</t>
  </si>
  <si>
    <t>WD_.PX.WMV._.NTC.Utility_Scale</t>
  </si>
  <si>
    <t>WD_.PX.WYC._.NTC.Small_Scale</t>
  </si>
  <si>
    <t>WD_.PX.WYE._.NTC.Small_Scale</t>
  </si>
  <si>
    <t>WD_.PX.WYE._.NTC.Utility_Scale</t>
  </si>
  <si>
    <t>BAT.PX.NTN._.___.ADV Nuclear Naughton</t>
  </si>
  <si>
    <t>New Nuclear Storage</t>
  </si>
  <si>
    <t>MW Built</t>
  </si>
  <si>
    <t>CON Willamette Valley Gen &gt; Willamette Valley 2027</t>
  </si>
  <si>
    <t>Lines</t>
  </si>
  <si>
    <t>https://brkenergy.sharepoint.com/:x:/r/sites/2025IRP/Shared%20Documents/03.%20Assumptions/Transmission/PLEXOS%20Transmission%20Expansion%20Options%20Inputs.xlsx?d=wfc26fdb1d5124ac9b72c021a277ee418&amp;csf=1&amp;web=1&amp;e=c5zIcw</t>
  </si>
  <si>
    <t>Lines - Interconnect (CON)</t>
  </si>
  <si>
    <t>CON Central OR Gen &gt; Central OR 2026</t>
  </si>
  <si>
    <t>CON Central OR Gen &gt; Central OR 2033 2C18 ERIS</t>
  </si>
  <si>
    <t>CON Portland North Coast Gen &gt; Portland North Coast 2027</t>
  </si>
  <si>
    <t>CON Portland North Coast Gen &gt; Portland North Coast 2037 Dixonville</t>
  </si>
  <si>
    <t>CON Southern OR Gen &gt; Southern OR 2031 1C12</t>
  </si>
  <si>
    <t>CON Southern OR Gen &gt; Southern OR 2031 1CA13</t>
  </si>
  <si>
    <t>CON Southern OR Gen &gt; Southern OR 2033 2C20</t>
  </si>
  <si>
    <t>CON Southern OR Gen &gt; Southern OR 2033 OSW</t>
  </si>
  <si>
    <t>CON Walla Walla Gen &gt; Walla Walla - WA 2028</t>
  </si>
  <si>
    <t>CON Willamette Valley Gen &gt; Willamette Valley 2028</t>
  </si>
  <si>
    <t>CON Willamette Valley Gen &gt; Willamette Valley 2037 Dixonville</t>
  </si>
  <si>
    <t>CON Yakima Gen &gt; Yakima 2027</t>
  </si>
  <si>
    <t>CON Yakima Gen &gt; Yakima 2037 Lebanon</t>
  </si>
  <si>
    <t>Lines - Incremental (INC)</t>
  </si>
  <si>
    <t>INC B2H2 Hemingway&gt;Longhorn - 2033</t>
  </si>
  <si>
    <t>INC BorahPop &gt; Hemingway 2037 Segment E</t>
  </si>
  <si>
    <t>INC Bridger &gt; BorahPop 2032</t>
  </si>
  <si>
    <t>INC Bridger &gt; BorahPop 2035 D3.2</t>
  </si>
  <si>
    <t>INC Bridger &gt; Wyoming East 2032 D2.2</t>
  </si>
  <si>
    <t>INC Central OR &gt; Willamette Valley 2037</t>
  </si>
  <si>
    <t>INC Goshen &gt; NUT 2035 1b</t>
  </si>
  <si>
    <t>INC Goshen &gt; NUT 2035 1c</t>
  </si>
  <si>
    <t>INC NUT &gt; Goshen 2029</t>
  </si>
  <si>
    <t>INC NUT &gt; Wasatch Front 2029</t>
  </si>
  <si>
    <t>INC NUT &gt; Wasatch Front 2030 2C7</t>
  </si>
  <si>
    <t>INC NUT &gt; Wasatch Front 2030 2C7 3C6</t>
  </si>
  <si>
    <t>INC Portland North Coast &gt; Willamette Valley 2032</t>
  </si>
  <si>
    <t>INC Portland North Coast &gt; Willamette Valley 2037</t>
  </si>
  <si>
    <t>INC Portland North Coast &gt; Yakima 2029</t>
  </si>
  <si>
    <t>INC Southern OR &gt; Central OR 2032 Snow Goose</t>
  </si>
  <si>
    <t>INC Summer Lake &gt; Central OR 2030</t>
  </si>
  <si>
    <t>INC Summer Lake &gt; Hemingway 2028</t>
  </si>
  <si>
    <t>INC Utah South &gt; Wasatch Front 2026</t>
  </si>
  <si>
    <t>INC Utah South &gt; Wasatch Front 2028</t>
  </si>
  <si>
    <t>INC Utah South &gt; Wasatch Front 2028B</t>
  </si>
  <si>
    <t>INC Utah South &gt; Wasatch Front 2029</t>
  </si>
  <si>
    <t>INC Utah South &gt; Wasatch Front 2035</t>
  </si>
  <si>
    <t>INC Walla Walla - WA &gt; Central OR 2034 Maverick</t>
  </si>
  <si>
    <t>INC Willamette Valley &gt; Central OR 2032</t>
  </si>
  <si>
    <t>INC Willamette Valley &gt; Southern OR 2036</t>
  </si>
  <si>
    <t>INC Wyoming East &gt; BorahPop 2035 D3.3</t>
  </si>
  <si>
    <t>INC Wyoming East &gt; Bridger 2032</t>
  </si>
  <si>
    <t>INC Wyoming East &gt; Clover 2035 GWS2</t>
  </si>
  <si>
    <t>INC Yakima &gt; Central OR 2032</t>
  </si>
  <si>
    <t>Discount Rate - 2025 IRP</t>
  </si>
  <si>
    <t>Inflation rate</t>
  </si>
  <si>
    <t>From</t>
  </si>
  <si>
    <t>To</t>
  </si>
  <si>
    <t>Build Investment $/kW</t>
  </si>
  <si>
    <t>($ 000)</t>
  </si>
  <si>
    <t xml:space="preserve">WMV Cumulative Gen Built </t>
  </si>
  <si>
    <t>2025 IRP Transmission Costs</t>
  </si>
  <si>
    <t>Real Levelized Build Investment ($ 000)</t>
  </si>
  <si>
    <t>Real Levelized Build Investment $ 000</t>
  </si>
  <si>
    <t>WMV Gen Built</t>
  </si>
  <si>
    <t>PV_.PX.WMV._.PTC.Utility_Scale2032</t>
  </si>
  <si>
    <t>PV_.PX.WMV._.PTC.Utility_Scale2036</t>
  </si>
  <si>
    <t>lookup</t>
  </si>
  <si>
    <t>WD_.PX.DJW._.PTC.Utility_Scale2028</t>
  </si>
  <si>
    <t>WD_.PX.DJW._.PTC.Utility_Scale2029</t>
  </si>
  <si>
    <t>WD_.PX.WMV._.PTC.Utility_Scale2032</t>
  </si>
  <si>
    <t>Wind Sorted by $/kW-yr_CC_Adj</t>
  </si>
  <si>
    <t>Solar Sorted by $/kW-yr_CC_Adj</t>
  </si>
  <si>
    <t xml:space="preserve">  Payment Factor, 0% ITC</t>
  </si>
  <si>
    <t xml:space="preserve">  Real Payment Factor, 40% ITC</t>
  </si>
  <si>
    <t>Source: \\pacificorp.us\dfs\PDXCO\PaR\2025 IRP\03. Assumptions\12. New Resources (SSR)\Levelized\2025 IRP LFC_GM_2024E 2024.09.25 40% ITC.xlsb</t>
  </si>
  <si>
    <t>\\pacificorp.us\dfs\PDXCO\PaR\2025 IRP\03. Assumptions\12. New Resources (SSR)\Levelized\2025 IRP LFC_GM_2024E 2024.09.25 0% ITC.xlsb</t>
  </si>
  <si>
    <t>Nominal 15 year Levelized</t>
  </si>
  <si>
    <t>Nominal 20 year Levelized</t>
  </si>
  <si>
    <t>Nominal 30 year Levelized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</si>
  <si>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</si>
  <si>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</si>
  <si>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</si>
  <si>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</si>
  <si>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</si>
  <si>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</si>
  <si>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</si>
  <si>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</si>
  <si>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</si>
  <si>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</si>
  <si>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</si>
  <si>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</si>
  <si>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</si>
  <si>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</si>
  <si>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</si>
  <si>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</si>
  <si>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</si>
  <si>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</si>
  <si>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</si>
  <si>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</si>
  <si>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</si>
  <si>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</si>
  <si>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</si>
  <si>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</si>
  <si>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</si>
  <si>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</si>
  <si>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</si>
  <si>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</si>
  <si>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</si>
  <si>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</si>
  <si>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</si>
  <si>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</si>
  <si>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</si>
  <si>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</si>
  <si>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</si>
  <si>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</si>
  <si>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</si>
  <si>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</si>
  <si>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</si>
  <si>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</si>
  <si>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</si>
  <si>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</si>
  <si>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</si>
  <si>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</si>
  <si>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</si>
  <si>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</si>
  <si>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Utah Allocated</t>
  </si>
  <si>
    <t>QF - Sch38 - UT - Solar T</t>
  </si>
  <si>
    <t>PV_QF_UTN_QF_Sch38_UT</t>
  </si>
  <si>
    <t xml:space="preserve"> Export (MW)</t>
  </si>
  <si>
    <t xml:space="preserve"> Import (MW)</t>
  </si>
  <si>
    <t>Build Investment ($m)</t>
  </si>
  <si>
    <t xml:space="preserve"> Build (%)</t>
  </si>
  <si>
    <t>Rebuild existing Cameron - Sigurd 138 kV</t>
  </si>
  <si>
    <t>Utah South</t>
  </si>
  <si>
    <t>Wasatch Front</t>
  </si>
  <si>
    <t>Cluster 1 Area 11 - Willamette Valley</t>
  </si>
  <si>
    <t>n/a</t>
  </si>
  <si>
    <t>Serial queue - Central Oregon</t>
  </si>
  <si>
    <t>B2H</t>
  </si>
  <si>
    <t>Hemingway</t>
  </si>
  <si>
    <t xml:space="preserve">Longhorn </t>
  </si>
  <si>
    <t>B2H - Idaho Power Asset Transfer</t>
  </si>
  <si>
    <t>Borah</t>
  </si>
  <si>
    <t>B2H - IPC PTP Eastbound</t>
  </si>
  <si>
    <t>Walla Walla</t>
  </si>
  <si>
    <t>B2H - Longhorn Load</t>
  </si>
  <si>
    <t>Longhorn</t>
  </si>
  <si>
    <t xml:space="preserve">McNary </t>
  </si>
  <si>
    <t>Cluster 2 Area 23 - Willamette Valley</t>
  </si>
  <si>
    <t>Cluster 1/2/3 - Walla Walla</t>
  </si>
  <si>
    <t>Walla Walla - Wine Country 230 kV</t>
  </si>
  <si>
    <t>Cluster 1 Area 14 - Summer Lake</t>
  </si>
  <si>
    <t>Summer Lake</t>
  </si>
  <si>
    <t>Willamette Valley</t>
  </si>
  <si>
    <t>Central OR</t>
  </si>
  <si>
    <t>Gateway South 2: Aeolus Clover #2 500 kV</t>
  </si>
  <si>
    <t>Wyoming East</t>
  </si>
  <si>
    <t>Clover</t>
  </si>
  <si>
    <t>Huntington – Clover 345 kV</t>
  </si>
  <si>
    <t>S. Lebanon-Dixonville 500 kV, Dbl-Ckt Fry-S.Lebanon 230 kV</t>
  </si>
  <si>
    <t>Southern OR</t>
  </si>
  <si>
    <t>Spanish Fork - Mercer 345 kV</t>
  </si>
  <si>
    <t>West Cedar - Three Peaks 138 kV</t>
  </si>
  <si>
    <t>Serial through Cluster 1 Area 13 - Southern Oregon</t>
  </si>
  <si>
    <t>Grand Total</t>
  </si>
  <si>
    <t/>
  </si>
  <si>
    <t>Avoided Cost Prices $/MWh</t>
  </si>
  <si>
    <t>Utah 2025.Q2 Sch 38</t>
  </si>
  <si>
    <t>Thermal</t>
  </si>
  <si>
    <t>Solar Tracking</t>
  </si>
  <si>
    <t>Wind</t>
  </si>
  <si>
    <t>UT 2025.Q2</t>
  </si>
  <si>
    <t>UT 2025.Q1</t>
  </si>
  <si>
    <t>100% CF (2)</t>
  </si>
  <si>
    <t>32.25% CF (2)</t>
  </si>
  <si>
    <t>29.5% CF (2)</t>
  </si>
  <si>
    <t>Difference</t>
  </si>
  <si>
    <t>Routine Update (OFPC June 2025)- using 2025 IRP Utah Preferred Portfolio with Corrected Wind and Solar Build Cost Escalation Rates</t>
  </si>
  <si>
    <t>2025 IRP Utah Preferred Portfolio</t>
  </si>
  <si>
    <t>Routine Update (OFPC June 2025)- using 2025 IRP Utah Preferred Portfolio</t>
  </si>
  <si>
    <t>2025-2039</t>
  </si>
  <si>
    <t>2026-2040</t>
  </si>
  <si>
    <t>Footnotes:</t>
  </si>
  <si>
    <t>(1)   Discount Rate - 2025 IRP</t>
  </si>
  <si>
    <t>15-Year Levelized Prices (Nominal) @ 6.38% Discount Rate (1) (3)</t>
  </si>
  <si>
    <t>Appendix B.2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</si>
</sst>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#,##0\ ;\(#,##0\)"/>
    <numFmt numFmtId="179" formatCode="&quot;$&quot;#,##0.00_)"/>
    <numFmt numFmtId="180" formatCode="#,##0.0000_);\(#,##0.0000\)"/>
    <numFmt numFmtId="181" formatCode="m/d/yyyy\ h:mm:ss"/>
    <numFmt numFmtId="182" formatCode="_(* #,##0.0000_);[Red]_(* \(#,##0.0000\);_(* &quot;-&quot;_);_(@_)"/>
    <numFmt numFmtId="183" formatCode="_(* #,##0.00000_);[Red]_(* \(#,##0.00000\);_(* &quot;-&quot;_);_(@_)"/>
    <numFmt numFmtId="184" formatCode="_(* #,##0.000_);[Red]_(* \(#,##0.000\);_(* &quot;-&quot;_);_(@_)"/>
    <numFmt numFmtId="185" formatCode="_(* #,##0.000_);_(* \(#,##0.000\);_(* &quot;-&quot;_);_(@_)"/>
    <numFmt numFmtId="186" formatCode="_(* #,##0.0_);_(* \(#,##0.0\);_(* &quot;-&quot;??_);_(@_)"/>
    <numFmt numFmtId="187" formatCode="_(* #,##0.0000_);_(* \(#,##0.0000\);_(* &quot;-&quot;??_);_(@_)"/>
    <numFmt numFmtId="188" formatCode="_(* #,##0.000000000_);[Red]_(* \(#,##0.000000000\);_(* &quot;-&quot;_);_(@_)"/>
  </numFmts>
  <fonts count="48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b/>
      <sz val="9"/>
      <name val="CS Times"/>
    </font>
    <font>
      <sz val="9"/>
      <color indexed="12"/>
      <name val="CS Times"/>
    </font>
    <font>
      <sz val="9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rgb="FFCCECFF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3" fillId="0" borderId="0"/>
    <xf numFmtId="0" fontId="5" fillId="0" borderId="0"/>
  </cellStyleXfs>
  <cellXfs count="451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167" fontId="7" fillId="0" borderId="0" xfId="8" applyNumberFormat="1" applyFont="1" applyFill="1" applyAlignment="1">
      <alignment horizontal="center"/>
    </xf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6" fontId="7" fillId="0" borderId="0" xfId="24" applyNumberFormat="1" applyAlignment="1">
      <alignment horizontal="right"/>
    </xf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171" fontId="6" fillId="0" borderId="17" xfId="24" applyFont="1" applyBorder="1" applyAlignment="1">
      <alignment horizontal="centerContinuous"/>
    </xf>
    <xf numFmtId="171" fontId="7" fillId="0" borderId="17" xfId="24" applyBorder="1"/>
    <xf numFmtId="171" fontId="7" fillId="0" borderId="18" xfId="24" applyBorder="1"/>
    <xf numFmtId="171" fontId="6" fillId="0" borderId="16" xfId="24" applyFont="1" applyBorder="1" applyAlignment="1">
      <alignment horizontal="center"/>
    </xf>
    <xf numFmtId="171" fontId="6" fillId="0" borderId="17" xfId="5" applyFont="1" applyBorder="1" applyAlignment="1">
      <alignment horizontal="centerContinuous"/>
    </xf>
    <xf numFmtId="171" fontId="7" fillId="0" borderId="17" xfId="24" applyBorder="1" applyAlignment="1">
      <alignment horizontal="centerContinuous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6" fillId="0" borderId="0" xfId="24" applyNumberFormat="1" applyFont="1"/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1" fillId="0" borderId="0" xfId="0" applyNumberFormat="1" applyFont="1" applyProtection="1">
      <protection locked="0"/>
    </xf>
    <xf numFmtId="43" fontId="7" fillId="0" borderId="0" xfId="2" applyNumberFormat="1" applyFont="1" applyFill="1"/>
    <xf numFmtId="171" fontId="7" fillId="0" borderId="0" xfId="6" applyNumberFormat="1" applyFont="1" applyAlignment="1" applyProtection="1">
      <alignment horizontal="center"/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43" fontId="7" fillId="0" borderId="0" xfId="24" applyNumberFormat="1"/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80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4" fillId="0" borderId="0" xfId="0" applyFont="1" applyAlignment="1">
      <alignment horizontal="centerContinuous"/>
    </xf>
    <xf numFmtId="171" fontId="35" fillId="0" borderId="0" xfId="0" applyFont="1" applyAlignment="1">
      <alignment horizontal="centerContinuous"/>
    </xf>
    <xf numFmtId="171" fontId="34" fillId="0" borderId="0" xfId="0" applyFont="1"/>
    <xf numFmtId="171" fontId="35" fillId="0" borderId="0" xfId="0" applyFont="1"/>
    <xf numFmtId="171" fontId="7" fillId="0" borderId="0" xfId="0" quotePrefix="1" applyFont="1" applyAlignment="1">
      <alignment horizontal="center"/>
    </xf>
    <xf numFmtId="8" fontId="36" fillId="0" borderId="0" xfId="0" applyNumberFormat="1" applyFont="1" applyAlignment="1">
      <alignment horizontal="center"/>
    </xf>
    <xf numFmtId="8" fontId="36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0" fontId="6" fillId="0" borderId="0" xfId="24" applyNumberFormat="1" applyFont="1"/>
    <xf numFmtId="171" fontId="6" fillId="0" borderId="0" xfId="0" applyFont="1"/>
    <xf numFmtId="171" fontId="37" fillId="0" borderId="0" xfId="5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3" fillId="0" borderId="0" xfId="24" applyNumberFormat="1" applyFont="1"/>
    <xf numFmtId="6" fontId="7" fillId="0" borderId="0" xfId="2" applyNumberFormat="1" applyFont="1" applyFill="1"/>
    <xf numFmtId="178" fontId="29" fillId="0" borderId="0" xfId="26" applyNumberFormat="1" applyFill="1" applyAlignment="1" applyProtection="1"/>
    <xf numFmtId="178" fontId="32" fillId="0" borderId="0" xfId="0" applyNumberFormat="1" applyFont="1"/>
    <xf numFmtId="178" fontId="30" fillId="0" borderId="0" xfId="0" applyNumberFormat="1" applyFont="1"/>
    <xf numFmtId="174" fontId="7" fillId="0" borderId="0" xfId="24" applyNumberFormat="1"/>
    <xf numFmtId="167" fontId="7" fillId="0" borderId="0" xfId="24" applyNumberFormat="1"/>
    <xf numFmtId="171" fontId="33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2" fontId="0" fillId="0" borderId="0" xfId="0" applyNumberFormat="1"/>
    <xf numFmtId="172" fontId="33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1" fontId="5" fillId="0" borderId="2" xfId="10" applyNumberFormat="1" applyBorder="1"/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9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171" fontId="5" fillId="0" borderId="1" xfId="10" applyNumberFormat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8" fillId="0" borderId="0" xfId="31" applyFont="1"/>
    <xf numFmtId="0" fontId="35" fillId="0" borderId="0" xfId="31" applyFont="1"/>
    <xf numFmtId="0" fontId="1" fillId="0" borderId="0" xfId="31"/>
    <xf numFmtId="181" fontId="1" fillId="0" borderId="0" xfId="31" applyNumberFormat="1"/>
    <xf numFmtId="181" fontId="35" fillId="0" borderId="0" xfId="31" applyNumberFormat="1" applyFont="1"/>
    <xf numFmtId="2" fontId="35" fillId="0" borderId="0" xfId="31" applyNumberFormat="1" applyFont="1"/>
    <xf numFmtId="43" fontId="35" fillId="0" borderId="0" xfId="32" applyFont="1" applyFill="1"/>
    <xf numFmtId="164" fontId="35" fillId="0" borderId="0" xfId="32" applyNumberFormat="1" applyFont="1" applyFill="1"/>
    <xf numFmtId="8" fontId="35" fillId="0" borderId="0" xfId="31" applyNumberFormat="1" applyFont="1"/>
    <xf numFmtId="181" fontId="38" fillId="0" borderId="0" xfId="31" applyNumberFormat="1" applyFont="1"/>
    <xf numFmtId="0" fontId="9" fillId="0" borderId="0" xfId="31" applyFont="1"/>
    <xf numFmtId="181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3" fontId="7" fillId="0" borderId="0" xfId="24" applyNumberFormat="1"/>
    <xf numFmtId="8" fontId="35" fillId="15" borderId="0" xfId="32" applyNumberFormat="1" applyFont="1" applyFill="1"/>
    <xf numFmtId="181" fontId="35" fillId="0" borderId="0" xfId="0" applyNumberFormat="1" applyFont="1"/>
    <xf numFmtId="8" fontId="35" fillId="0" borderId="0" xfId="0" applyNumberFormat="1" applyFont="1"/>
    <xf numFmtId="10" fontId="0" fillId="0" borderId="0" xfId="0" applyNumberFormat="1"/>
    <xf numFmtId="5" fontId="7" fillId="0" borderId="0" xfId="1" applyNumberFormat="1" applyFont="1"/>
    <xf numFmtId="5" fontId="7" fillId="0" borderId="0" xfId="1" applyNumberFormat="1" applyFont="1" applyAlignment="1">
      <alignment horizontal="right"/>
    </xf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5" fillId="0" borderId="0" xfId="0" applyNumberFormat="1" applyFont="1"/>
    <xf numFmtId="171" fontId="40" fillId="16" borderId="0" xfId="0" applyFont="1" applyFill="1"/>
    <xf numFmtId="171" fontId="40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9" fontId="41" fillId="0" borderId="0" xfId="0" applyNumberFormat="1" applyFont="1"/>
    <xf numFmtId="44" fontId="0" fillId="0" borderId="0" xfId="2" applyFont="1"/>
    <xf numFmtId="171" fontId="6" fillId="0" borderId="0" xfId="24" applyFont="1"/>
    <xf numFmtId="44" fontId="1" fillId="0" borderId="0" xfId="2" applyFont="1"/>
    <xf numFmtId="3" fontId="7" fillId="0" borderId="0" xfId="24" applyNumberFormat="1"/>
    <xf numFmtId="171" fontId="0" fillId="10" borderId="0" xfId="0" applyFill="1"/>
    <xf numFmtId="171" fontId="0" fillId="5" borderId="0" xfId="0" applyFill="1"/>
    <xf numFmtId="171" fontId="0" fillId="18" borderId="0" xfId="0" applyFill="1"/>
    <xf numFmtId="171" fontId="0" fillId="12" borderId="0" xfId="0" applyFill="1"/>
    <xf numFmtId="171" fontId="8" fillId="0" borderId="0" xfId="24" applyFont="1" applyAlignment="1">
      <alignment horizontal="center"/>
    </xf>
    <xf numFmtId="171" fontId="8" fillId="0" borderId="0" xfId="24" applyFont="1" applyAlignment="1">
      <alignment horizontal="left" vertical="top"/>
    </xf>
    <xf numFmtId="44" fontId="0" fillId="12" borderId="0" xfId="2" applyFont="1" applyFill="1"/>
    <xf numFmtId="44" fontId="1" fillId="12" borderId="0" xfId="2" applyFont="1" applyFill="1"/>
    <xf numFmtId="44" fontId="0" fillId="6" borderId="0" xfId="2" applyFont="1" applyFill="1"/>
    <xf numFmtId="44" fontId="1" fillId="6" borderId="0" xfId="2" applyFont="1" applyFill="1"/>
    <xf numFmtId="44" fontId="0" fillId="19" borderId="0" xfId="2" applyFont="1" applyFill="1"/>
    <xf numFmtId="44" fontId="1" fillId="19" borderId="0" xfId="2" applyFont="1" applyFill="1"/>
    <xf numFmtId="171" fontId="0" fillId="19" borderId="0" xfId="0" applyFill="1"/>
    <xf numFmtId="44" fontId="0" fillId="17" borderId="0" xfId="2" applyFont="1" applyFill="1"/>
    <xf numFmtId="44" fontId="1" fillId="17" borderId="0" xfId="2" applyFont="1" applyFill="1"/>
    <xf numFmtId="44" fontId="0" fillId="10" borderId="0" xfId="2" applyFont="1" applyFill="1"/>
    <xf numFmtId="44" fontId="1" fillId="10" borderId="0" xfId="2" applyFont="1" applyFill="1"/>
    <xf numFmtId="171" fontId="6" fillId="0" borderId="0" xfId="24" applyFont="1" applyAlignment="1">
      <alignment horizontal="center" wrapText="1"/>
    </xf>
    <xf numFmtId="171" fontId="6" fillId="0" borderId="0" xfId="24" applyFont="1" applyAlignment="1">
      <alignment horizontal="left" vertical="top"/>
    </xf>
    <xf numFmtId="171" fontId="6" fillId="0" borderId="0" xfId="24" applyFont="1" applyAlignment="1">
      <alignment horizontal="center"/>
    </xf>
    <xf numFmtId="0" fontId="6" fillId="0" borderId="0" xfId="24" applyNumberFormat="1" applyFont="1" applyAlignment="1">
      <alignment horizontal="center" vertical="top"/>
    </xf>
    <xf numFmtId="171" fontId="6" fillId="0" borderId="0" xfId="24" quotePrefix="1" applyFont="1" applyAlignment="1">
      <alignment horizontal="center" wrapText="1"/>
    </xf>
    <xf numFmtId="3" fontId="7" fillId="10" borderId="0" xfId="24" applyNumberFormat="1" applyFill="1"/>
    <xf numFmtId="6" fontId="7" fillId="10" borderId="0" xfId="24" applyNumberFormat="1" applyFill="1" applyAlignment="1">
      <alignment horizontal="right"/>
    </xf>
    <xf numFmtId="171" fontId="6" fillId="6" borderId="0" xfId="24" applyFont="1" applyFill="1" applyAlignment="1">
      <alignment horizontal="left" vertical="top" wrapText="1"/>
    </xf>
    <xf numFmtId="44" fontId="0" fillId="5" borderId="0" xfId="2" applyFont="1" applyFill="1"/>
    <xf numFmtId="44" fontId="1" fillId="5" borderId="0" xfId="2" applyFont="1" applyFill="1"/>
    <xf numFmtId="184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171" fontId="6" fillId="0" borderId="0" xfId="5" applyFont="1" applyAlignment="1">
      <alignment horizontal="centerContinuous"/>
    </xf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1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5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42" fillId="0" borderId="0" xfId="0" applyNumberFormat="1" applyFont="1"/>
    <xf numFmtId="167" fontId="42" fillId="0" borderId="0" xfId="8" applyNumberFormat="1" applyFont="1" applyFill="1"/>
    <xf numFmtId="6" fontId="42" fillId="0" borderId="0" xfId="2" applyNumberFormat="1" applyFont="1" applyFill="1" applyAlignment="1">
      <alignment horizontal="center"/>
    </xf>
    <xf numFmtId="8" fontId="42" fillId="0" borderId="0" xfId="2" applyNumberFormat="1" applyFont="1" applyFill="1" applyAlignment="1">
      <alignment horizontal="center"/>
    </xf>
    <xf numFmtId="186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42" fillId="0" borderId="0" xfId="0" applyFont="1"/>
    <xf numFmtId="173" fontId="42" fillId="0" borderId="0" xfId="0" applyNumberFormat="1" applyFont="1"/>
    <xf numFmtId="43" fontId="42" fillId="0" borderId="0" xfId="2" applyNumberFormat="1" applyFont="1" applyFill="1"/>
    <xf numFmtId="164" fontId="42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42" fillId="0" borderId="0" xfId="2" applyFont="1" applyFill="1"/>
    <xf numFmtId="8" fontId="42" fillId="0" borderId="0" xfId="2" applyNumberFormat="1" applyFont="1" applyFill="1"/>
    <xf numFmtId="187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4" fillId="0" borderId="0" xfId="33" applyNumberFormat="1" applyFont="1" applyAlignment="1">
      <alignment horizontal="center" wrapText="1"/>
    </xf>
    <xf numFmtId="188" fontId="0" fillId="0" borderId="0" xfId="0" applyNumberFormat="1"/>
    <xf numFmtId="164" fontId="0" fillId="0" borderId="0" xfId="1" applyNumberFormat="1" applyFont="1" applyFill="1"/>
    <xf numFmtId="184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5" fontId="7" fillId="0" borderId="0" xfId="1" applyNumberFormat="1" applyFont="1" applyFill="1" applyAlignment="1">
      <alignment horizontal="right"/>
    </xf>
    <xf numFmtId="8" fontId="7" fillId="13" borderId="0" xfId="24" applyNumberFormat="1" applyFill="1" applyAlignment="1">
      <alignment horizontal="right"/>
    </xf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1" fillId="6" borderId="0" xfId="31" applyFill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17" fontId="7" fillId="0" borderId="0" xfId="11" applyNumberFormat="1"/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168" fontId="47" fillId="0" borderId="0" xfId="11" applyNumberFormat="1" applyFont="1" applyAlignment="1">
      <alignment horizontal="centerContinuous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168" fontId="7" fillId="0" borderId="0" xfId="11" applyNumberFormat="1" applyAlignment="1">
      <alignment horizontal="centerContinuous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24" fillId="0" borderId="0" xfId="11" applyFont="1"/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8" fontId="0" fillId="0" borderId="3" xfId="11" applyNumberFormat="1" applyFont="1" applyBorder="1" applyAlignment="1">
      <alignment horizontal="center" vertical="top" wrapText="1"/>
    </xf>
    <xf numFmtId="8" fontId="0" fillId="0" borderId="9" xfId="11" applyNumberFormat="1" applyFont="1" applyBorder="1" applyAlignment="1">
      <alignment horizontal="center" vertical="top" wrapText="1"/>
    </xf>
    <xf numFmtId="8" fontId="0" fillId="0" borderId="4" xfId="11" applyNumberFormat="1" applyFont="1" applyBorder="1" applyAlignment="1">
      <alignment horizontal="center" vertical="top" wrapText="1"/>
    </xf>
    <xf numFmtId="8" fontId="0" fillId="0" borderId="3" xfId="11" applyNumberFormat="1" applyFont="1" applyBorder="1" applyAlignment="1">
      <alignment horizontal="center"/>
    </xf>
    <xf numFmtId="8" fontId="0" fillId="0" borderId="9" xfId="11" applyNumberFormat="1" applyFont="1" applyBorder="1" applyAlignment="1">
      <alignment horizontal="center"/>
    </xf>
    <xf numFmtId="8" fontId="0" fillId="0" borderId="4" xfId="11" applyNumberFormat="1" applyFont="1" applyBorder="1" applyAlignment="1">
      <alignment horizontal="center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70F2B2DF-9274-4CB5-971A-A395CBD0E0FF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5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89" formatCode="&quot;$&quot;#,##0.00_)&quot;x&quot;"/>
    </dxf>
    <dxf>
      <numFmt numFmtId="189" formatCode="&quot;$&quot;#,##0.00_)&quot;x&quot;"/>
    </dxf>
    <dxf>
      <numFmt numFmtId="189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1%20-%20UT%202025Q2%20-%20Thermal%20AC%20Study%20NON-CONF%20Routine%20Upd%20-%20CorrBuildCostEsc.xlsx" TargetMode="External"/><Relationship Id="rId1" Type="http://schemas.openxmlformats.org/officeDocument/2006/relationships/externalLinkPath" Target="file:///Z:\Avoided%20Cost%20-%202025\16%20-%20UTSch38_2025Q2%20IRPMar2025%20-%20Sep%202025\Sch%2038%20Filing\4_Appendix%20B.1%20-%20UT%202025Q2%20-%20Thermal%20AC%20Study%20NON-CONF%20Routine%20Upd%20-%20CorrBuildCostEs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voided%20Cost%20-%202025\16%20-%20UTSch38_2025Q2%20IRPMar2025%20-%20Sep%202025\Sch%2038%20Filing\4_Appendix%20B.3%20-%20UT%202025Q2%20-%20Wind%20AC%20Study%20NON-CONF%20%20RoutineUpd%20-CorrBuildCostEsc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1%20-%20UT%202025Q1%20-%20Thermal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1%20-%20UT%202025Q1%20-%20Thermal%20AC%20Study%20NON-CONF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2%20-%20UT%202025Q1%20-%20Solar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2%20-%20UT%202025Q1%20-%20Solar%20AC%20Study%20NON-CONF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3%20-%20UT%202025Q1%20-%20Wind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3%20-%20UT%202025Q1%20-%20Wind%20AC%20Study%20NON-CON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1"/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E13">
            <v>28.868448831015229</v>
          </cell>
          <cell r="G13">
            <v>28.868448831015229</v>
          </cell>
        </row>
        <row r="14">
          <cell r="B14">
            <v>2026</v>
          </cell>
          <cell r="C14">
            <v>0</v>
          </cell>
          <cell r="E14">
            <v>32.353774344641096</v>
          </cell>
          <cell r="G14">
            <v>32.353774344641096</v>
          </cell>
        </row>
        <row r="15">
          <cell r="B15">
            <v>2027</v>
          </cell>
          <cell r="C15">
            <v>0</v>
          </cell>
          <cell r="E15">
            <v>31.058790552498873</v>
          </cell>
          <cell r="G15">
            <v>31.058790552498873</v>
          </cell>
        </row>
        <row r="16">
          <cell r="B16">
            <v>2028</v>
          </cell>
          <cell r="C16">
            <v>0</v>
          </cell>
          <cell r="E16">
            <v>34.687855803338863</v>
          </cell>
          <cell r="G16">
            <v>34.687855803338863</v>
          </cell>
        </row>
        <row r="17">
          <cell r="B17">
            <v>2029</v>
          </cell>
          <cell r="C17">
            <v>0</v>
          </cell>
          <cell r="E17">
            <v>38.396625148377744</v>
          </cell>
          <cell r="G17">
            <v>38.396625148377744</v>
          </cell>
        </row>
        <row r="18">
          <cell r="B18">
            <v>2030</v>
          </cell>
          <cell r="C18">
            <v>0</v>
          </cell>
          <cell r="E18">
            <v>36.036480313706036</v>
          </cell>
          <cell r="G18">
            <v>36.036480313706036</v>
          </cell>
        </row>
        <row r="19">
          <cell r="B19">
            <v>2031</v>
          </cell>
          <cell r="C19">
            <v>0</v>
          </cell>
          <cell r="E19">
            <v>37.37103262123113</v>
          </cell>
          <cell r="G19">
            <v>37.37103262123113</v>
          </cell>
        </row>
        <row r="20">
          <cell r="B20">
            <v>2032</v>
          </cell>
          <cell r="C20">
            <v>0</v>
          </cell>
          <cell r="E20">
            <v>33.929362391951678</v>
          </cell>
          <cell r="G20">
            <v>33.929362391951678</v>
          </cell>
        </row>
        <row r="21">
          <cell r="B21">
            <v>2033</v>
          </cell>
          <cell r="C21">
            <v>0</v>
          </cell>
          <cell r="E21">
            <v>32.311215799894278</v>
          </cell>
          <cell r="G21">
            <v>32.311215799894278</v>
          </cell>
        </row>
        <row r="22">
          <cell r="B22">
            <v>2034</v>
          </cell>
          <cell r="C22">
            <v>0</v>
          </cell>
          <cell r="E22">
            <v>32.266656254866341</v>
          </cell>
          <cell r="G22">
            <v>32.266656254866341</v>
          </cell>
        </row>
        <row r="23">
          <cell r="B23">
            <v>2035</v>
          </cell>
          <cell r="C23">
            <v>0</v>
          </cell>
          <cell r="E23">
            <v>32.793055072863851</v>
          </cell>
          <cell r="G23">
            <v>32.793055072863851</v>
          </cell>
        </row>
        <row r="24">
          <cell r="B24">
            <v>2036</v>
          </cell>
          <cell r="C24">
            <v>0</v>
          </cell>
          <cell r="E24">
            <v>18.689452232871812</v>
          </cell>
          <cell r="G24">
            <v>18.689452232871812</v>
          </cell>
        </row>
        <row r="25">
          <cell r="B25">
            <v>2037</v>
          </cell>
          <cell r="C25">
            <v>0</v>
          </cell>
          <cell r="E25">
            <v>22.162550085386599</v>
          </cell>
          <cell r="G25">
            <v>22.162550085386599</v>
          </cell>
        </row>
        <row r="26">
          <cell r="B26">
            <v>2038</v>
          </cell>
          <cell r="C26">
            <v>0</v>
          </cell>
          <cell r="E26">
            <v>24.887103800046653</v>
          </cell>
          <cell r="G26">
            <v>24.887103800046653</v>
          </cell>
        </row>
        <row r="27">
          <cell r="B27">
            <v>2039</v>
          </cell>
          <cell r="C27">
            <v>0</v>
          </cell>
          <cell r="E27">
            <v>26.738218653043639</v>
          </cell>
          <cell r="G27">
            <v>26.738218653043639</v>
          </cell>
        </row>
        <row r="28">
          <cell r="B28">
            <v>2040</v>
          </cell>
          <cell r="C28">
            <v>0</v>
          </cell>
          <cell r="E28">
            <v>28.064499549230241</v>
          </cell>
          <cell r="G28">
            <v>28.064499549230241</v>
          </cell>
        </row>
        <row r="29">
          <cell r="B29">
            <v>2041</v>
          </cell>
          <cell r="C29">
            <v>0</v>
          </cell>
          <cell r="E29">
            <v>32.72079652166515</v>
          </cell>
          <cell r="G29">
            <v>32.72079652166515</v>
          </cell>
        </row>
        <row r="30">
          <cell r="B30">
            <v>2042</v>
          </cell>
          <cell r="C30">
            <v>0</v>
          </cell>
          <cell r="E30">
            <v>40.410544437372245</v>
          </cell>
          <cell r="G30">
            <v>40.410544437372245</v>
          </cell>
        </row>
        <row r="31">
          <cell r="B31">
            <v>2043</v>
          </cell>
          <cell r="C31">
            <v>0</v>
          </cell>
          <cell r="E31">
            <v>41.813220781841579</v>
          </cell>
          <cell r="G31">
            <v>41.813220781841579</v>
          </cell>
        </row>
        <row r="32">
          <cell r="B32">
            <v>2044</v>
          </cell>
          <cell r="C32">
            <v>0</v>
          </cell>
          <cell r="E32">
            <v>43.216902116283435</v>
          </cell>
          <cell r="G32">
            <v>43.216902116283435</v>
          </cell>
        </row>
        <row r="33">
          <cell r="B33">
            <v>2045</v>
          </cell>
          <cell r="C33">
            <v>0</v>
          </cell>
          <cell r="E33">
            <v>44.15903058241841</v>
          </cell>
          <cell r="G33">
            <v>44.15903058241841</v>
          </cell>
        </row>
        <row r="43">
          <cell r="I43">
            <v>6.3799999999999996E-2</v>
          </cell>
        </row>
        <row r="45">
          <cell r="J45">
            <v>2.18E-2</v>
          </cell>
        </row>
        <row r="50">
          <cell r="G50">
            <v>31.497744781347723</v>
          </cell>
        </row>
        <row r="55">
          <cell r="G55">
            <v>31.63647848072468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0.99729999999999996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2025</v>
          </cell>
          <cell r="C13">
            <v>0</v>
          </cell>
          <cell r="D13"/>
          <cell r="E13">
            <v>20.42372122848073</v>
          </cell>
          <cell r="F13"/>
          <cell r="G13">
            <v>20.42372122848073</v>
          </cell>
        </row>
        <row r="14">
          <cell r="B14">
            <v>2026</v>
          </cell>
          <cell r="C14">
            <v>0</v>
          </cell>
          <cell r="D14"/>
          <cell r="E14">
            <v>23.749161907663424</v>
          </cell>
          <cell r="F14"/>
          <cell r="G14">
            <v>23.749161907663424</v>
          </cell>
        </row>
        <row r="15">
          <cell r="B15">
            <v>2027</v>
          </cell>
          <cell r="C15">
            <v>0</v>
          </cell>
          <cell r="D15"/>
          <cell r="E15">
            <v>24.780860656754999</v>
          </cell>
          <cell r="F15"/>
          <cell r="G15">
            <v>24.780860656754999</v>
          </cell>
        </row>
        <row r="16">
          <cell r="B16">
            <v>2028</v>
          </cell>
          <cell r="C16">
            <v>86.516893846414789</v>
          </cell>
          <cell r="D16"/>
          <cell r="E16">
            <v>-21.321114797818456</v>
          </cell>
          <cell r="F16"/>
          <cell r="G16">
            <v>11.290326577174859</v>
          </cell>
        </row>
        <row r="17">
          <cell r="B17">
            <v>2029</v>
          </cell>
          <cell r="C17">
            <v>88.402962153489256</v>
          </cell>
          <cell r="D17"/>
          <cell r="E17">
            <v>-13.96749724861094</v>
          </cell>
          <cell r="F17"/>
          <cell r="G17">
            <v>19.365052244114942</v>
          </cell>
        </row>
        <row r="18">
          <cell r="B18">
            <v>2030</v>
          </cell>
          <cell r="C18">
            <v>90.330146681878915</v>
          </cell>
          <cell r="D18"/>
          <cell r="E18">
            <v>-9.4292976129646142</v>
          </cell>
          <cell r="F18"/>
          <cell r="G18">
            <v>24.577947148307754</v>
          </cell>
        </row>
        <row r="19">
          <cell r="B19">
            <v>2031</v>
          </cell>
          <cell r="C19">
            <v>92.299343876400954</v>
          </cell>
          <cell r="D19"/>
          <cell r="E19">
            <v>-31.014228191522978</v>
          </cell>
          <cell r="F19"/>
          <cell r="G19">
            <v>3.7148699993605816</v>
          </cell>
        </row>
        <row r="20">
          <cell r="B20">
            <v>2032</v>
          </cell>
          <cell r="C20">
            <v>94.311469547302849</v>
          </cell>
          <cell r="D20"/>
          <cell r="E20">
            <v>-36.227844412989342</v>
          </cell>
          <cell r="F20"/>
          <cell r="G20">
            <v>-0.73457219784218364</v>
          </cell>
        </row>
        <row r="21">
          <cell r="B21">
            <v>2033</v>
          </cell>
          <cell r="C21">
            <v>96.367459584561033</v>
          </cell>
          <cell r="D21"/>
          <cell r="E21">
            <v>-37.342901763023676</v>
          </cell>
          <cell r="F21"/>
          <cell r="G21">
            <v>-1.0184150763211386</v>
          </cell>
        </row>
        <row r="22">
          <cell r="B22">
            <v>2034</v>
          </cell>
          <cell r="C22">
            <v>98.468270275347052</v>
          </cell>
          <cell r="D22"/>
          <cell r="E22">
            <v>-38.512353943176862</v>
          </cell>
          <cell r="F22"/>
          <cell r="G22">
            <v>-1.4053079081557485</v>
          </cell>
        </row>
        <row r="23">
          <cell r="B23">
            <v>2035</v>
          </cell>
          <cell r="C23">
            <v>100.61487854212692</v>
          </cell>
          <cell r="D23"/>
          <cell r="E23">
            <v>-38.81135870802418</v>
          </cell>
          <cell r="F23"/>
          <cell r="G23">
            <v>-0.87427677080226451</v>
          </cell>
        </row>
        <row r="24">
          <cell r="B24">
            <v>2036</v>
          </cell>
          <cell r="C24">
            <v>102.80828289505959</v>
          </cell>
          <cell r="D24"/>
          <cell r="E24">
            <v>-30.855774873216998</v>
          </cell>
          <cell r="F24"/>
          <cell r="G24">
            <v>7.9007581844606412</v>
          </cell>
        </row>
        <row r="25">
          <cell r="B25">
            <v>2037</v>
          </cell>
          <cell r="C25">
            <v>105.04950343199673</v>
          </cell>
          <cell r="D25"/>
          <cell r="E25">
            <v>-28.595580291787705</v>
          </cell>
          <cell r="F25"/>
          <cell r="G25">
            <v>10.938854271420995</v>
          </cell>
        </row>
        <row r="26">
          <cell r="B26">
            <v>2038</v>
          </cell>
          <cell r="C26">
            <v>107.33958263214808</v>
          </cell>
          <cell r="D26"/>
          <cell r="E26">
            <v>7.6219435612899709</v>
          </cell>
          <cell r="F26"/>
          <cell r="G26">
            <v>48.081576465261826</v>
          </cell>
        </row>
        <row r="27">
          <cell r="B27">
            <v>2039</v>
          </cell>
          <cell r="C27">
            <v>109.67958551481426</v>
          </cell>
          <cell r="D27"/>
          <cell r="E27">
            <v>10.186867774792265</v>
          </cell>
          <cell r="F27"/>
          <cell r="G27">
            <v>51.529190805939237</v>
          </cell>
        </row>
        <row r="28">
          <cell r="B28">
            <v>2040</v>
          </cell>
          <cell r="C28">
            <v>112.07060051241879</v>
          </cell>
          <cell r="D28"/>
          <cell r="E28">
            <v>10.235210862490318</v>
          </cell>
          <cell r="F28"/>
          <cell r="G28">
            <v>52.468195363569272</v>
          </cell>
        </row>
        <row r="29">
          <cell r="B29">
            <v>2041</v>
          </cell>
          <cell r="C29">
            <v>114.51373954987426</v>
          </cell>
          <cell r="D29"/>
          <cell r="E29">
            <v>12.685276709185255</v>
          </cell>
          <cell r="F29"/>
          <cell r="G29">
            <v>55.797093887075455</v>
          </cell>
        </row>
        <row r="30">
          <cell r="B30">
            <v>2042</v>
          </cell>
          <cell r="C30">
            <v>117.01013907634731</v>
          </cell>
          <cell r="D30"/>
          <cell r="E30">
            <v>19.300370738364279</v>
          </cell>
          <cell r="F30"/>
          <cell r="G30">
            <v>63.327299193598968</v>
          </cell>
        </row>
        <row r="31">
          <cell r="B31">
            <v>2043</v>
          </cell>
          <cell r="C31">
            <v>119.56096014462503</v>
          </cell>
          <cell r="D31"/>
          <cell r="E31">
            <v>19.981519740856179</v>
          </cell>
          <cell r="F31"/>
          <cell r="G31">
            <v>64.977210350778336</v>
          </cell>
        </row>
        <row r="32">
          <cell r="B32">
            <v>2044</v>
          </cell>
          <cell r="C32">
            <v>122.16738904604718</v>
          </cell>
          <cell r="D32"/>
          <cell r="E32">
            <v>20.598927174466414</v>
          </cell>
          <cell r="F32"/>
          <cell r="G32">
            <v>66.647622282392106</v>
          </cell>
        </row>
        <row r="33">
          <cell r="B33">
            <v>2045</v>
          </cell>
          <cell r="C33">
            <v>124.83063818353773</v>
          </cell>
          <cell r="D33"/>
          <cell r="E33">
            <v>21.047983786869782</v>
          </cell>
          <cell r="F33"/>
          <cell r="G33">
            <v>68.100540469364475</v>
          </cell>
        </row>
        <row r="50">
          <cell r="G50">
            <v>15.852660258006644</v>
          </cell>
        </row>
        <row r="55">
          <cell r="G55">
            <v>16.899237737480338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1"/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  <sheetName val="4_Appendix B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29.249964710080672</v>
          </cell>
          <cell r="F13"/>
          <cell r="G13">
            <v>29.249964710080672</v>
          </cell>
        </row>
        <row r="14">
          <cell r="B14">
            <v>2026</v>
          </cell>
          <cell r="C14">
            <v>0</v>
          </cell>
          <cell r="D14"/>
          <cell r="E14">
            <v>29.599085968869868</v>
          </cell>
          <cell r="F14"/>
          <cell r="G14">
            <v>29.599085968869868</v>
          </cell>
        </row>
        <row r="15">
          <cell r="B15">
            <v>2027</v>
          </cell>
          <cell r="C15">
            <v>0</v>
          </cell>
          <cell r="D15"/>
          <cell r="E15">
            <v>28.307460946968099</v>
          </cell>
          <cell r="F15"/>
          <cell r="G15">
            <v>28.307460946968099</v>
          </cell>
        </row>
        <row r="16">
          <cell r="B16">
            <v>2028</v>
          </cell>
          <cell r="C16">
            <v>0</v>
          </cell>
          <cell r="D16"/>
          <cell r="E16">
            <v>33.822604017533571</v>
          </cell>
          <cell r="F16"/>
          <cell r="G16">
            <v>33.822604017533571</v>
          </cell>
        </row>
        <row r="17">
          <cell r="B17">
            <v>2029</v>
          </cell>
          <cell r="C17">
            <v>0</v>
          </cell>
          <cell r="D17"/>
          <cell r="E17">
            <v>38.901852011534586</v>
          </cell>
          <cell r="F17"/>
          <cell r="G17">
            <v>38.901852011534586</v>
          </cell>
        </row>
        <row r="18">
          <cell r="B18">
            <v>2030</v>
          </cell>
          <cell r="C18">
            <v>0</v>
          </cell>
          <cell r="D18"/>
          <cell r="E18">
            <v>36.026635507539211</v>
          </cell>
          <cell r="F18"/>
          <cell r="G18">
            <v>36.026635507539211</v>
          </cell>
        </row>
        <row r="19">
          <cell r="B19">
            <v>2031</v>
          </cell>
          <cell r="C19">
            <v>0</v>
          </cell>
          <cell r="D19"/>
          <cell r="E19">
            <v>36.901500109791989</v>
          </cell>
          <cell r="F19"/>
          <cell r="G19">
            <v>36.901500109791989</v>
          </cell>
        </row>
        <row r="20">
          <cell r="B20">
            <v>2032</v>
          </cell>
          <cell r="C20">
            <v>0</v>
          </cell>
          <cell r="D20"/>
          <cell r="E20">
            <v>32.862978897402343</v>
          </cell>
          <cell r="F20"/>
          <cell r="G20">
            <v>32.862978897402343</v>
          </cell>
        </row>
        <row r="21">
          <cell r="B21">
            <v>2033</v>
          </cell>
          <cell r="C21">
            <v>0</v>
          </cell>
          <cell r="D21"/>
          <cell r="E21">
            <v>31.298849468642072</v>
          </cell>
          <cell r="F21"/>
          <cell r="G21">
            <v>31.298849468642072</v>
          </cell>
        </row>
        <row r="22">
          <cell r="B22">
            <v>2034</v>
          </cell>
          <cell r="C22">
            <v>0</v>
          </cell>
          <cell r="D22"/>
          <cell r="E22">
            <v>31.226711407526786</v>
          </cell>
          <cell r="F22"/>
          <cell r="G22">
            <v>31.226711407526786</v>
          </cell>
        </row>
        <row r="23">
          <cell r="B23">
            <v>2035</v>
          </cell>
          <cell r="C23">
            <v>0</v>
          </cell>
          <cell r="D23"/>
          <cell r="E23">
            <v>32.189249794702775</v>
          </cell>
          <cell r="F23"/>
          <cell r="G23">
            <v>32.189249794702775</v>
          </cell>
        </row>
        <row r="24">
          <cell r="B24">
            <v>2036</v>
          </cell>
          <cell r="C24">
            <v>0</v>
          </cell>
          <cell r="D24"/>
          <cell r="E24">
            <v>18.617617259982023</v>
          </cell>
          <cell r="F24"/>
          <cell r="G24">
            <v>18.617617259982023</v>
          </cell>
        </row>
        <row r="25">
          <cell r="B25">
            <v>2037</v>
          </cell>
          <cell r="C25">
            <v>0</v>
          </cell>
          <cell r="D25"/>
          <cell r="E25">
            <v>21.994568596351431</v>
          </cell>
          <cell r="F25"/>
          <cell r="G25">
            <v>21.994568596351431</v>
          </cell>
        </row>
        <row r="26">
          <cell r="B26">
            <v>2038</v>
          </cell>
          <cell r="C26">
            <v>0</v>
          </cell>
          <cell r="D26"/>
          <cell r="E26">
            <v>24.684639357335303</v>
          </cell>
          <cell r="F26"/>
          <cell r="G26">
            <v>24.684639357335303</v>
          </cell>
        </row>
        <row r="27">
          <cell r="B27">
            <v>2039</v>
          </cell>
          <cell r="C27">
            <v>0</v>
          </cell>
          <cell r="D27"/>
          <cell r="E27">
            <v>26.442595434285685</v>
          </cell>
          <cell r="F27"/>
          <cell r="G27">
            <v>26.442595434285685</v>
          </cell>
        </row>
        <row r="28">
          <cell r="B28">
            <v>2040</v>
          </cell>
          <cell r="C28">
            <v>0</v>
          </cell>
          <cell r="D28"/>
          <cell r="E28">
            <v>28.143480903514813</v>
          </cell>
          <cell r="F28"/>
          <cell r="G28">
            <v>28.143480903514813</v>
          </cell>
        </row>
        <row r="29">
          <cell r="B29">
            <v>2041</v>
          </cell>
          <cell r="C29">
            <v>0</v>
          </cell>
          <cell r="D29"/>
          <cell r="E29">
            <v>32.318272907301818</v>
          </cell>
          <cell r="F29"/>
          <cell r="G29">
            <v>32.318272907301818</v>
          </cell>
        </row>
        <row r="30">
          <cell r="B30">
            <v>2042</v>
          </cell>
          <cell r="C30">
            <v>0</v>
          </cell>
          <cell r="D30"/>
          <cell r="E30">
            <v>39.904194811691788</v>
          </cell>
          <cell r="F30"/>
          <cell r="G30">
            <v>39.904194811691788</v>
          </cell>
        </row>
        <row r="31">
          <cell r="B31">
            <v>2043</v>
          </cell>
          <cell r="C31">
            <v>0</v>
          </cell>
          <cell r="D31"/>
          <cell r="E31">
            <v>41.464231628750873</v>
          </cell>
          <cell r="F31"/>
          <cell r="G31">
            <v>41.464231628750873</v>
          </cell>
        </row>
        <row r="32">
          <cell r="B32">
            <v>2044</v>
          </cell>
          <cell r="C32">
            <v>0</v>
          </cell>
          <cell r="D32"/>
          <cell r="E32">
            <v>42.377864003600841</v>
          </cell>
          <cell r="F32"/>
          <cell r="G32">
            <v>42.377864003600841</v>
          </cell>
        </row>
        <row r="33">
          <cell r="B33">
            <v>2045</v>
          </cell>
          <cell r="C33">
            <v>0</v>
          </cell>
          <cell r="D33"/>
          <cell r="E33">
            <v>43.301701438879348</v>
          </cell>
          <cell r="F33"/>
          <cell r="G33">
            <v>43.301701438879348</v>
          </cell>
        </row>
        <row r="50">
          <cell r="G50">
            <v>30.714239424333982</v>
          </cell>
        </row>
        <row r="55">
          <cell r="G55">
            <v>30.767297780981139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2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 refreshError="1"/>
      <sheetData sheetId="1">
        <row r="13">
          <cell r="B13">
            <v>2025</v>
          </cell>
          <cell r="C13">
            <v>0</v>
          </cell>
          <cell r="D13"/>
          <cell r="E13">
            <v>22.350193108767492</v>
          </cell>
          <cell r="F13"/>
          <cell r="G13">
            <v>22.350193108767492</v>
          </cell>
        </row>
        <row r="14">
          <cell r="B14">
            <v>2026</v>
          </cell>
          <cell r="C14">
            <v>0</v>
          </cell>
          <cell r="D14"/>
          <cell r="E14">
            <v>18.805022610472928</v>
          </cell>
          <cell r="F14"/>
          <cell r="G14">
            <v>18.805022610472928</v>
          </cell>
        </row>
        <row r="15">
          <cell r="B15">
            <v>2027</v>
          </cell>
          <cell r="C15">
            <v>0</v>
          </cell>
          <cell r="D15"/>
          <cell r="E15">
            <v>20.277380739824139</v>
          </cell>
          <cell r="F15"/>
          <cell r="G15">
            <v>20.277380739824139</v>
          </cell>
        </row>
        <row r="16">
          <cell r="B16">
            <v>2028</v>
          </cell>
          <cell r="C16">
            <v>0</v>
          </cell>
          <cell r="D16"/>
          <cell r="E16">
            <v>25.257324275670271</v>
          </cell>
          <cell r="F16"/>
          <cell r="G16">
            <v>25.257324275670271</v>
          </cell>
        </row>
        <row r="17">
          <cell r="B17">
            <v>2029</v>
          </cell>
          <cell r="C17">
            <v>0</v>
          </cell>
          <cell r="D17"/>
          <cell r="E17">
            <v>29.517810325172533</v>
          </cell>
          <cell r="F17"/>
          <cell r="G17">
            <v>29.517810325172533</v>
          </cell>
        </row>
        <row r="18">
          <cell r="B18">
            <v>2030</v>
          </cell>
          <cell r="C18">
            <v>0</v>
          </cell>
          <cell r="D18"/>
          <cell r="E18">
            <v>26.092167271460013</v>
          </cell>
          <cell r="F18"/>
          <cell r="G18">
            <v>26.092167271460013</v>
          </cell>
        </row>
        <row r="19">
          <cell r="B19">
            <v>2031</v>
          </cell>
          <cell r="C19">
            <v>0</v>
          </cell>
          <cell r="D19"/>
          <cell r="E19">
            <v>24.906961494461218</v>
          </cell>
          <cell r="F19"/>
          <cell r="G19">
            <v>24.906961494461218</v>
          </cell>
        </row>
        <row r="20">
          <cell r="B20">
            <v>2032</v>
          </cell>
          <cell r="C20">
            <v>110.82056892191042</v>
          </cell>
          <cell r="D20"/>
          <cell r="E20">
            <v>-16.62257142300879</v>
          </cell>
          <cell r="F20"/>
          <cell r="G20">
            <v>26.798406252808597</v>
          </cell>
        </row>
        <row r="21">
          <cell r="B21">
            <v>2033</v>
          </cell>
          <cell r="C21">
            <v>113.23645732573235</v>
          </cell>
          <cell r="D21"/>
          <cell r="E21">
            <v>-18.700369539453678</v>
          </cell>
          <cell r="F21"/>
          <cell r="G21">
            <v>25.915668804016615</v>
          </cell>
        </row>
        <row r="22">
          <cell r="B22">
            <v>2034</v>
          </cell>
          <cell r="C22">
            <v>115.70501217985183</v>
          </cell>
          <cell r="D22"/>
          <cell r="E22">
            <v>-19.588470826476502</v>
          </cell>
          <cell r="F22"/>
          <cell r="G22">
            <v>26.181067786802881</v>
          </cell>
        </row>
        <row r="23">
          <cell r="B23">
            <v>2035</v>
          </cell>
          <cell r="C23">
            <v>118.22738141573475</v>
          </cell>
          <cell r="D23"/>
          <cell r="E23">
            <v>-22.624916418574088</v>
          </cell>
          <cell r="F23"/>
          <cell r="G23">
            <v>24.428985398771871</v>
          </cell>
        </row>
        <row r="24">
          <cell r="B24">
            <v>2036</v>
          </cell>
          <cell r="C24">
            <v>120.80473833143708</v>
          </cell>
          <cell r="D24"/>
          <cell r="E24">
            <v>-23.100181944061951</v>
          </cell>
          <cell r="F24"/>
          <cell r="G24">
            <v>25.243653744118504</v>
          </cell>
        </row>
        <row r="25">
          <cell r="B25">
            <v>2037</v>
          </cell>
          <cell r="C25">
            <v>123.43828159160512</v>
          </cell>
          <cell r="D25"/>
          <cell r="E25">
            <v>-26.680235827805525</v>
          </cell>
          <cell r="F25"/>
          <cell r="G25">
            <v>22.910823719366007</v>
          </cell>
        </row>
        <row r="26">
          <cell r="B26">
            <v>2038</v>
          </cell>
          <cell r="C26">
            <v>126.12923616007058</v>
          </cell>
          <cell r="D26"/>
          <cell r="E26">
            <v>-33.074865980398364</v>
          </cell>
          <cell r="F26"/>
          <cell r="G26">
            <v>17.895981068038733</v>
          </cell>
        </row>
        <row r="27">
          <cell r="B27">
            <v>2039</v>
          </cell>
          <cell r="C27">
            <v>128.87885348636954</v>
          </cell>
          <cell r="D27"/>
          <cell r="E27">
            <v>-35.572884351942264</v>
          </cell>
          <cell r="F27"/>
          <cell r="G27">
            <v>16.75876177957629</v>
          </cell>
        </row>
        <row r="28">
          <cell r="B28">
            <v>2040</v>
          </cell>
          <cell r="C28">
            <v>131.68841253159732</v>
          </cell>
          <cell r="D28"/>
          <cell r="E28">
            <v>-38.321308248539665</v>
          </cell>
          <cell r="F28"/>
          <cell r="G28">
            <v>15.357217922710381</v>
          </cell>
        </row>
        <row r="29">
          <cell r="B29">
            <v>2041</v>
          </cell>
          <cell r="C29">
            <v>134.55921986166808</v>
          </cell>
          <cell r="D29"/>
          <cell r="E29">
            <v>-37.813192215229108</v>
          </cell>
          <cell r="F29"/>
          <cell r="G29">
            <v>17.373816256712139</v>
          </cell>
        </row>
        <row r="30">
          <cell r="B30">
            <v>2042</v>
          </cell>
          <cell r="C30">
            <v>137.49261085968848</v>
          </cell>
          <cell r="D30"/>
          <cell r="E30">
            <v>9.8668025391703704</v>
          </cell>
          <cell r="F30"/>
          <cell r="G30">
            <v>66.490475929579176</v>
          </cell>
        </row>
        <row r="31">
          <cell r="B31">
            <v>2043</v>
          </cell>
          <cell r="C31">
            <v>140.48994981921717</v>
          </cell>
          <cell r="D31"/>
          <cell r="E31">
            <v>8.7786895165869048</v>
          </cell>
          <cell r="F31"/>
          <cell r="G31">
            <v>66.942033579962271</v>
          </cell>
        </row>
        <row r="32">
          <cell r="B32">
            <v>2044</v>
          </cell>
          <cell r="C32">
            <v>143.55263069034112</v>
          </cell>
          <cell r="D32"/>
          <cell r="E32">
            <v>7.5547435766890976</v>
          </cell>
          <cell r="F32"/>
          <cell r="G32">
            <v>67.337411232185559</v>
          </cell>
        </row>
        <row r="33">
          <cell r="B33">
            <v>2045</v>
          </cell>
          <cell r="C33">
            <v>146.68207810553019</v>
          </cell>
          <cell r="D33"/>
          <cell r="E33">
            <v>7.7194369866609209</v>
          </cell>
          <cell r="F33"/>
          <cell r="G33">
            <v>68.805366824591147</v>
          </cell>
        </row>
        <row r="50">
          <cell r="G50">
            <v>23.594155413121335</v>
          </cell>
        </row>
        <row r="55">
          <cell r="G55">
            <v>23.406850785686593</v>
          </cell>
        </row>
      </sheetData>
      <sheetData sheetId="2" refreshError="1"/>
      <sheetData sheetId="3" refreshError="1"/>
      <sheetData sheetId="4">
        <row r="16">
          <cell r="L16">
            <v>2025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3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21.154885640082693</v>
          </cell>
          <cell r="F13"/>
          <cell r="G13">
            <v>21.154885640082693</v>
          </cell>
        </row>
        <row r="14">
          <cell r="B14">
            <v>2026</v>
          </cell>
          <cell r="C14">
            <v>0</v>
          </cell>
          <cell r="D14"/>
          <cell r="E14">
            <v>21.545523249108886</v>
          </cell>
          <cell r="F14"/>
          <cell r="G14">
            <v>21.545523249108886</v>
          </cell>
        </row>
        <row r="15">
          <cell r="B15">
            <v>2027</v>
          </cell>
          <cell r="C15">
            <v>0</v>
          </cell>
          <cell r="D15"/>
          <cell r="E15">
            <v>22.427784831136986</v>
          </cell>
          <cell r="F15"/>
          <cell r="G15">
            <v>22.427784831136986</v>
          </cell>
        </row>
        <row r="16">
          <cell r="B16">
            <v>2028</v>
          </cell>
          <cell r="C16">
            <v>89.189967231151243</v>
          </cell>
          <cell r="D16"/>
          <cell r="E16">
            <v>-21.846334811023517</v>
          </cell>
          <cell r="F16"/>
          <cell r="G16">
            <v>11.772687535752466</v>
          </cell>
        </row>
        <row r="17">
          <cell r="B17">
            <v>2029</v>
          </cell>
          <cell r="C17">
            <v>91.134308538668677</v>
          </cell>
          <cell r="D17"/>
          <cell r="E17">
            <v>-14.0844636290689</v>
          </cell>
          <cell r="F17"/>
          <cell r="G17">
            <v>20.277946587189057</v>
          </cell>
        </row>
        <row r="18">
          <cell r="B18">
            <v>2030</v>
          </cell>
          <cell r="C18">
            <v>93.121036416816807</v>
          </cell>
          <cell r="D18"/>
          <cell r="E18">
            <v>-9.4349646863498595</v>
          </cell>
          <cell r="F18"/>
          <cell r="G18">
            <v>25.62298655336992</v>
          </cell>
        </row>
        <row r="19">
          <cell r="B19">
            <v>2031</v>
          </cell>
          <cell r="C19">
            <v>95.151075007463405</v>
          </cell>
          <cell r="D19"/>
          <cell r="E19">
            <v>-30.862533798306298</v>
          </cell>
          <cell r="F19"/>
          <cell r="G19">
            <v>4.9395736503385121</v>
          </cell>
        </row>
        <row r="20">
          <cell r="B20">
            <v>2032</v>
          </cell>
          <cell r="C20">
            <v>97.225368416231404</v>
          </cell>
          <cell r="D20"/>
          <cell r="E20">
            <v>-36.572312167997147</v>
          </cell>
          <cell r="F20"/>
          <cell r="G20">
            <v>1.7579644519524651E-2</v>
          </cell>
        </row>
        <row r="21">
          <cell r="B21">
            <v>2033</v>
          </cell>
          <cell r="C21">
            <v>99.344881448867056</v>
          </cell>
          <cell r="D21"/>
          <cell r="E21">
            <v>-37.678040679213801</v>
          </cell>
          <cell r="F21"/>
          <cell r="G21">
            <v>-0.23125273711936636</v>
          </cell>
        </row>
        <row r="22">
          <cell r="B22">
            <v>2034</v>
          </cell>
          <cell r="C22">
            <v>101.51059993851462</v>
          </cell>
          <cell r="D22"/>
          <cell r="E22">
            <v>-38.635796368957358</v>
          </cell>
          <cell r="F22"/>
          <cell r="G22">
            <v>-0.38227069588443002</v>
          </cell>
        </row>
        <row r="23">
          <cell r="B23">
            <v>2035</v>
          </cell>
          <cell r="C23">
            <v>103.72353099117227</v>
          </cell>
          <cell r="D23"/>
          <cell r="E23">
            <v>-38.507249246341331</v>
          </cell>
          <cell r="F23"/>
          <cell r="G23">
            <v>0.60195757322987842</v>
          </cell>
        </row>
        <row r="24">
          <cell r="B24">
            <v>2036</v>
          </cell>
          <cell r="C24">
            <v>105.98470396751618</v>
          </cell>
          <cell r="D24"/>
          <cell r="E24">
            <v>-30.763298196711318</v>
          </cell>
          <cell r="F24"/>
          <cell r="G24">
            <v>9.1906779543932142</v>
          </cell>
        </row>
        <row r="25">
          <cell r="B25">
            <v>2037</v>
          </cell>
          <cell r="C25">
            <v>108.29517048290059</v>
          </cell>
          <cell r="D25"/>
          <cell r="E25">
            <v>-28.635250834374286</v>
          </cell>
          <cell r="F25"/>
          <cell r="G25">
            <v>12.12066129365685</v>
          </cell>
        </row>
        <row r="26">
          <cell r="B26">
            <v>2038</v>
          </cell>
          <cell r="C26">
            <v>110.65600522554435</v>
          </cell>
          <cell r="D26"/>
          <cell r="E26">
            <v>7.6073615756468556</v>
          </cell>
          <cell r="F26"/>
          <cell r="G26">
            <v>49.317057479612757</v>
          </cell>
        </row>
        <row r="27">
          <cell r="B27">
            <v>2039</v>
          </cell>
          <cell r="C27">
            <v>113.06830612016836</v>
          </cell>
          <cell r="D27"/>
          <cell r="E27">
            <v>9.4620738944147806</v>
          </cell>
          <cell r="F27"/>
          <cell r="G27">
            <v>52.081732003655489</v>
          </cell>
        </row>
        <row r="28">
          <cell r="B28">
            <v>2040</v>
          </cell>
          <cell r="C28">
            <v>115.53319522800095</v>
          </cell>
          <cell r="D28"/>
          <cell r="E28">
            <v>10.509141261321737</v>
          </cell>
          <cell r="F28"/>
          <cell r="G28">
            <v>54.046979205570146</v>
          </cell>
        </row>
        <row r="29">
          <cell r="B29">
            <v>2041</v>
          </cell>
          <cell r="C29">
            <v>118.0518188285965</v>
          </cell>
          <cell r="D29"/>
          <cell r="E29">
            <v>13.070111512817622</v>
          </cell>
          <cell r="F29"/>
          <cell r="G29">
            <v>57.513935030075714</v>
          </cell>
        </row>
        <row r="30">
          <cell r="B30">
            <v>2042</v>
          </cell>
          <cell r="C30">
            <v>120.62534848347812</v>
          </cell>
          <cell r="D30"/>
          <cell r="E30">
            <v>19.228652011733924</v>
          </cell>
          <cell r="F30"/>
          <cell r="G30">
            <v>64.615860586066532</v>
          </cell>
        </row>
        <row r="31">
          <cell r="B31">
            <v>2043</v>
          </cell>
          <cell r="C31">
            <v>123.25498111795635</v>
          </cell>
          <cell r="D31"/>
          <cell r="E31">
            <v>19.414727777975919</v>
          </cell>
          <cell r="F31"/>
          <cell r="G31">
            <v>65.800629913646304</v>
          </cell>
        </row>
        <row r="32">
          <cell r="B32">
            <v>2044</v>
          </cell>
          <cell r="C32">
            <v>125.94193967567853</v>
          </cell>
          <cell r="D32"/>
          <cell r="E32">
            <v>20.379676531252841</v>
          </cell>
          <cell r="F32"/>
          <cell r="G32">
            <v>67.851117369201532</v>
          </cell>
        </row>
        <row r="33">
          <cell r="B33">
            <v>2045</v>
          </cell>
          <cell r="C33">
            <v>128.68747401863411</v>
          </cell>
          <cell r="D33"/>
          <cell r="E33">
            <v>20.823953479634152</v>
          </cell>
          <cell r="F33"/>
          <cell r="G33">
            <v>69.330271749721845</v>
          </cell>
        </row>
        <row r="50">
          <cell r="G50">
            <v>16.213279726653216</v>
          </cell>
        </row>
        <row r="55">
          <cell r="G55">
            <v>17.272508062316859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C629-CD10-4CF1-BD44-1F896E63DA40}">
  <sheetPr>
    <pageSetUpPr fitToPage="1"/>
  </sheetPr>
  <dimension ref="A1:P46"/>
  <sheetViews>
    <sheetView showGridLines="0" tabSelected="1" view="pageBreakPreview" zoomScale="80" zoomScaleNormal="90" zoomScaleSheetLayoutView="80" workbookViewId="0"/>
  </sheetViews>
  <sheetFormatPr defaultColWidth="9.33203125" defaultRowHeight="12.75"/>
  <cols>
    <col min="1" max="1" width="14" style="44" customWidth="1"/>
    <col min="2" max="2" width="17.33203125" style="44" customWidth="1"/>
    <col min="3" max="3" width="13.6640625" style="44" customWidth="1"/>
    <col min="4" max="4" width="15.33203125" style="44" customWidth="1"/>
    <col min="5" max="5" width="16.33203125" style="44" customWidth="1"/>
    <col min="6" max="6" width="13.6640625" style="44" customWidth="1"/>
    <col min="7" max="7" width="16.33203125" style="44" customWidth="1"/>
    <col min="8" max="9" width="13.6640625" style="44" customWidth="1"/>
    <col min="10" max="10" width="16" style="44" customWidth="1"/>
    <col min="11" max="11" width="13.6640625" style="44" customWidth="1"/>
    <col min="12" max="12" width="9.33203125" style="44" customWidth="1"/>
    <col min="13" max="14" width="27.5" style="44" customWidth="1"/>
    <col min="15" max="15" width="35.1640625" style="44" customWidth="1"/>
    <col min="16" max="16" width="28.6640625" style="44" customWidth="1"/>
    <col min="17" max="16384" width="9.33203125" style="44"/>
  </cols>
  <sheetData>
    <row r="1" spans="2:16" ht="15.75">
      <c r="B1" s="399" t="s">
        <v>396</v>
      </c>
      <c r="C1" s="400"/>
      <c r="D1" s="400"/>
      <c r="E1" s="400"/>
      <c r="F1" s="400"/>
      <c r="G1" s="400"/>
      <c r="H1" s="400"/>
      <c r="I1" s="401"/>
      <c r="J1" s="401"/>
      <c r="K1" s="401"/>
    </row>
    <row r="2" spans="2:16" ht="9" customHeight="1">
      <c r="B2" s="399"/>
      <c r="C2" s="400"/>
      <c r="D2" s="400"/>
      <c r="E2" s="400"/>
      <c r="F2" s="400"/>
      <c r="G2" s="400"/>
      <c r="H2" s="400"/>
      <c r="I2" s="401"/>
      <c r="J2" s="401"/>
      <c r="K2" s="401"/>
    </row>
    <row r="3" spans="2:16" ht="15.75">
      <c r="B3" s="402" t="s">
        <v>377</v>
      </c>
      <c r="C3" s="402"/>
      <c r="D3" s="402"/>
      <c r="E3" s="402"/>
      <c r="F3" s="402"/>
      <c r="G3" s="402"/>
      <c r="H3" s="402"/>
      <c r="I3" s="399"/>
      <c r="J3" s="399"/>
      <c r="K3" s="399"/>
    </row>
    <row r="4" spans="2:16" ht="15.75">
      <c r="B4" s="4" t="s">
        <v>378</v>
      </c>
      <c r="C4" s="402"/>
      <c r="D4" s="402"/>
      <c r="E4" s="402"/>
      <c r="F4" s="402"/>
      <c r="G4" s="402"/>
      <c r="H4" s="402"/>
      <c r="I4" s="399"/>
      <c r="J4" s="399"/>
      <c r="K4" s="399"/>
    </row>
    <row r="5" spans="2:16" ht="16.5" customHeight="1">
      <c r="C5" s="403" t="s">
        <v>379</v>
      </c>
      <c r="D5" s="404" t="s">
        <v>380</v>
      </c>
      <c r="E5" s="405" t="s">
        <v>381</v>
      </c>
      <c r="F5" s="403" t="s">
        <v>379</v>
      </c>
      <c r="G5" s="404" t="s">
        <v>380</v>
      </c>
      <c r="H5" s="405" t="s">
        <v>381</v>
      </c>
      <c r="I5" s="403" t="s">
        <v>379</v>
      </c>
      <c r="J5" s="404" t="s">
        <v>380</v>
      </c>
      <c r="K5" s="405" t="s">
        <v>381</v>
      </c>
      <c r="M5" s="406"/>
      <c r="N5" s="406"/>
      <c r="P5" s="406"/>
    </row>
    <row r="6" spans="2:16">
      <c r="B6" s="407" t="s">
        <v>0</v>
      </c>
      <c r="C6" s="408" t="s">
        <v>382</v>
      </c>
      <c r="D6" s="409" t="str">
        <f>C6</f>
        <v>UT 2025.Q2</v>
      </c>
      <c r="E6" s="410" t="str">
        <f>C6</f>
        <v>UT 2025.Q2</v>
      </c>
      <c r="F6" s="408" t="s">
        <v>383</v>
      </c>
      <c r="G6" s="409" t="str">
        <f>F6</f>
        <v>UT 2025.Q1</v>
      </c>
      <c r="H6" s="410" t="str">
        <f>G6</f>
        <v>UT 2025.Q1</v>
      </c>
      <c r="I6" s="411"/>
      <c r="J6" s="412"/>
      <c r="K6" s="413"/>
      <c r="L6" s="414"/>
    </row>
    <row r="7" spans="2:16">
      <c r="B7" s="407"/>
      <c r="C7" s="415" t="s">
        <v>384</v>
      </c>
      <c r="D7" s="416" t="s">
        <v>385</v>
      </c>
      <c r="E7" s="417" t="s">
        <v>386</v>
      </c>
      <c r="F7" s="415" t="s">
        <v>384</v>
      </c>
      <c r="G7" s="416" t="s">
        <v>385</v>
      </c>
      <c r="H7" s="417" t="s">
        <v>386</v>
      </c>
      <c r="I7" s="418" t="s">
        <v>387</v>
      </c>
      <c r="J7" s="419" t="s">
        <v>387</v>
      </c>
      <c r="K7" s="420" t="s">
        <v>387</v>
      </c>
    </row>
    <row r="8" spans="2:16" ht="55.5" customHeight="1">
      <c r="B8" s="421"/>
      <c r="C8" s="443" t="s">
        <v>388</v>
      </c>
      <c r="D8" s="444"/>
      <c r="E8" s="445"/>
      <c r="F8" s="446" t="s">
        <v>389</v>
      </c>
      <c r="G8" s="447"/>
      <c r="H8" s="448"/>
      <c r="I8" s="443" t="s">
        <v>390</v>
      </c>
      <c r="J8" s="444"/>
      <c r="K8" s="445"/>
      <c r="L8" s="422"/>
    </row>
    <row r="9" spans="2:16">
      <c r="B9" s="421">
        <v>2025</v>
      </c>
      <c r="C9" s="423">
        <f>VLOOKUP($B9,'[1]Table 1'!$B$13:$G$33,6,FALSE)</f>
        <v>28.868448831015229</v>
      </c>
      <c r="D9" s="424">
        <f ca="1">VLOOKUP($B9,'Table 1'!$B$13:$G$33,6,FALSE)</f>
        <v>21.550799899865304</v>
      </c>
      <c r="E9" s="425">
        <f>VLOOKUP($B9,'[2]Table 1'!$B$13:$G$33,6,FALSE)</f>
        <v>20.42372122848073</v>
      </c>
      <c r="F9" s="423">
        <f>VLOOKUP($B9,'[3]Table 1'!$B$13:$G$33,6,FALSE)</f>
        <v>29.249964710080672</v>
      </c>
      <c r="G9" s="424">
        <f>VLOOKUP($B9,'[4]Table 1'!$B$13:$G$33,6,FALSE)</f>
        <v>22.350193108767492</v>
      </c>
      <c r="H9" s="425">
        <f>VLOOKUP($B9,'[5]Table 1'!$B$13:$G$33,6,FALSE)</f>
        <v>21.154885640082693</v>
      </c>
      <c r="I9" s="423">
        <f t="shared" ref="I9:I25" si="0">C9-F9</f>
        <v>-0.38151587906544293</v>
      </c>
      <c r="J9" s="424">
        <f t="shared" ref="J9:J25" ca="1" si="1">D9-G9</f>
        <v>-0.79939320890218823</v>
      </c>
      <c r="K9" s="425">
        <f t="shared" ref="K9:K25" si="2">E9-H9</f>
        <v>-0.73116441160196288</v>
      </c>
      <c r="L9" s="426"/>
      <c r="M9" s="427"/>
      <c r="N9" s="427"/>
      <c r="O9" s="427"/>
      <c r="P9" s="427"/>
    </row>
    <row r="10" spans="2:16">
      <c r="B10" s="428">
        <f>B9+1</f>
        <v>2026</v>
      </c>
      <c r="C10" s="429">
        <f>VLOOKUP($B10,'[1]Table 1'!$B$13:$G$33,6,FALSE)</f>
        <v>32.353774344641096</v>
      </c>
      <c r="D10" s="427">
        <f ca="1">VLOOKUP($B10,'Table 1'!$B$13:$G$33,6,FALSE)</f>
        <v>20.647965312720938</v>
      </c>
      <c r="E10" s="430">
        <f>VLOOKUP($B10,'[2]Table 1'!$B$13:$G$33,6,FALSE)</f>
        <v>23.749161907663424</v>
      </c>
      <c r="F10" s="429">
        <f>VLOOKUP($B10,'[3]Table 1'!$B$13:$G$33,6,FALSE)</f>
        <v>29.599085968869868</v>
      </c>
      <c r="G10" s="427">
        <f>VLOOKUP($B10,'[4]Table 1'!$B$13:$G$33,6,FALSE)</f>
        <v>18.805022610472928</v>
      </c>
      <c r="H10" s="430">
        <f>VLOOKUP($B10,'[5]Table 1'!$B$13:$G$33,6,FALSE)</f>
        <v>21.545523249108886</v>
      </c>
      <c r="I10" s="429">
        <f t="shared" si="0"/>
        <v>2.7546883757712273</v>
      </c>
      <c r="J10" s="427">
        <f t="shared" ca="1" si="1"/>
        <v>1.8429427022480098</v>
      </c>
      <c r="K10" s="430">
        <f t="shared" si="2"/>
        <v>2.2036386585545387</v>
      </c>
      <c r="L10" s="426"/>
      <c r="M10" s="427"/>
      <c r="N10" s="427"/>
      <c r="O10" s="427"/>
      <c r="P10" s="427"/>
    </row>
    <row r="11" spans="2:16">
      <c r="B11" s="428">
        <f t="shared" ref="B11:B25" si="3">B10+1</f>
        <v>2027</v>
      </c>
      <c r="C11" s="429">
        <f>VLOOKUP($B11,'[1]Table 1'!$B$13:$G$33,6,FALSE)</f>
        <v>31.058790552498873</v>
      </c>
      <c r="D11" s="427">
        <f ca="1">VLOOKUP($B11,'Table 1'!$B$13:$G$33,6,FALSE)</f>
        <v>22.605025980963109</v>
      </c>
      <c r="E11" s="430">
        <f>VLOOKUP($B11,'[2]Table 1'!$B$13:$G$33,6,FALSE)</f>
        <v>24.780860656754999</v>
      </c>
      <c r="F11" s="429">
        <f>VLOOKUP($B11,'[3]Table 1'!$B$13:$G$33,6,FALSE)</f>
        <v>28.307460946968099</v>
      </c>
      <c r="G11" s="427">
        <f>VLOOKUP($B11,'[4]Table 1'!$B$13:$G$33,6,FALSE)</f>
        <v>20.277380739824139</v>
      </c>
      <c r="H11" s="430">
        <f>VLOOKUP($B11,'[5]Table 1'!$B$13:$G$33,6,FALSE)</f>
        <v>22.427784831136986</v>
      </c>
      <c r="I11" s="429">
        <f t="shared" si="0"/>
        <v>2.7513296055307741</v>
      </c>
      <c r="J11" s="427">
        <f t="shared" ca="1" si="1"/>
        <v>2.3276452411389705</v>
      </c>
      <c r="K11" s="430">
        <f t="shared" si="2"/>
        <v>2.3530758256180135</v>
      </c>
      <c r="L11" s="426"/>
      <c r="M11" s="427"/>
      <c r="N11" s="427"/>
      <c r="O11" s="427"/>
      <c r="P11" s="427"/>
    </row>
    <row r="12" spans="2:16">
      <c r="B12" s="428">
        <f t="shared" si="3"/>
        <v>2028</v>
      </c>
      <c r="C12" s="429">
        <f>VLOOKUP($B12,'[1]Table 1'!$B$13:$G$33,6,FALSE)</f>
        <v>34.687855803338863</v>
      </c>
      <c r="D12" s="427">
        <f ca="1">VLOOKUP($B12,'Table 1'!$B$13:$G$33,6,FALSE)</f>
        <v>25.610755979825655</v>
      </c>
      <c r="E12" s="430">
        <f>VLOOKUP($B12,'[2]Table 1'!$B$13:$G$33,6,FALSE)</f>
        <v>11.290326577174859</v>
      </c>
      <c r="F12" s="429">
        <f>VLOOKUP($B12,'[3]Table 1'!$B$13:$G$33,6,FALSE)</f>
        <v>33.822604017533571</v>
      </c>
      <c r="G12" s="427">
        <f>VLOOKUP($B12,'[4]Table 1'!$B$13:$G$33,6,FALSE)</f>
        <v>25.257324275670271</v>
      </c>
      <c r="H12" s="430">
        <f>VLOOKUP($B12,'[5]Table 1'!$B$13:$G$33,6,FALSE)</f>
        <v>11.772687535752466</v>
      </c>
      <c r="I12" s="429">
        <f t="shared" si="0"/>
        <v>0.86525178580529172</v>
      </c>
      <c r="J12" s="427">
        <f t="shared" ca="1" si="1"/>
        <v>0.35343170415538339</v>
      </c>
      <c r="K12" s="430">
        <f t="shared" si="2"/>
        <v>-0.48236095857760652</v>
      </c>
      <c r="L12" s="426"/>
      <c r="M12" s="427"/>
      <c r="N12" s="427"/>
      <c r="O12" s="427"/>
      <c r="P12" s="427"/>
    </row>
    <row r="13" spans="2:16">
      <c r="B13" s="428">
        <f t="shared" si="3"/>
        <v>2029</v>
      </c>
      <c r="C13" s="429">
        <f>VLOOKUP($B13,'[1]Table 1'!$B$13:$G$33,6,FALSE)</f>
        <v>38.396625148377744</v>
      </c>
      <c r="D13" s="427">
        <f ca="1">VLOOKUP($B13,'Table 1'!$B$13:$G$33,6,FALSE)</f>
        <v>29.100644721636929</v>
      </c>
      <c r="E13" s="430">
        <f>VLOOKUP($B13,'[2]Table 1'!$B$13:$G$33,6,FALSE)</f>
        <v>19.365052244114942</v>
      </c>
      <c r="F13" s="429">
        <f>VLOOKUP($B13,'[3]Table 1'!$B$13:$G$33,6,FALSE)</f>
        <v>38.901852011534586</v>
      </c>
      <c r="G13" s="427">
        <f>VLOOKUP($B13,'[4]Table 1'!$B$13:$G$33,6,FALSE)</f>
        <v>29.517810325172533</v>
      </c>
      <c r="H13" s="430">
        <f>VLOOKUP($B13,'[5]Table 1'!$B$13:$G$33,6,FALSE)</f>
        <v>20.277946587189057</v>
      </c>
      <c r="I13" s="429">
        <f t="shared" si="0"/>
        <v>-0.5052268631568424</v>
      </c>
      <c r="J13" s="427">
        <f t="shared" ca="1" si="1"/>
        <v>-0.41716560353560439</v>
      </c>
      <c r="K13" s="430">
        <f t="shared" si="2"/>
        <v>-0.91289434307411454</v>
      </c>
      <c r="L13" s="426"/>
      <c r="M13" s="427"/>
      <c r="N13" s="427"/>
      <c r="O13" s="427"/>
      <c r="P13" s="427"/>
    </row>
    <row r="14" spans="2:16">
      <c r="B14" s="428">
        <f t="shared" si="3"/>
        <v>2030</v>
      </c>
      <c r="C14" s="429">
        <f>VLOOKUP($B14,'[1]Table 1'!$B$13:$G$33,6,FALSE)</f>
        <v>36.036480313706036</v>
      </c>
      <c r="D14" s="427">
        <f ca="1">VLOOKUP($B14,'Table 1'!$B$13:$G$33,6,FALSE)</f>
        <v>25.9827329067299</v>
      </c>
      <c r="E14" s="430">
        <f>VLOOKUP($B14,'[2]Table 1'!$B$13:$G$33,6,FALSE)</f>
        <v>24.577947148307754</v>
      </c>
      <c r="F14" s="429">
        <f>VLOOKUP($B14,'[3]Table 1'!$B$13:$G$33,6,FALSE)</f>
        <v>36.026635507539211</v>
      </c>
      <c r="G14" s="427">
        <f>VLOOKUP($B14,'[4]Table 1'!$B$13:$G$33,6,FALSE)</f>
        <v>26.092167271460013</v>
      </c>
      <c r="H14" s="430">
        <f>VLOOKUP($B14,'[5]Table 1'!$B$13:$G$33,6,FALSE)</f>
        <v>25.62298655336992</v>
      </c>
      <c r="I14" s="429">
        <f t="shared" si="0"/>
        <v>9.8448061668250375E-3</v>
      </c>
      <c r="J14" s="427">
        <f t="shared" ca="1" si="1"/>
        <v>-0.10943436473011303</v>
      </c>
      <c r="K14" s="430">
        <f t="shared" si="2"/>
        <v>-1.0450394050621661</v>
      </c>
      <c r="L14" s="426"/>
      <c r="M14" s="427"/>
      <c r="N14" s="427"/>
      <c r="O14" s="427"/>
      <c r="P14" s="427"/>
    </row>
    <row r="15" spans="2:16">
      <c r="B15" s="428">
        <f t="shared" si="3"/>
        <v>2031</v>
      </c>
      <c r="C15" s="429">
        <f>VLOOKUP($B15,'[1]Table 1'!$B$13:$G$33,6,FALSE)</f>
        <v>37.37103262123113</v>
      </c>
      <c r="D15" s="427">
        <f ca="1">VLOOKUP($B15,'Table 1'!$B$13:$G$33,6,FALSE)</f>
        <v>24.920194588007408</v>
      </c>
      <c r="E15" s="430">
        <f>VLOOKUP($B15,'[2]Table 1'!$B$13:$G$33,6,FALSE)</f>
        <v>3.7148699993605816</v>
      </c>
      <c r="F15" s="429">
        <f>VLOOKUP($B15,'[3]Table 1'!$B$13:$G$33,6,FALSE)</f>
        <v>36.901500109791989</v>
      </c>
      <c r="G15" s="427">
        <f>VLOOKUP($B15,'[4]Table 1'!$B$13:$G$33,6,FALSE)</f>
        <v>24.906961494461218</v>
      </c>
      <c r="H15" s="430">
        <f>VLOOKUP($B15,'[5]Table 1'!$B$13:$G$33,6,FALSE)</f>
        <v>4.9395736503385121</v>
      </c>
      <c r="I15" s="429">
        <f t="shared" si="0"/>
        <v>0.46953251143914088</v>
      </c>
      <c r="J15" s="427">
        <f t="shared" ca="1" si="1"/>
        <v>1.3233093546190844E-2</v>
      </c>
      <c r="K15" s="430">
        <f t="shared" si="2"/>
        <v>-1.2247036509779305</v>
      </c>
      <c r="L15" s="426"/>
      <c r="M15" s="427"/>
      <c r="N15" s="427"/>
      <c r="O15" s="427"/>
      <c r="P15" s="427"/>
    </row>
    <row r="16" spans="2:16">
      <c r="B16" s="428">
        <f t="shared" si="3"/>
        <v>2032</v>
      </c>
      <c r="C16" s="429">
        <f>VLOOKUP($B16,'[1]Table 1'!$B$13:$G$33,6,FALSE)</f>
        <v>33.929362391951678</v>
      </c>
      <c r="D16" s="427">
        <f ca="1">VLOOKUP($B16,'Table 1'!$B$13:$G$33,6,FALSE)</f>
        <v>30.320948119467911</v>
      </c>
      <c r="E16" s="430">
        <f>VLOOKUP($B16,'[2]Table 1'!$B$13:$G$33,6,FALSE)</f>
        <v>-0.73457219784218364</v>
      </c>
      <c r="F16" s="429">
        <f>VLOOKUP($B16,'[3]Table 1'!$B$13:$G$33,6,FALSE)</f>
        <v>32.862978897402343</v>
      </c>
      <c r="G16" s="427">
        <f>VLOOKUP($B16,'[4]Table 1'!$B$13:$G$33,6,FALSE)</f>
        <v>26.798406252808597</v>
      </c>
      <c r="H16" s="430">
        <f>VLOOKUP($B16,'[5]Table 1'!$B$13:$G$33,6,FALSE)</f>
        <v>1.7579644519524651E-2</v>
      </c>
      <c r="I16" s="429">
        <f t="shared" si="0"/>
        <v>1.0663834945493349</v>
      </c>
      <c r="J16" s="427">
        <f t="shared" ca="1" si="1"/>
        <v>3.5225418666593136</v>
      </c>
      <c r="K16" s="430">
        <f t="shared" si="2"/>
        <v>-0.75215184236170829</v>
      </c>
      <c r="L16" s="426"/>
      <c r="M16" s="427"/>
      <c r="N16" s="427"/>
      <c r="O16" s="427"/>
      <c r="P16" s="427"/>
    </row>
    <row r="17" spans="1:16">
      <c r="B17" s="428">
        <f t="shared" si="3"/>
        <v>2033</v>
      </c>
      <c r="C17" s="429">
        <f>VLOOKUP($B17,'[1]Table 1'!$B$13:$G$33,6,FALSE)</f>
        <v>32.311215799894278</v>
      </c>
      <c r="D17" s="427">
        <f ca="1">VLOOKUP($B17,'Table 1'!$B$13:$G$33,6,FALSE)</f>
        <v>29.525222262295625</v>
      </c>
      <c r="E17" s="430">
        <f>VLOOKUP($B17,'[2]Table 1'!$B$13:$G$33,6,FALSE)</f>
        <v>-1.0184150763211386</v>
      </c>
      <c r="F17" s="429">
        <f>VLOOKUP($B17,'[3]Table 1'!$B$13:$G$33,6,FALSE)</f>
        <v>31.298849468642072</v>
      </c>
      <c r="G17" s="427">
        <f>VLOOKUP($B17,'[4]Table 1'!$B$13:$G$33,6,FALSE)</f>
        <v>25.915668804016615</v>
      </c>
      <c r="H17" s="430">
        <f>VLOOKUP($B17,'[5]Table 1'!$B$13:$G$33,6,FALSE)</f>
        <v>-0.23125273711936636</v>
      </c>
      <c r="I17" s="429">
        <f t="shared" si="0"/>
        <v>1.0123663312522062</v>
      </c>
      <c r="J17" s="427">
        <f t="shared" ca="1" si="1"/>
        <v>3.6095534582790094</v>
      </c>
      <c r="K17" s="430">
        <f t="shared" si="2"/>
        <v>-0.78716233920177225</v>
      </c>
      <c r="L17" s="426"/>
      <c r="M17" s="427"/>
      <c r="N17" s="427"/>
      <c r="O17" s="427"/>
      <c r="P17" s="427"/>
    </row>
    <row r="18" spans="1:16">
      <c r="B18" s="428">
        <f t="shared" si="3"/>
        <v>2034</v>
      </c>
      <c r="C18" s="429">
        <f>VLOOKUP($B18,'[1]Table 1'!$B$13:$G$33,6,FALSE)</f>
        <v>32.266656254866341</v>
      </c>
      <c r="D18" s="427">
        <f ca="1">VLOOKUP($B18,'Table 1'!$B$13:$G$33,6,FALSE)</f>
        <v>29.372127345898683</v>
      </c>
      <c r="E18" s="430">
        <f>VLOOKUP($B18,'[2]Table 1'!$B$13:$G$33,6,FALSE)</f>
        <v>-1.4053079081557485</v>
      </c>
      <c r="F18" s="429">
        <f>VLOOKUP($B18,'[3]Table 1'!$B$13:$G$33,6,FALSE)</f>
        <v>31.226711407526786</v>
      </c>
      <c r="G18" s="427">
        <f>VLOOKUP($B18,'[4]Table 1'!$B$13:$G$33,6,FALSE)</f>
        <v>26.181067786802881</v>
      </c>
      <c r="H18" s="430">
        <f>VLOOKUP($B18,'[5]Table 1'!$B$13:$G$33,6,FALSE)</f>
        <v>-0.38227069588443002</v>
      </c>
      <c r="I18" s="429">
        <f t="shared" si="0"/>
        <v>1.0399448473395552</v>
      </c>
      <c r="J18" s="427">
        <f t="shared" ca="1" si="1"/>
        <v>3.1910595590958017</v>
      </c>
      <c r="K18" s="430">
        <f t="shared" si="2"/>
        <v>-1.0230372122713185</v>
      </c>
      <c r="L18" s="426"/>
      <c r="M18" s="427"/>
      <c r="N18" s="427"/>
      <c r="O18" s="427"/>
      <c r="P18" s="427"/>
    </row>
    <row r="19" spans="1:16">
      <c r="B19" s="428">
        <f t="shared" si="3"/>
        <v>2035</v>
      </c>
      <c r="C19" s="429">
        <f>VLOOKUP($B19,'[1]Table 1'!$B$13:$G$33,6,FALSE)</f>
        <v>32.793055072863851</v>
      </c>
      <c r="D19" s="427">
        <f ca="1">VLOOKUP($B19,'Table 1'!$B$13:$G$33,6,FALSE)</f>
        <v>27.713388819081466</v>
      </c>
      <c r="E19" s="430">
        <f>VLOOKUP($B19,'[2]Table 1'!$B$13:$G$33,6,FALSE)</f>
        <v>-0.87427677080226451</v>
      </c>
      <c r="F19" s="429">
        <f>VLOOKUP($B19,'[3]Table 1'!$B$13:$G$33,6,FALSE)</f>
        <v>32.189249794702775</v>
      </c>
      <c r="G19" s="427">
        <f>VLOOKUP($B19,'[4]Table 1'!$B$13:$G$33,6,FALSE)</f>
        <v>24.428985398771871</v>
      </c>
      <c r="H19" s="430">
        <f>VLOOKUP($B19,'[5]Table 1'!$B$13:$G$33,6,FALSE)</f>
        <v>0.60195757322987842</v>
      </c>
      <c r="I19" s="429">
        <f t="shared" si="0"/>
        <v>0.60380527816107588</v>
      </c>
      <c r="J19" s="427">
        <f t="shared" ca="1" si="1"/>
        <v>3.2844034203095944</v>
      </c>
      <c r="K19" s="430">
        <f t="shared" si="2"/>
        <v>-1.476234344032143</v>
      </c>
      <c r="L19" s="426"/>
      <c r="M19" s="427"/>
      <c r="N19" s="427"/>
      <c r="O19" s="427"/>
      <c r="P19" s="427"/>
    </row>
    <row r="20" spans="1:16">
      <c r="B20" s="428">
        <f t="shared" si="3"/>
        <v>2036</v>
      </c>
      <c r="C20" s="429">
        <f>VLOOKUP($B20,'[1]Table 1'!$B$13:$G$33,6,FALSE)</f>
        <v>18.689452232871812</v>
      </c>
      <c r="D20" s="427">
        <f ca="1">VLOOKUP($B20,'Table 1'!$B$13:$G$33,6,FALSE)</f>
        <v>28.914139807695033</v>
      </c>
      <c r="E20" s="430">
        <f>VLOOKUP($B20,'[2]Table 1'!$B$13:$G$33,6,FALSE)</f>
        <v>7.9007581844606412</v>
      </c>
      <c r="F20" s="429">
        <f>VLOOKUP($B20,'[3]Table 1'!$B$13:$G$33,6,FALSE)</f>
        <v>18.617617259982023</v>
      </c>
      <c r="G20" s="427">
        <f>VLOOKUP($B20,'[4]Table 1'!$B$13:$G$33,6,FALSE)</f>
        <v>25.243653744118504</v>
      </c>
      <c r="H20" s="430">
        <f>VLOOKUP($B20,'[5]Table 1'!$B$13:$G$33,6,FALSE)</f>
        <v>9.1906779543932142</v>
      </c>
      <c r="I20" s="429">
        <f t="shared" si="0"/>
        <v>7.1834972889789128E-2</v>
      </c>
      <c r="J20" s="427">
        <f t="shared" ca="1" si="1"/>
        <v>3.6704860635765293</v>
      </c>
      <c r="K20" s="430">
        <f t="shared" si="2"/>
        <v>-1.2899197699325731</v>
      </c>
      <c r="L20" s="426"/>
      <c r="M20" s="427"/>
      <c r="N20" s="427"/>
      <c r="O20" s="427"/>
      <c r="P20" s="427"/>
    </row>
    <row r="21" spans="1:16">
      <c r="B21" s="428">
        <f t="shared" si="3"/>
        <v>2037</v>
      </c>
      <c r="C21" s="429">
        <f>VLOOKUP($B21,'[1]Table 1'!$B$13:$G$33,6,FALSE)</f>
        <v>22.162550085386599</v>
      </c>
      <c r="D21" s="427">
        <f ca="1">VLOOKUP($B21,'Table 1'!$B$13:$G$33,6,FALSE)</f>
        <v>26.619590690067579</v>
      </c>
      <c r="E21" s="430">
        <f>VLOOKUP($B21,'[2]Table 1'!$B$13:$G$33,6,FALSE)</f>
        <v>10.938854271420995</v>
      </c>
      <c r="F21" s="429">
        <f>VLOOKUP($B21,'[3]Table 1'!$B$13:$G$33,6,FALSE)</f>
        <v>21.994568596351431</v>
      </c>
      <c r="G21" s="427">
        <f>VLOOKUP($B21,'[4]Table 1'!$B$13:$G$33,6,FALSE)</f>
        <v>22.910823719366007</v>
      </c>
      <c r="H21" s="430">
        <f>VLOOKUP($B21,'[5]Table 1'!$B$13:$G$33,6,FALSE)</f>
        <v>12.12066129365685</v>
      </c>
      <c r="I21" s="429">
        <f t="shared" si="0"/>
        <v>0.16798148903516719</v>
      </c>
      <c r="J21" s="427">
        <f t="shared" ca="1" si="1"/>
        <v>3.7087669707015714</v>
      </c>
      <c r="K21" s="430">
        <f t="shared" si="2"/>
        <v>-1.181807022235855</v>
      </c>
      <c r="L21" s="426"/>
      <c r="M21" s="427"/>
      <c r="N21" s="427"/>
      <c r="O21" s="427"/>
      <c r="P21" s="427"/>
    </row>
    <row r="22" spans="1:16">
      <c r="B22" s="428">
        <f t="shared" si="3"/>
        <v>2038</v>
      </c>
      <c r="C22" s="429">
        <f>VLOOKUP($B22,'[1]Table 1'!$B$13:$G$33,6,FALSE)</f>
        <v>24.887103800046653</v>
      </c>
      <c r="D22" s="427">
        <f ca="1">VLOOKUP($B22,'Table 1'!$B$13:$G$33,6,FALSE)</f>
        <v>21.856540207796417</v>
      </c>
      <c r="E22" s="430">
        <f>VLOOKUP($B22,'[2]Table 1'!$B$13:$G$33,6,FALSE)</f>
        <v>48.081576465261826</v>
      </c>
      <c r="F22" s="429">
        <f>VLOOKUP($B22,'[3]Table 1'!$B$13:$G$33,6,FALSE)</f>
        <v>24.684639357335303</v>
      </c>
      <c r="G22" s="427">
        <f>VLOOKUP($B22,'[4]Table 1'!$B$13:$G$33,6,FALSE)</f>
        <v>17.895981068038733</v>
      </c>
      <c r="H22" s="430">
        <f>VLOOKUP($B22,'[5]Table 1'!$B$13:$G$33,6,FALSE)</f>
        <v>49.317057479612757</v>
      </c>
      <c r="I22" s="429">
        <f t="shared" si="0"/>
        <v>0.20246444271134934</v>
      </c>
      <c r="J22" s="427">
        <f t="shared" ca="1" si="1"/>
        <v>3.9605591397576845</v>
      </c>
      <c r="K22" s="430">
        <f t="shared" si="2"/>
        <v>-1.2354810143509312</v>
      </c>
      <c r="L22" s="426"/>
      <c r="M22" s="427"/>
      <c r="N22" s="427"/>
      <c r="O22" s="427"/>
      <c r="P22" s="427"/>
    </row>
    <row r="23" spans="1:16">
      <c r="B23" s="428">
        <f t="shared" si="3"/>
        <v>2039</v>
      </c>
      <c r="C23" s="429">
        <f>VLOOKUP($B23,'[1]Table 1'!$B$13:$G$33,6,FALSE)</f>
        <v>26.738218653043639</v>
      </c>
      <c r="D23" s="427">
        <f ca="1">VLOOKUP($B23,'Table 1'!$B$13:$G$33,6,FALSE)</f>
        <v>20.541632585529133</v>
      </c>
      <c r="E23" s="430">
        <f>VLOOKUP($B23,'[2]Table 1'!$B$13:$G$33,6,FALSE)</f>
        <v>51.529190805939237</v>
      </c>
      <c r="F23" s="429">
        <f>VLOOKUP($B23,'[3]Table 1'!$B$13:$G$33,6,FALSE)</f>
        <v>26.442595434285685</v>
      </c>
      <c r="G23" s="427">
        <f>VLOOKUP($B23,'[4]Table 1'!$B$13:$G$33,6,FALSE)</f>
        <v>16.75876177957629</v>
      </c>
      <c r="H23" s="430">
        <f>VLOOKUP($B23,'[5]Table 1'!$B$13:$G$33,6,FALSE)</f>
        <v>52.081732003655489</v>
      </c>
      <c r="I23" s="429">
        <f t="shared" si="0"/>
        <v>0.29562321875795305</v>
      </c>
      <c r="J23" s="427">
        <f t="shared" ca="1" si="1"/>
        <v>3.7828708059528431</v>
      </c>
      <c r="K23" s="430">
        <f t="shared" si="2"/>
        <v>-0.55254119771625199</v>
      </c>
      <c r="L23" s="426"/>
      <c r="M23" s="427"/>
      <c r="N23" s="427"/>
      <c r="O23" s="427"/>
      <c r="P23" s="427"/>
    </row>
    <row r="24" spans="1:16">
      <c r="B24" s="428">
        <f t="shared" si="3"/>
        <v>2040</v>
      </c>
      <c r="C24" s="429">
        <f>VLOOKUP($B24,'[1]Table 1'!$B$13:$G$33,6,FALSE)</f>
        <v>28.064499549230241</v>
      </c>
      <c r="D24" s="427">
        <f ca="1">VLOOKUP($B24,'Table 1'!$B$13:$G$33,6,FALSE)</f>
        <v>18.960172050231527</v>
      </c>
      <c r="E24" s="430">
        <f>VLOOKUP($B24,'[2]Table 1'!$B$13:$G$33,6,FALSE)</f>
        <v>52.468195363569272</v>
      </c>
      <c r="F24" s="429">
        <f>VLOOKUP($B24,'[3]Table 1'!$B$13:$G$33,6,FALSE)</f>
        <v>28.143480903514813</v>
      </c>
      <c r="G24" s="427">
        <f>VLOOKUP($B24,'[4]Table 1'!$B$13:$G$33,6,FALSE)</f>
        <v>15.357217922710381</v>
      </c>
      <c r="H24" s="430">
        <f>VLOOKUP($B24,'[5]Table 1'!$B$13:$G$33,6,FALSE)</f>
        <v>54.046979205570146</v>
      </c>
      <c r="I24" s="429">
        <f t="shared" si="0"/>
        <v>-7.8981354284572092E-2</v>
      </c>
      <c r="J24" s="427">
        <f t="shared" ca="1" si="1"/>
        <v>3.6029541275211461</v>
      </c>
      <c r="K24" s="430">
        <f t="shared" si="2"/>
        <v>-1.578783842000874</v>
      </c>
      <c r="L24" s="426"/>
      <c r="M24" s="427"/>
      <c r="N24" s="427"/>
      <c r="O24" s="427"/>
      <c r="P24" s="427"/>
    </row>
    <row r="25" spans="1:16">
      <c r="B25" s="431">
        <f t="shared" si="3"/>
        <v>2041</v>
      </c>
      <c r="C25" s="432">
        <f>VLOOKUP($B25,'[1]Table 1'!$B$13:$G$33,6,FALSE)</f>
        <v>32.72079652166515</v>
      </c>
      <c r="D25" s="433">
        <f ca="1">VLOOKUP($B25,'Table 1'!$B$13:$G$33,6,FALSE)</f>
        <v>21.109322863432332</v>
      </c>
      <c r="E25" s="434">
        <f>VLOOKUP($B25,'[2]Table 1'!$B$13:$G$33,6,FALSE)</f>
        <v>55.797093887075455</v>
      </c>
      <c r="F25" s="432">
        <f>VLOOKUP($B25,'[3]Table 1'!$B$13:$G$33,6,FALSE)</f>
        <v>32.318272907301818</v>
      </c>
      <c r="G25" s="433">
        <f>VLOOKUP($B25,'[4]Table 1'!$B$13:$G$33,6,FALSE)</f>
        <v>17.373816256712139</v>
      </c>
      <c r="H25" s="434">
        <f>VLOOKUP($B25,'[5]Table 1'!$B$13:$G$33,6,FALSE)</f>
        <v>57.513935030075714</v>
      </c>
      <c r="I25" s="432">
        <f t="shared" si="0"/>
        <v>0.40252361436333217</v>
      </c>
      <c r="J25" s="433">
        <f t="shared" ca="1" si="1"/>
        <v>3.7355066067201932</v>
      </c>
      <c r="K25" s="434">
        <f t="shared" si="2"/>
        <v>-1.7168411430002593</v>
      </c>
      <c r="L25" s="426"/>
      <c r="M25" s="427"/>
      <c r="N25" s="427"/>
      <c r="O25" s="427"/>
      <c r="P25" s="427"/>
    </row>
    <row r="26" spans="1:16">
      <c r="O26" s="427"/>
    </row>
    <row r="27" spans="1:16">
      <c r="B27" s="45" t="s">
        <v>395</v>
      </c>
      <c r="L27" s="435"/>
    </row>
    <row r="28" spans="1:16">
      <c r="A28" t="s">
        <v>391</v>
      </c>
      <c r="B28" s="436" t="s">
        <v>31</v>
      </c>
      <c r="C28" s="427">
        <f>ROUND('[1]Table 1'!$G$50,2)</f>
        <v>31.5</v>
      </c>
      <c r="D28" s="427">
        <f ca="1">ROUND('Table 1'!$G$50,2)</f>
        <v>25.35</v>
      </c>
      <c r="E28" s="427">
        <f>ROUND('[2]Table 1'!$G$50,2)</f>
        <v>15.85</v>
      </c>
      <c r="F28" s="427">
        <f>ROUND('[3]Table 1'!$G$50,2)</f>
        <v>30.71</v>
      </c>
      <c r="G28" s="427">
        <f>ROUND('[4]Table 1'!$G$50,2)</f>
        <v>23.59</v>
      </c>
      <c r="H28" s="427">
        <f>ROUND('[5]Table 1'!$G$50,2)</f>
        <v>16.21</v>
      </c>
      <c r="I28" s="427">
        <f>C28-F28</f>
        <v>0.78999999999999915</v>
      </c>
      <c r="J28" s="427">
        <f ca="1">D28-G28</f>
        <v>1.7600000000000016</v>
      </c>
      <c r="K28" s="427">
        <f>E28-H28</f>
        <v>-0.36000000000000121</v>
      </c>
      <c r="L28" s="426"/>
      <c r="M28" s="437"/>
      <c r="N28" s="437"/>
      <c r="O28" s="437"/>
      <c r="P28" s="437"/>
    </row>
    <row r="29" spans="1:16" ht="17.25" customHeight="1">
      <c r="B29" s="438"/>
      <c r="C29" s="427"/>
      <c r="D29" s="427"/>
      <c r="E29" s="427"/>
      <c r="F29" s="427"/>
      <c r="G29" s="427"/>
      <c r="H29" s="427"/>
      <c r="I29" s="439">
        <f>I28/F28</f>
        <v>2.5724519700423287E-2</v>
      </c>
      <c r="J29" s="439">
        <f ca="1">J28/G28</f>
        <v>7.4607884696905533E-2</v>
      </c>
      <c r="K29" s="439">
        <f>K28/H28</f>
        <v>-2.2208513263417717E-2</v>
      </c>
      <c r="L29" s="426"/>
    </row>
    <row r="30" spans="1:16">
      <c r="A30" t="s">
        <v>392</v>
      </c>
      <c r="B30" s="436" t="s">
        <v>31</v>
      </c>
      <c r="C30" s="427">
        <f>ROUND('[1]Table 1'!$G$55,2)</f>
        <v>31.64</v>
      </c>
      <c r="D30" s="427">
        <f ca="1">ROUND('Table 1'!$G$55,2)</f>
        <v>25.51</v>
      </c>
      <c r="E30" s="427">
        <f>ROUND('[2]Table 1'!$G$55,2)</f>
        <v>16.899999999999999</v>
      </c>
      <c r="F30" s="427">
        <f>ROUND('[3]Table 1'!$G$55,2)</f>
        <v>30.77</v>
      </c>
      <c r="G30" s="427">
        <f>ROUND('[4]Table 1'!$G$55,2)</f>
        <v>23.41</v>
      </c>
      <c r="H30" s="427">
        <f>ROUND('[5]Table 1'!$G$55,2)</f>
        <v>17.27</v>
      </c>
      <c r="I30" s="427">
        <f>C30-F30</f>
        <v>0.87000000000000099</v>
      </c>
      <c r="J30" s="427">
        <f ca="1">D30-G30</f>
        <v>2.1000000000000014</v>
      </c>
      <c r="K30" s="427">
        <f>E30-H30</f>
        <v>-0.37000000000000099</v>
      </c>
      <c r="L30" s="426"/>
      <c r="M30" s="437"/>
      <c r="N30" s="437"/>
      <c r="O30" s="437"/>
      <c r="P30" s="437"/>
    </row>
    <row r="31" spans="1:16" ht="17.25" customHeight="1">
      <c r="B31" s="438"/>
      <c r="C31" s="427"/>
      <c r="D31" s="427"/>
      <c r="E31" s="427"/>
      <c r="F31" s="427"/>
      <c r="G31" s="427"/>
      <c r="H31" s="427"/>
      <c r="I31" s="439">
        <f>I30/F30</f>
        <v>2.8274293142671467E-2</v>
      </c>
      <c r="J31" s="439">
        <f ca="1">J30/G30</f>
        <v>8.9705254164886866E-2</v>
      </c>
      <c r="K31" s="439">
        <f>K30/H30</f>
        <v>-2.1424435437174347E-2</v>
      </c>
      <c r="L31" s="426"/>
    </row>
    <row r="32" spans="1:16">
      <c r="A32"/>
      <c r="B32" s="436"/>
      <c r="C32" s="427"/>
      <c r="D32" s="427"/>
      <c r="E32" s="427"/>
      <c r="F32" s="427"/>
      <c r="G32" s="427"/>
      <c r="H32" s="427"/>
      <c r="I32" s="427"/>
      <c r="J32" s="427"/>
      <c r="K32" s="427"/>
      <c r="L32" s="426"/>
    </row>
    <row r="33" spans="2:12" ht="17.25" customHeight="1">
      <c r="B33" s="438"/>
      <c r="C33" s="427"/>
      <c r="D33" s="427"/>
      <c r="E33" s="427"/>
      <c r="F33" s="427"/>
      <c r="G33" s="427"/>
      <c r="H33" s="427"/>
      <c r="I33" s="439"/>
      <c r="J33" s="439"/>
      <c r="K33" s="439"/>
      <c r="L33" s="426"/>
    </row>
    <row r="34" spans="2:12" ht="10.5" customHeight="1">
      <c r="B34" s="436"/>
      <c r="C34" s="427"/>
      <c r="D34" s="427"/>
      <c r="E34" s="427"/>
      <c r="F34" s="427"/>
      <c r="G34" s="427"/>
      <c r="H34" s="427"/>
      <c r="I34" s="427"/>
      <c r="J34" s="427"/>
      <c r="K34" s="427"/>
    </row>
    <row r="35" spans="2:12" ht="5.25" customHeight="1">
      <c r="F35" s="437"/>
      <c r="G35" s="437"/>
      <c r="H35" s="437"/>
    </row>
    <row r="36" spans="2:12">
      <c r="B36" s="44" t="s">
        <v>393</v>
      </c>
      <c r="C36" s="440"/>
      <c r="D36" s="440"/>
      <c r="E36" s="440"/>
      <c r="F36" s="441"/>
      <c r="G36" s="441"/>
      <c r="H36" s="441"/>
      <c r="I36" s="441"/>
      <c r="J36" s="441"/>
      <c r="K36" s="441"/>
    </row>
    <row r="37" spans="2:12">
      <c r="B37" s="41" t="s">
        <v>394</v>
      </c>
      <c r="C37" s="440"/>
      <c r="D37" s="440"/>
      <c r="E37" s="440"/>
      <c r="F37" s="441"/>
      <c r="G37" s="441"/>
      <c r="H37" s="441"/>
      <c r="I37" s="441"/>
      <c r="J37" s="441"/>
      <c r="K37" s="441"/>
    </row>
    <row r="38" spans="2:12">
      <c r="B38" s="442" t="str">
        <f>"(2)   Total Avoided Costs with Capacity, based on stated CF"</f>
        <v>(2)   Total Avoided Costs with Capacity, based on stated CF</v>
      </c>
    </row>
    <row r="39" spans="2:12">
      <c r="B39" s="44" t="str">
        <f>"(3)   15-Years: "&amp;B9&amp;" - "&amp;B23&amp;", levelized monthly"</f>
        <v>(3)   15-Years: 2025 - 2039, levelized monthly</v>
      </c>
    </row>
    <row r="40" spans="2:12">
      <c r="B40" s="9"/>
    </row>
    <row r="41" spans="2:12">
      <c r="B41" s="9"/>
    </row>
    <row r="42" spans="2:12">
      <c r="B42" s="9"/>
    </row>
    <row r="43" spans="2:12" hidden="1"/>
    <row r="44" spans="2:12">
      <c r="C44" s="427"/>
      <c r="D44" s="427"/>
      <c r="E44" s="427"/>
      <c r="F44" s="427"/>
      <c r="G44" s="427"/>
      <c r="H44" s="427"/>
    </row>
    <row r="46" spans="2:12">
      <c r="C46" s="437"/>
      <c r="D46" s="437"/>
      <c r="E46" s="437"/>
      <c r="F46" s="437"/>
      <c r="G46" s="437"/>
      <c r="H46" s="437"/>
      <c r="I46" s="437"/>
      <c r="J46" s="437"/>
      <c r="K46" s="437"/>
    </row>
  </sheetData>
  <mergeCells count="3">
    <mergeCell ref="C8:E8"/>
    <mergeCell ref="F8:H8"/>
    <mergeCell ref="I8:K8"/>
  </mergeCells>
  <conditionalFormatting sqref="I9:K25">
    <cfRule type="expression" dxfId="4" priority="3">
      <formula>ISNA(#REF!)</formula>
    </cfRule>
  </conditionalFormatting>
  <conditionalFormatting sqref="I28:K28">
    <cfRule type="expression" dxfId="3" priority="2">
      <formula>ISNA(#REF!)</formula>
    </cfRule>
  </conditionalFormatting>
  <conditionalFormatting sqref="I30:K30">
    <cfRule type="expression" dxfId="2" priority="1">
      <formula>ISNA(#REF!)</formula>
    </cfRule>
  </conditionalFormatting>
  <printOptions horizontalCentered="1"/>
  <pageMargins left="0.25" right="0.25" top="0.75" bottom="0.75" header="0.3" footer="0.3"/>
  <pageSetup scale="6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zoomScale="70" zoomScaleNormal="70" workbookViewId="0">
      <selection activeCell="A49" sqref="A49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4.164062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/>
      <c r="G5" s="64" t="s">
        <v>59</v>
      </c>
      <c r="H5" s="14" t="s">
        <v>13</v>
      </c>
      <c r="I5" s="64" t="s">
        <v>119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/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/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>
        <f>C50</f>
        <v>0</v>
      </c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50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Assumptions'!$E$275:$E$298,'WD_.PX.DJW._.PTC.2028'!$B11-2023,1)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Assumptions'!$E$275:$E$298,'WD_.PX.DJW._.PTC.2028'!$B12-2023,1)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Assumptions'!$E$275:$E$298,'WD_.PX.DJW._.PTC.2028'!$B13-2023,1)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250">
        <f>C14*$C$60</f>
        <v>88.105426226591561</v>
      </c>
      <c r="E14" s="71" cm="1">
        <f t="array" ref="E14">$E$10*INDEX('2025 IRP Assumptions'!$E$275:$E$298,'WD_.PX.DJW._.PTC.2028'!$B14-2023,1)</f>
        <v>34.501446836549995</v>
      </c>
      <c r="F14" s="284"/>
      <c r="G14" s="72">
        <f t="shared" ref="G14" si="1">(D14+E14+F14)/(8.76*$C$61)</f>
        <v>33.930554897158096</v>
      </c>
      <c r="H14" s="71"/>
      <c r="I14" s="71">
        <f>-INDEX('2025 IRP Assumptions'!$E$243:$E$272,MATCH(B14,'2025 IRP Assumptions'!$S$243:$S$272,0),1)*1.1</f>
        <v>-46.673000000000002</v>
      </c>
      <c r="J14" s="72">
        <f t="shared" ref="J14" si="2">(G14+H14+I14)</f>
        <v>-12.742445102841906</v>
      </c>
      <c r="K14" s="72">
        <f t="shared" ref="K14" si="3">ROUND(J14*$C$61*8.76,2)</f>
        <v>-46.04</v>
      </c>
      <c r="L14" s="71">
        <f t="shared" ref="L14" si="4">(D14+E14+F14)</f>
        <v>122.60687306314156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 cm="1">
        <f t="array" ref="D15">D14*INDEX('2025 IRP Assumptions'!$E$275:$E$298,'WD_.PX.DJW._.PTC.2028'!$B15-2023,1)/INDEX('2025 IRP Assumptions'!$E$275:$E$298,'WD_.PX.DJW._.PTC.2028'!$B15-2023-1,1)</f>
        <v>90.026124539943538</v>
      </c>
      <c r="E15" s="71" cm="1">
        <f t="array" ref="E15">$E$10*INDEX('2025 IRP Assumptions'!$E$275:$E$298,'WD_.PX.DJW._.PTC.2028'!$B15-2023,1)</f>
        <v>35.253578386050002</v>
      </c>
      <c r="F15" s="71"/>
      <c r="G15" s="72">
        <f t="shared" ref="G15:G31" si="5">(D15+E15+F15)/(8.76*$C$61)</f>
        <v>34.670241002239322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1" si="6">(G15+H15+I15)</f>
        <v>-12.002758997760679</v>
      </c>
      <c r="K15" s="72">
        <f t="shared" ref="K15:K31" si="7">ROUND(J15*$C$61*8.76,2)</f>
        <v>-43.37</v>
      </c>
      <c r="L15" s="71">
        <f t="shared" ref="L15:L31" si="8">(D15+E15+F15)</f>
        <v>125.27970292599355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Assumptions'!$E$275:$E$298,'WD_.PX.DJW._.PTC.2028'!$B16-2023,1)/INDEX('2025 IRP Assumptions'!$E$275:$E$298,'WD_.PX.DJW._.PTC.2028'!$B16-2023-1,1)</f>
        <v>91.988694007503085</v>
      </c>
      <c r="E16" s="71" cm="1">
        <f t="array" ref="E16">$E$10*INDEX('2025 IRP Assumptions'!$E$275:$E$298,'WD_.PX.DJW._.PTC.2028'!$B16-2023,1)</f>
        <v>36.022106376299995</v>
      </c>
      <c r="F16" s="71"/>
      <c r="G16" s="72">
        <f t="shared" si="5"/>
        <v>35.426052237829452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6"/>
        <v>-12.70994776217055</v>
      </c>
      <c r="K16" s="72">
        <f t="shared" si="7"/>
        <v>-45.93</v>
      </c>
      <c r="L16" s="71">
        <f t="shared" si="8"/>
        <v>128.01080038380309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Assumptions'!$E$275:$E$298,'WD_.PX.DJW._.PTC.2028'!$B17-2023,1)/INDEX('2025 IRP Assumptions'!$E$275:$E$298,'WD_.PX.DJW._.PTC.2028'!$B17-2023-1,1)</f>
        <v>93.994047533666034</v>
      </c>
      <c r="E17" s="71" cm="1">
        <f t="array" ref="E17">$E$10*INDEX('2025 IRP Assumptions'!$E$275:$E$298,'WD_.PX.DJW._.PTC.2028'!$B17-2023,1)</f>
        <v>36.80738829405</v>
      </c>
      <c r="F17" s="71"/>
      <c r="G17" s="72">
        <f t="shared" si="5"/>
        <v>36.198340175381531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6"/>
        <v>-13.389659824618469</v>
      </c>
      <c r="K17" s="72">
        <f t="shared" si="7"/>
        <v>-48.38</v>
      </c>
      <c r="L17" s="71">
        <f t="shared" si="8"/>
        <v>130.80143582771603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Assumptions'!$E$275:$E$298,'WD_.PX.DJW._.PTC.2028'!$B18-2023,1)/INDEX('2025 IRP Assumptions'!$E$275:$E$298,'WD_.PX.DJW._.PTC.2028'!$B18-2023-1,1)</f>
        <v>96.043117743826201</v>
      </c>
      <c r="E18" s="71" cm="1">
        <f t="array" ref="E18">$E$10*INDEX('2025 IRP Assumptions'!$E$275:$E$298,'WD_.PX.DJW._.PTC.2028'!$B18-2023,1)</f>
        <v>37.609789348650004</v>
      </c>
      <c r="F18" s="71"/>
      <c r="G18" s="72">
        <f t="shared" si="5"/>
        <v>36.987463981163508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6"/>
        <v>-12.600536018836493</v>
      </c>
      <c r="K18" s="72">
        <f t="shared" si="7"/>
        <v>-45.53</v>
      </c>
      <c r="L18" s="71">
        <f t="shared" si="8"/>
        <v>133.6529070924762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Assumptions'!$E$275:$E$298,'WD_.PX.DJW._.PTC.2028'!$B19-2023,1)/INDEX('2025 IRP Assumptions'!$E$275:$E$298,'WD_.PX.DJW._.PTC.2028'!$B19-2023-1,1)</f>
        <v>98.13685771178929</v>
      </c>
      <c r="E19" s="71" cm="1">
        <f t="array" ref="E19">$E$10*INDEX('2025 IRP Assumptions'!$E$275:$E$298,'WD_.PX.DJW._.PTC.2028'!$B19-2023,1)</f>
        <v>38.429682756899993</v>
      </c>
      <c r="F19" s="71"/>
      <c r="G19" s="72">
        <f t="shared" si="5"/>
        <v>37.793790696394858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6"/>
        <v>-13.257209303605144</v>
      </c>
      <c r="K19" s="72">
        <f t="shared" si="7"/>
        <v>-47.9</v>
      </c>
      <c r="L19" s="71">
        <f t="shared" si="8"/>
        <v>136.56654046868928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Assumptions'!$E$275:$E$298,'WD_.PX.DJW._.PTC.2028'!$B20-2023,1)/INDEX('2025 IRP Assumptions'!$E$275:$E$298,'WD_.PX.DJW._.PTC.2028'!$B20-2023-1,1)</f>
        <v>100.27624128306798</v>
      </c>
      <c r="E20" s="71" cm="1">
        <f t="array" ref="E20">$E$10*INDEX('2025 IRP Assumptions'!$E$275:$E$298,'WD_.PX.DJW._.PTC.2028'!$B20-2023,1)</f>
        <v>39.267449869649994</v>
      </c>
      <c r="F20" s="71"/>
      <c r="G20" s="72">
        <f t="shared" si="5"/>
        <v>38.617695361751785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6"/>
        <v>-13.896304638248218</v>
      </c>
      <c r="K20" s="72">
        <f t="shared" si="7"/>
        <v>-50.21</v>
      </c>
      <c r="L20" s="71">
        <f t="shared" si="8"/>
        <v>139.54369115271797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Assumptions'!$E$275:$E$298,'WD_.PX.DJW._.PTC.2028'!$B21-2023,1)/INDEX('2025 IRP Assumptions'!$E$275:$E$298,'WD_.PX.DJW._.PTC.2028'!$B21-2023-1,1)</f>
        <v>102.46226331735306</v>
      </c>
      <c r="E21" s="71" cm="1">
        <f t="array" ref="E21">$E$10*INDEX('2025 IRP Assumptions'!$E$275:$E$298,'WD_.PX.DJW._.PTC.2028'!$B21-2023,1)</f>
        <v>40.123480266749993</v>
      </c>
      <c r="F21" s="71"/>
      <c r="G21" s="72">
        <f t="shared" si="5"/>
        <v>39.459561110746037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6"/>
        <v>-13.054438889253966</v>
      </c>
      <c r="K21" s="72">
        <f t="shared" si="7"/>
        <v>-47.17</v>
      </c>
      <c r="L21" s="71">
        <f t="shared" si="8"/>
        <v>142.58574358410306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Assumptions'!$E$275:$E$298,'WD_.PX.DJW._.PTC.2028'!$B22-2023,1)/INDEX('2025 IRP Assumptions'!$E$275:$E$298,'WD_.PX.DJW._.PTC.2028'!$B22-2023-1,1)</f>
        <v>104.69594065839877</v>
      </c>
      <c r="E22" s="71" cm="1">
        <f t="array" ref="E22">$E$10*INDEX('2025 IRP Assumptions'!$E$275:$E$298,'WD_.PX.DJW._.PTC.2028'!$B22-2023,1)</f>
        <v>40.998172136849995</v>
      </c>
      <c r="F22" s="71"/>
      <c r="G22" s="72">
        <f t="shared" si="5"/>
        <v>40.319779543240443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6"/>
        <v>-13.646220456759565</v>
      </c>
      <c r="K22" s="72">
        <f t="shared" si="7"/>
        <v>-49.31</v>
      </c>
      <c r="L22" s="71">
        <f t="shared" si="8"/>
        <v>145.69411279524877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Assumptions'!$E$275:$E$298,'WD_.PX.DJW._.PTC.2028'!$B23-2023,1)/INDEX('2025 IRP Assumptions'!$E$275:$E$298,'WD_.PX.DJW._.PTC.2028'!$B23-2023-1,1)</f>
        <v>106.97831213402266</v>
      </c>
      <c r="E23" s="71" cm="1">
        <f t="array" ref="E23">$E$10*INDEX('2025 IRP Assumptions'!$E$275:$E$298,'WD_.PX.DJW._.PTC.2028'!$B23-2023,1)</f>
        <v>41.891932277399995</v>
      </c>
      <c r="F23" s="71"/>
      <c r="G23" s="72">
        <f t="shared" si="5"/>
        <v>41.198750725448861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6"/>
        <v>-14.230249274551142</v>
      </c>
      <c r="K23" s="72">
        <f t="shared" si="7"/>
        <v>-51.42</v>
      </c>
      <c r="L23" s="71">
        <f t="shared" si="8"/>
        <v>148.87024441142265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Assumptions'!$E$275:$E$298,'WD_.PX.DJW._.PTC.2028'!$B24-2023,1)/INDEX('2025 IRP Assumptions'!$E$275:$E$298,'WD_.PX.DJW._.PTC.2028'!$B24-2023-1,1)</f>
        <v>109.31043936434331</v>
      </c>
      <c r="E24" s="71" cm="1">
        <f t="array" ref="E24">$E$10*INDEX('2025 IRP Assumptions'!$E$275:$E$298,'WD_.PX.DJW._.PTC.2028'!$B24-2023,1)</f>
        <v>42.805176411150001</v>
      </c>
      <c r="F24" s="71"/>
      <c r="G24" s="72">
        <f t="shared" si="5"/>
        <v>42.096883501199166</v>
      </c>
      <c r="H24" s="71"/>
      <c r="I24" s="71"/>
      <c r="J24" s="72">
        <f t="shared" si="6"/>
        <v>42.096883501199166</v>
      </c>
      <c r="K24" s="72">
        <f t="shared" si="7"/>
        <v>152.12</v>
      </c>
      <c r="L24" s="71">
        <f t="shared" si="8"/>
        <v>152.11561577549332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Assumptions'!$E$275:$E$298,'WD_.PX.DJW._.PTC.2028'!$B25-2023,1)/INDEX('2025 IRP Assumptions'!$E$275:$E$298,'WD_.PX.DJW._.PTC.2028'!$B25-2023-1,1)</f>
        <v>111.69340692342774</v>
      </c>
      <c r="E25" s="71" cm="1">
        <f t="array" ref="E25">$E$10*INDEX('2025 IRP Assumptions'!$E$275:$E$298,'WD_.PX.DJW._.PTC.2028'!$B25-2023,1)</f>
        <v>43.738329249449997</v>
      </c>
      <c r="F25" s="71"/>
      <c r="G25" s="72">
        <f t="shared" si="5"/>
        <v>43.014595554185725</v>
      </c>
      <c r="H25" s="71"/>
      <c r="I25" s="71"/>
      <c r="J25" s="72">
        <f t="shared" si="6"/>
        <v>43.014595554185725</v>
      </c>
      <c r="K25" s="72">
        <f t="shared" si="7"/>
        <v>155.43</v>
      </c>
      <c r="L25" s="71">
        <f t="shared" si="8"/>
        <v>155.43173617287775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Assumptions'!$E$275:$E$298,'WD_.PX.DJW._.PTC.2028'!$B26-2023,1)/INDEX('2025 IRP Assumptions'!$E$275:$E$298,'WD_.PX.DJW._.PTC.2028'!$B26-2023-1,1)</f>
        <v>114.12832322835295</v>
      </c>
      <c r="E26" s="71" cm="1">
        <f t="array" ref="E26">$E$10*INDEX('2025 IRP Assumptions'!$E$275:$E$298,'WD_.PX.DJW._.PTC.2028'!$B26-2023,1)</f>
        <v>44.691824840399995</v>
      </c>
      <c r="F26" s="71"/>
      <c r="G26" s="72">
        <f t="shared" si="5"/>
        <v>43.952313750358698</v>
      </c>
      <c r="H26" s="71"/>
      <c r="I26" s="71"/>
      <c r="J26" s="72">
        <f t="shared" si="6"/>
        <v>43.952313750358698</v>
      </c>
      <c r="K26" s="72">
        <f t="shared" si="7"/>
        <v>158.82</v>
      </c>
      <c r="L26" s="71">
        <f t="shared" si="8"/>
        <v>158.82014806875296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Assumptions'!$E$275:$E$298,'WD_.PX.DJW._.PTC.2028'!$B27-2023,1)/INDEX('2025 IRP Assumptions'!$E$275:$E$298,'WD_.PX.DJW._.PTC.2028'!$B27-2023-1,1)</f>
        <v>116.61632062002953</v>
      </c>
      <c r="E27" s="71" cm="1">
        <f t="array" ref="E27">$E$10*INDEX('2025 IRP Assumptions'!$E$275:$E$298,'WD_.PX.DJW._.PTC.2028'!$B27-2023,1)</f>
        <v>45.666106600499994</v>
      </c>
      <c r="F27" s="71"/>
      <c r="G27" s="72">
        <f t="shared" si="5"/>
        <v>44.910474169050239</v>
      </c>
      <c r="H27" s="71"/>
      <c r="I27" s="71"/>
      <c r="J27" s="72">
        <f t="shared" si="6"/>
        <v>44.910474169050239</v>
      </c>
      <c r="K27" s="72">
        <f t="shared" si="7"/>
        <v>162.28</v>
      </c>
      <c r="L27" s="71">
        <f t="shared" si="8"/>
        <v>162.28242722052951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Assumptions'!$E$275:$E$298,'WD_.PX.DJW._.PTC.2028'!$B28-2023,1)/INDEX('2025 IRP Assumptions'!$E$275:$E$298,'WD_.PX.DJW._.PTC.2028'!$B28-2023-1,1)</f>
        <v>119.15855641391065</v>
      </c>
      <c r="E28" s="71" cm="1">
        <f t="array" ref="E28">$E$10*INDEX('2025 IRP Assumptions'!$E$275:$E$298,'WD_.PX.DJW._.PTC.2028'!$B28-2023,1)</f>
        <v>46.661627726100001</v>
      </c>
      <c r="F28" s="71"/>
      <c r="G28" s="72">
        <f t="shared" si="5"/>
        <v>45.889522507616348</v>
      </c>
      <c r="H28" s="71"/>
      <c r="I28" s="71"/>
      <c r="J28" s="72">
        <f t="shared" si="6"/>
        <v>45.889522507616348</v>
      </c>
      <c r="K28" s="72">
        <f t="shared" si="7"/>
        <v>165.82</v>
      </c>
      <c r="L28" s="71">
        <f t="shared" si="8"/>
        <v>165.82018414001064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Assumptions'!$E$275:$E$298,'WD_.PX.DJW._.PTC.2028'!$B29-2023,1)/INDEX('2025 IRP Assumptions'!$E$275:$E$298,'WD_.PX.DJW._.PTC.2028'!$B29-2023-1,1)</f>
        <v>121.75621298081585</v>
      </c>
      <c r="E29" s="71" cm="1">
        <f t="array" ref="E29">$E$10*INDEX('2025 IRP Assumptions'!$E$275:$E$298,'WD_.PX.DJW._.PTC.2028'!$B29-2023,1)</f>
        <v>47.678851225049996</v>
      </c>
      <c r="F29" s="71"/>
      <c r="G29" s="72">
        <f t="shared" si="5"/>
        <v>46.889914112563133</v>
      </c>
      <c r="H29" s="71"/>
      <c r="I29" s="71"/>
      <c r="J29" s="72">
        <f t="shared" si="6"/>
        <v>46.889914112563133</v>
      </c>
      <c r="K29" s="72">
        <f t="shared" si="7"/>
        <v>169.44</v>
      </c>
      <c r="L29" s="71">
        <f t="shared" si="8"/>
        <v>169.43506420586584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Assumptions'!$E$275:$E$298,'WD_.PX.DJW._.PTC.2028'!$B30-2023,1)/INDEX('2025 IRP Assumptions'!$E$275:$E$298,'WD_.PX.DJW._.PTC.2028'!$B30-2023-1,1)</f>
        <v>124.41049839352105</v>
      </c>
      <c r="E30" s="71" cm="1">
        <f t="array" ref="E30">$E$10*INDEX('2025 IRP Assumptions'!$E$275:$E$298,'WD_.PX.DJW._.PTC.2028'!$B30-2023,1)</f>
        <v>48.718250169900003</v>
      </c>
      <c r="F30" s="71"/>
      <c r="G30" s="72">
        <f t="shared" si="5"/>
        <v>47.912114228557101</v>
      </c>
      <c r="H30" s="71"/>
      <c r="I30" s="71"/>
      <c r="J30" s="72">
        <f t="shared" si="6"/>
        <v>47.912114228557101</v>
      </c>
      <c r="K30" s="72">
        <f t="shared" si="7"/>
        <v>173.13</v>
      </c>
      <c r="L30" s="71">
        <f t="shared" si="8"/>
        <v>173.12874856342106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Assumptions'!$E$275:$E$298,'WD_.PX.DJW._.PTC.2028'!$B31-2023,1)/INDEX('2025 IRP Assumptions'!$E$275:$E$298,'WD_.PX.DJW._.PTC.2028'!$B31-2023-1,1)</f>
        <v>127.12264731582002</v>
      </c>
      <c r="E31" s="71" cm="1">
        <f t="array" ref="E31">$E$10*INDEX('2025 IRP Assumptions'!$E$275:$E$298,'WD_.PX.DJW._.PTC.2028'!$B31-2023,1)</f>
        <v>49.780308046050003</v>
      </c>
      <c r="F31" s="71"/>
      <c r="G31" s="72">
        <f t="shared" si="5"/>
        <v>48.956598340814416</v>
      </c>
      <c r="H31" s="71"/>
      <c r="I31" s="71"/>
      <c r="J31" s="72">
        <f t="shared" si="6"/>
        <v>48.956598340814416</v>
      </c>
      <c r="K31" s="72">
        <f t="shared" si="7"/>
        <v>176.9</v>
      </c>
      <c r="L31" s="71">
        <f t="shared" si="8"/>
        <v>176.90295536187003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Assumptions'!$E$275:$E$298,'WD_.PX.DJW._.PTC.2028'!$B32-2023,1)/INDEX('2025 IRP Assumptions'!$E$275:$E$298,'WD_.PX.DJW._.PTC.2028'!$B32-2023-1,1)</f>
        <v>129.89392100252431</v>
      </c>
      <c r="E32" s="71" cm="1">
        <f t="array" ref="E32">$E$10*INDEX('2025 IRP Assumptions'!$E$275:$E$298,'WD_.PX.DJW._.PTC.2028'!$B32-2023,1)</f>
        <v>50.865518751749995</v>
      </c>
      <c r="F32" s="71"/>
      <c r="G32" s="72">
        <f t="shared" ref="G32:G33" si="9">(D32+E32+F32)/(8.76*$C$61)</f>
        <v>50.023852175100835</v>
      </c>
      <c r="H32" s="71"/>
      <c r="I32" s="71"/>
      <c r="J32" s="72">
        <f t="shared" ref="J32:J33" si="10">(G32+H32+I32)</f>
        <v>50.023852175100835</v>
      </c>
      <c r="K32" s="72">
        <f t="shared" ref="K32:K33" si="11">ROUND(J32*$C$61*8.76,2)</f>
        <v>180.76</v>
      </c>
      <c r="L32" s="71">
        <f t="shared" ref="L32:L33" si="12">(D32+E32+F32)</f>
        <v>180.7594397542743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Assumptions'!$E$275:$E$298,'WD_.PX.DJW._.PTC.2028'!$B33-2023,1)/INDEX('2025 IRP Assumptions'!$E$275:$E$298,'WD_.PX.DJW._.PTC.2028'!$B33-2023-1,1)</f>
        <v>132.72560843099603</v>
      </c>
      <c r="E33" s="71" cm="1">
        <f t="array" ref="E33">$E$10*INDEX('2025 IRP Assumptions'!$E$275:$E$298,'WD_.PX.DJW._.PTC.2028'!$B33-2023,1)</f>
        <v>51.974387041199996</v>
      </c>
      <c r="F33" s="71"/>
      <c r="G33" s="72">
        <f t="shared" si="9"/>
        <v>51.114372133499877</v>
      </c>
      <c r="H33" s="71"/>
      <c r="I33" s="71"/>
      <c r="J33" s="72">
        <f t="shared" si="10"/>
        <v>51.114372133499877</v>
      </c>
      <c r="K33" s="72">
        <f t="shared" si="11"/>
        <v>184.7</v>
      </c>
      <c r="L33" s="71">
        <f t="shared" si="12"/>
        <v>184.69999547219604</v>
      </c>
      <c r="P33" s="88"/>
      <c r="Q33" s="72"/>
    </row>
    <row r="34" spans="2:17" ht="15">
      <c r="B34" s="69">
        <f t="shared" si="0"/>
        <v>2048</v>
      </c>
      <c r="C34" s="73"/>
      <c r="D34" s="277">
        <f t="shared" ref="D34:E36" si="13">D33*D33/D32</f>
        <v>135.61902664433188</v>
      </c>
      <c r="E34" s="277">
        <f t="shared" si="13"/>
        <v>53.107428658938439</v>
      </c>
      <c r="F34" s="71"/>
      <c r="G34" s="72">
        <f t="shared" ref="G34:G35" si="14">(D34+E34+F34)/(8.76*$C$61)</f>
        <v>52.228665426577415</v>
      </c>
      <c r="H34" s="71"/>
      <c r="I34" s="71"/>
      <c r="J34" s="72">
        <f t="shared" ref="J34:J35" si="15">(G34+H34+I34)</f>
        <v>52.228665426577415</v>
      </c>
      <c r="K34" s="72">
        <f t="shared" ref="K34:K35" si="16">ROUND(J34*$C$61*8.76,2)</f>
        <v>188.73</v>
      </c>
      <c r="L34" s="71">
        <f t="shared" ref="L34:L35" si="17">(D34+E34+F34)</f>
        <v>188.72645530327031</v>
      </c>
      <c r="P34" s="88"/>
      <c r="Q34" s="72"/>
    </row>
    <row r="35" spans="2:17" ht="15">
      <c r="B35" s="69">
        <f t="shared" si="0"/>
        <v>2049</v>
      </c>
      <c r="C35" s="73"/>
      <c r="D35" s="277">
        <f t="shared" si="13"/>
        <v>138.57552137361841</v>
      </c>
      <c r="E35" s="277">
        <f t="shared" si="13"/>
        <v>54.26517058351282</v>
      </c>
      <c r="F35" s="71"/>
      <c r="G35" s="72">
        <f t="shared" si="14"/>
        <v>53.367250313020413</v>
      </c>
      <c r="H35" s="71"/>
      <c r="I35" s="71"/>
      <c r="J35" s="72">
        <f t="shared" si="15"/>
        <v>53.367250313020413</v>
      </c>
      <c r="K35" s="72">
        <f t="shared" si="16"/>
        <v>192.84</v>
      </c>
      <c r="L35" s="71">
        <f t="shared" si="17"/>
        <v>192.84069195713124</v>
      </c>
      <c r="P35" s="88"/>
      <c r="Q35" s="72"/>
    </row>
    <row r="36" spans="2:17" ht="15">
      <c r="B36" s="69">
        <f t="shared" si="0"/>
        <v>2050</v>
      </c>
      <c r="C36" s="73"/>
      <c r="D36" s="277">
        <f t="shared" si="13"/>
        <v>141.59646768687938</v>
      </c>
      <c r="E36" s="277">
        <f t="shared" si="13"/>
        <v>55.448151281602769</v>
      </c>
      <c r="F36" s="71"/>
      <c r="G36" s="72">
        <f t="shared" ref="G36" si="18">(D36+E36+F36)/(8.76*$C$61)</f>
        <v>54.530656349554995</v>
      </c>
      <c r="H36" s="71"/>
      <c r="I36" s="71"/>
      <c r="J36" s="72">
        <f t="shared" ref="J36" si="19">(G36+H36+I36)</f>
        <v>54.530656349554995</v>
      </c>
      <c r="K36" s="72">
        <f t="shared" ref="K36" si="20">ROUND(J36*$C$61*8.76,2)</f>
        <v>197.04</v>
      </c>
      <c r="L36" s="71">
        <f t="shared" ref="L36" si="21">(D36+E36+F36)</f>
        <v>197.04461896848215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287</v>
      </c>
      <c r="C38" s="73"/>
      <c r="D38" s="71"/>
      <c r="E38" s="71"/>
      <c r="F38" s="71"/>
      <c r="G38" s="72"/>
      <c r="H38" s="71"/>
      <c r="I38" s="71"/>
      <c r="J38" s="71"/>
      <c r="K38" s="72">
        <f>-PMT(Discount_Rate,COUNT(K$14:K$28),NPV(Discount_Rate,K$14:K$28))</f>
        <v>1.5478963961878931</v>
      </c>
      <c r="L38" s="72">
        <f>-PMT(Discount_Rate,COUNT(L$14:L$28),NPV(Discount_Rate,L$14:L$28))</f>
        <v>139.71360554438289</v>
      </c>
      <c r="M38" s="75"/>
    </row>
    <row r="39" spans="2:17">
      <c r="B39" s="69" t="s">
        <v>289</v>
      </c>
      <c r="K39" s="72">
        <f>-PMT(Discount_Rate,COUNT(K$13:K$32),NPV(Discount_Rate,K$13:K$32))</f>
        <v>23.267459451028738</v>
      </c>
      <c r="L39" s="72">
        <f>-PMT(Discount_Rate,COUNT(L$13:L$32),NPV(Discount_Rate,L$13:L$32))</f>
        <v>144.10865850859398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197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>
        <f>F7</f>
        <v>0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6"/>
      <c r="D50" s="77"/>
      <c r="E50" s="77"/>
      <c r="F50" s="77"/>
      <c r="G50" s="77"/>
      <c r="H50" s="77"/>
      <c r="I50" s="77"/>
    </row>
    <row r="51" spans="2:20">
      <c r="C51" s="315"/>
      <c r="D51" s="326"/>
      <c r="E51" s="326"/>
      <c r="F51" s="326"/>
      <c r="G51" s="326"/>
      <c r="H51" s="326"/>
      <c r="I51" s="61"/>
    </row>
    <row r="52" spans="2:20">
      <c r="Q52" s="62" t="s">
        <v>87</v>
      </c>
      <c r="R52" s="69">
        <v>2028</v>
      </c>
      <c r="T52" s="174" t="s">
        <v>157</v>
      </c>
    </row>
    <row r="53" spans="2:20">
      <c r="B53"/>
      <c r="C53" s="327"/>
      <c r="P53" s="156"/>
      <c r="T53" s="174"/>
    </row>
    <row r="54" spans="2:20">
      <c r="B54"/>
      <c r="C54" s="328"/>
      <c r="Q54" s="62" t="s">
        <v>215</v>
      </c>
      <c r="R54" s="88">
        <v>403.03573570578232</v>
      </c>
      <c r="T54" s="62" t="s">
        <v>336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283</v>
      </c>
      <c r="E60" s="165"/>
      <c r="F60" s="325" t="s">
        <v>286</v>
      </c>
      <c r="J60" s="276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9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119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50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Assumptions'!$E$275:$E$298,'WD_.PX.DJW._.PTC.2029'!$B11-2023,1)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Assumptions'!$E$275:$E$298,'WD_.PX.DJW._.PTC.2029'!$B12-2023,1)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Assumptions'!$E$275:$E$298,'WD_.PX.DJW._.PTC.2029'!$B13-2023,1)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71"/>
      <c r="E14" s="71" cm="1">
        <f t="array" ref="E14">$E$10*INDEX('2025 IRP Assumptions'!$E$275:$E$298,'WD_.PX.DJW._.PTC.2029'!$B14-2023,1)</f>
        <v>34.501446836549995</v>
      </c>
      <c r="F14" s="284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1394.16671932432</v>
      </c>
      <c r="D15" s="250">
        <f>C15*$C$60</f>
        <v>88.055569992524042</v>
      </c>
      <c r="E15" s="71" cm="1">
        <f t="array" ref="E15">$E$10*INDEX('2025 IRP Assumptions'!$E$275:$E$298,'WD_.PX.DJW._.PTC.2029'!$B15-2023,1)</f>
        <v>35.253578386050002</v>
      </c>
      <c r="F15" s="71"/>
      <c r="G15" s="72">
        <f t="shared" ref="G15:G36" si="1">(D15+E15+F15)/(8.76*$C$61)</f>
        <v>34.124904451533645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6" si="2">(G15+H15+I15)</f>
        <v>-12.548095548466357</v>
      </c>
      <c r="K15" s="72">
        <f t="shared" ref="K15:K36" si="3">ROUND(J15*$C$61*8.76,2)</f>
        <v>-45.34</v>
      </c>
      <c r="L15" s="71">
        <f t="shared" ref="L15:L36" si="4">(D15+E15+F15)</f>
        <v>123.30914837857404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Assumptions'!$E$275:$E$298,'WD_.PX.DJW._.PTC.2029'!$B16-2023,1)/INDEX('2025 IRP Assumptions'!$E$275:$E$298,'WD_.PX.DJW._.PTC.2029'!$B16-2023-1,1)</f>
        <v>89.975181371987603</v>
      </c>
      <c r="E16" s="71" cm="1">
        <f t="array" ref="E16">$E$10*INDEX('2025 IRP Assumptions'!$E$275:$E$298,'WD_.PX.DJW._.PTC.2029'!$B16-2023,1)</f>
        <v>36.022106376299995</v>
      </c>
      <c r="F16" s="71"/>
      <c r="G16" s="72">
        <f t="shared" si="1"/>
        <v>34.868827350605585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2"/>
        <v>-13.267172649394418</v>
      </c>
      <c r="K16" s="72">
        <f t="shared" si="3"/>
        <v>-47.94</v>
      </c>
      <c r="L16" s="71">
        <f t="shared" si="4"/>
        <v>125.99728774828759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Assumptions'!$E$275:$E$298,'WD_.PX.DJW._.PTC.2029'!$B17-2023,1)/INDEX('2025 IRP Assumptions'!$E$275:$E$298,'WD_.PX.DJW._.PTC.2029'!$B17-2023-1,1)</f>
        <v>91.93664032276638</v>
      </c>
      <c r="E17" s="71" cm="1">
        <f t="array" ref="E17">$E$10*INDEX('2025 IRP Assumptions'!$E$275:$E$298,'WD_.PX.DJW._.PTC.2029'!$B17-2023,1)</f>
        <v>36.80738829405</v>
      </c>
      <c r="F17" s="71"/>
      <c r="G17" s="72">
        <f t="shared" si="1"/>
        <v>35.628967785635574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2"/>
        <v>-13.959032214364427</v>
      </c>
      <c r="K17" s="72">
        <f t="shared" si="3"/>
        <v>-50.44</v>
      </c>
      <c r="L17" s="71">
        <f t="shared" si="4"/>
        <v>128.74402861681637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Assumptions'!$E$275:$E$298,'WD_.PX.DJW._.PTC.2029'!$B18-2023,1)/INDEX('2025 IRP Assumptions'!$E$275:$E$298,'WD_.PX.DJW._.PTC.2029'!$B18-2023-1,1)</f>
        <v>93.940859056299658</v>
      </c>
      <c r="E18" s="71" cm="1">
        <f t="array" ref="E18">$E$10*INDEX('2025 IRP Assumptions'!$E$275:$E$298,'WD_.PX.DJW._.PTC.2029'!$B18-2023,1)</f>
        <v>37.609789348650004</v>
      </c>
      <c r="F18" s="71"/>
      <c r="G18" s="72">
        <f t="shared" si="1"/>
        <v>36.405679273479038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2"/>
        <v>-13.182320726520963</v>
      </c>
      <c r="K18" s="72">
        <f t="shared" si="3"/>
        <v>-47.63</v>
      </c>
      <c r="L18" s="71">
        <f t="shared" si="4"/>
        <v>131.55064840494967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Assumptions'!$E$275:$E$298,'WD_.PX.DJW._.PTC.2029'!$B19-2023,1)/INDEX('2025 IRP Assumptions'!$E$275:$E$298,'WD_.PX.DJW._.PTC.2029'!$B19-2023-1,1)</f>
        <v>95.988769784849552</v>
      </c>
      <c r="E19" s="71" cm="1">
        <f t="array" ref="E19">$E$10*INDEX('2025 IRP Assumptions'!$E$275:$E$298,'WD_.PX.DJW._.PTC.2029'!$B19-2023,1)</f>
        <v>38.429682756899993</v>
      </c>
      <c r="F19" s="71"/>
      <c r="G19" s="72">
        <f t="shared" si="1"/>
        <v>37.199323082075921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2"/>
        <v>-13.851676917924081</v>
      </c>
      <c r="K19" s="72">
        <f t="shared" si="3"/>
        <v>-50.05</v>
      </c>
      <c r="L19" s="71">
        <f t="shared" si="4"/>
        <v>134.41845254174956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Assumptions'!$E$275:$E$298,'WD_.PX.DJW._.PTC.2029'!$B20-2023,1)/INDEX('2025 IRP Assumptions'!$E$275:$E$298,'WD_.PX.DJW._.PTC.2029'!$B20-2023-1,1)</f>
        <v>98.081325037719537</v>
      </c>
      <c r="E20" s="71" cm="1">
        <f t="array" ref="E20">$E$10*INDEX('2025 IRP Assumptions'!$E$275:$E$298,'WD_.PX.DJW._.PTC.2029'!$B20-2023,1)</f>
        <v>39.267449869649994</v>
      </c>
      <c r="F20" s="71"/>
      <c r="G20" s="72">
        <f t="shared" si="1"/>
        <v>38.010268352997514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2"/>
        <v>-14.503731647002489</v>
      </c>
      <c r="K20" s="72">
        <f t="shared" si="3"/>
        <v>-52.41</v>
      </c>
      <c r="L20" s="71">
        <f t="shared" si="4"/>
        <v>137.34877490736955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Assumptions'!$E$275:$E$298,'WD_.PX.DJW._.PTC.2029'!$B21-2023,1)/INDEX('2025 IRP Assumptions'!$E$275:$E$298,'WD_.PX.DJW._.PTC.2029'!$B21-2023-1,1)</f>
        <v>100.21949789841825</v>
      </c>
      <c r="E21" s="71" cm="1">
        <f t="array" ref="E21">$E$10*INDEX('2025 IRP Assumptions'!$E$275:$E$298,'WD_.PX.DJW._.PTC.2029'!$B21-2023,1)</f>
        <v>40.123480266749993</v>
      </c>
      <c r="F21" s="71"/>
      <c r="G21" s="72">
        <f t="shared" si="1"/>
        <v>38.838892193356507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2"/>
        <v>-13.675107806643496</v>
      </c>
      <c r="K21" s="72">
        <f t="shared" si="3"/>
        <v>-49.41</v>
      </c>
      <c r="L21" s="71">
        <f t="shared" si="4"/>
        <v>140.34297816516823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Assumptions'!$E$275:$E$298,'WD_.PX.DJW._.PTC.2029'!$B22-2023,1)/INDEX('2025 IRP Assumptions'!$E$275:$E$298,'WD_.PX.DJW._.PTC.2029'!$B22-2023-1,1)</f>
        <v>102.40428295331526</v>
      </c>
      <c r="E22" s="71" cm="1">
        <f t="array" ref="E22">$E$10*INDEX('2025 IRP Assumptions'!$E$275:$E$298,'WD_.PX.DJW._.PTC.2029'!$B22-2023,1)</f>
        <v>40.998172136849995</v>
      </c>
      <c r="F22" s="71"/>
      <c r="G22" s="72">
        <f t="shared" si="1"/>
        <v>39.685580043447416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2"/>
        <v>-14.280419956552592</v>
      </c>
      <c r="K22" s="72">
        <f t="shared" si="3"/>
        <v>-51.6</v>
      </c>
      <c r="L22" s="71">
        <f t="shared" si="4"/>
        <v>143.40245509016526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Assumptions'!$E$275:$E$298,'WD_.PX.DJW._.PTC.2029'!$B23-2023,1)/INDEX('2025 IRP Assumptions'!$E$275:$E$298,'WD_.PX.DJW._.PTC.2029'!$B23-2023-1,1)</f>
        <v>104.63669629164096</v>
      </c>
      <c r="E23" s="71" cm="1">
        <f t="array" ref="E23">$E$10*INDEX('2025 IRP Assumptions'!$E$275:$E$298,'WD_.PX.DJW._.PTC.2029'!$B23-2023,1)</f>
        <v>41.891932277399995</v>
      </c>
      <c r="F23" s="71"/>
      <c r="G23" s="72">
        <f t="shared" si="1"/>
        <v>40.550725676746495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2"/>
        <v>-14.878274323253507</v>
      </c>
      <c r="K23" s="72">
        <f t="shared" si="3"/>
        <v>-53.76</v>
      </c>
      <c r="L23" s="71">
        <f t="shared" si="4"/>
        <v>146.52862856904096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Assumptions'!$E$275:$E$298,'WD_.PX.DJW._.PTC.2029'!$B24-2023,1)/INDEX('2025 IRP Assumptions'!$E$275:$E$298,'WD_.PX.DJW._.PTC.2029'!$B24-2023-1,1)</f>
        <v>106.91777629603298</v>
      </c>
      <c r="E24" s="71" cm="1">
        <f t="array" ref="E24">$E$10*INDEX('2025 IRP Assumptions'!$E$275:$E$298,'WD_.PX.DJW._.PTC.2029'!$B24-2023,1)</f>
        <v>42.805176411150001</v>
      </c>
      <c r="F24" s="71"/>
      <c r="G24" s="72">
        <f t="shared" si="1"/>
        <v>41.434731506278801</v>
      </c>
      <c r="H24" s="71"/>
      <c r="I24" s="71"/>
      <c r="J24" s="72">
        <f t="shared" si="2"/>
        <v>41.434731506278801</v>
      </c>
      <c r="K24" s="72">
        <f t="shared" si="3"/>
        <v>149.72</v>
      </c>
      <c r="L24" s="71">
        <f t="shared" si="4"/>
        <v>149.72295270718297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Assumptions'!$E$275:$E$298,'WD_.PX.DJW._.PTC.2029'!$B25-2023,1)/INDEX('2025 IRP Assumptions'!$E$275:$E$298,'WD_.PX.DJW._.PTC.2029'!$B25-2023-1,1)</f>
        <v>109.24858380064542</v>
      </c>
      <c r="E25" s="71" cm="1">
        <f t="array" ref="E25">$E$10*INDEX('2025 IRP Assumptions'!$E$275:$E$298,'WD_.PX.DJW._.PTC.2029'!$B25-2023,1)</f>
        <v>43.738329249449997</v>
      </c>
      <c r="F25" s="71"/>
      <c r="G25" s="72">
        <f t="shared" si="1"/>
        <v>42.338008645891549</v>
      </c>
      <c r="H25" s="71"/>
      <c r="I25" s="71"/>
      <c r="J25" s="72">
        <f t="shared" si="2"/>
        <v>42.338008645891549</v>
      </c>
      <c r="K25" s="72">
        <f t="shared" si="3"/>
        <v>152.99</v>
      </c>
      <c r="L25" s="71">
        <f t="shared" si="4"/>
        <v>152.98691305009541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Assumptions'!$E$275:$E$298,'WD_.PX.DJW._.PTC.2029'!$B26-2023,1)/INDEX('2025 IRP Assumptions'!$E$275:$E$298,'WD_.PX.DJW._.PTC.2029'!$B26-2023-1,1)</f>
        <v>111.63020296074988</v>
      </c>
      <c r="E26" s="71" cm="1">
        <f t="array" ref="E26">$E$10*INDEX('2025 IRP Assumptions'!$E$275:$E$298,'WD_.PX.DJW._.PTC.2029'!$B26-2023,1)</f>
        <v>44.691824840399995</v>
      </c>
      <c r="F26" s="71"/>
      <c r="G26" s="72">
        <f t="shared" si="1"/>
        <v>43.260977247257784</v>
      </c>
      <c r="H26" s="71"/>
      <c r="I26" s="71"/>
      <c r="J26" s="72">
        <f t="shared" si="2"/>
        <v>43.260977247257784</v>
      </c>
      <c r="K26" s="72">
        <f t="shared" si="3"/>
        <v>156.32</v>
      </c>
      <c r="L26" s="71">
        <f t="shared" si="4"/>
        <v>156.32202780114989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Assumptions'!$E$275:$E$298,'WD_.PX.DJW._.PTC.2029'!$B27-2023,1)/INDEX('2025 IRP Assumptions'!$E$275:$E$298,'WD_.PX.DJW._.PTC.2029'!$B27-2023-1,1)</f>
        <v>114.06374133179006</v>
      </c>
      <c r="E27" s="71" cm="1">
        <f t="array" ref="E27">$E$10*INDEX('2025 IRP Assumptions'!$E$275:$E$298,'WD_.PX.DJW._.PTC.2029'!$B27-2023,1)</f>
        <v>45.666106600499994</v>
      </c>
      <c r="F27" s="71"/>
      <c r="G27" s="72">
        <f t="shared" si="1"/>
        <v>44.204066530513089</v>
      </c>
      <c r="H27" s="71"/>
      <c r="I27" s="71"/>
      <c r="J27" s="72">
        <f t="shared" si="2"/>
        <v>44.204066530513089</v>
      </c>
      <c r="K27" s="72">
        <f t="shared" si="3"/>
        <v>159.72999999999999</v>
      </c>
      <c r="L27" s="71">
        <f t="shared" si="4"/>
        <v>159.72984793229006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Assumptions'!$E$275:$E$298,'WD_.PX.DJW._.PTC.2029'!$B28-2023,1)/INDEX('2025 IRP Assumptions'!$E$275:$E$298,'WD_.PX.DJW._.PTC.2029'!$B28-2023-1,1)</f>
        <v>116.55033089709202</v>
      </c>
      <c r="E28" s="71" cm="1">
        <f t="array" ref="E28">$E$10*INDEX('2025 IRP Assumptions'!$E$275:$E$298,'WD_.PX.DJW._.PTC.2029'!$B28-2023,1)</f>
        <v>46.661627726100001</v>
      </c>
      <c r="F28" s="71"/>
      <c r="G28" s="72">
        <f t="shared" si="1"/>
        <v>45.16771518253266</v>
      </c>
      <c r="H28" s="71"/>
      <c r="I28" s="71"/>
      <c r="J28" s="72">
        <f t="shared" si="2"/>
        <v>45.16771518253266</v>
      </c>
      <c r="K28" s="72">
        <f t="shared" si="3"/>
        <v>163.21</v>
      </c>
      <c r="L28" s="71">
        <f t="shared" si="4"/>
        <v>163.21195862319203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Assumptions'!$E$275:$E$298,'WD_.PX.DJW._.PTC.2029'!$B29-2023,1)/INDEX('2025 IRP Assumptions'!$E$275:$E$298,'WD_.PX.DJW._.PTC.2029'!$B29-2023-1,1)</f>
        <v>119.0911281469189</v>
      </c>
      <c r="E29" s="71" cm="1">
        <f t="array" ref="E29">$E$10*INDEX('2025 IRP Assumptions'!$E$275:$E$298,'WD_.PX.DJW._.PTC.2029'!$B29-2023,1)</f>
        <v>47.678851225049996</v>
      </c>
      <c r="F29" s="71"/>
      <c r="G29" s="72">
        <f t="shared" si="1"/>
        <v>46.152371387567982</v>
      </c>
      <c r="H29" s="71"/>
      <c r="I29" s="71"/>
      <c r="J29" s="72">
        <f t="shared" si="2"/>
        <v>46.152371387567982</v>
      </c>
      <c r="K29" s="72">
        <f t="shared" si="3"/>
        <v>166.77</v>
      </c>
      <c r="L29" s="71">
        <f t="shared" si="4"/>
        <v>166.7699793719689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Assumptions'!$E$275:$E$298,'WD_.PX.DJW._.PTC.2029'!$B30-2023,1)/INDEX('2025 IRP Assumptions'!$E$275:$E$298,'WD_.PX.DJW._.PTC.2029'!$B30-2023-1,1)</f>
        <v>121.68731471090787</v>
      </c>
      <c r="E30" s="71" cm="1">
        <f t="array" ref="E30">$E$10*INDEX('2025 IRP Assumptions'!$E$275:$E$298,'WD_.PX.DJW._.PTC.2029'!$B30-2023,1)</f>
        <v>48.718250169900003</v>
      </c>
      <c r="F30" s="71"/>
      <c r="G30" s="72">
        <f t="shared" si="1"/>
        <v>47.158493072340463</v>
      </c>
      <c r="H30" s="71"/>
      <c r="I30" s="71"/>
      <c r="J30" s="72">
        <f t="shared" si="2"/>
        <v>47.158493072340463</v>
      </c>
      <c r="K30" s="72">
        <f t="shared" si="3"/>
        <v>170.41</v>
      </c>
      <c r="L30" s="71">
        <f t="shared" si="4"/>
        <v>170.40556488080787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Assumptions'!$E$275:$E$298,'WD_.PX.DJW._.PTC.2029'!$B31-2023,1)/INDEX('2025 IRP Assumptions'!$E$275:$E$298,'WD_.PX.DJW._.PTC.2029'!$B31-2023-1,1)</f>
        <v>124.34009822767121</v>
      </c>
      <c r="E31" s="71" cm="1">
        <f t="array" ref="E31">$E$10*INDEX('2025 IRP Assumptions'!$E$275:$E$298,'WD_.PX.DJW._.PTC.2029'!$B31-2023,1)</f>
        <v>49.780308046050003</v>
      </c>
      <c r="F31" s="71"/>
      <c r="G31" s="72">
        <f t="shared" si="1"/>
        <v>48.186548243045031</v>
      </c>
      <c r="H31" s="71"/>
      <c r="I31" s="71"/>
      <c r="J31" s="72">
        <f t="shared" si="2"/>
        <v>48.186548243045031</v>
      </c>
      <c r="K31" s="72">
        <f t="shared" si="3"/>
        <v>174.12</v>
      </c>
      <c r="L31" s="71">
        <f t="shared" si="4"/>
        <v>174.12040627372122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Assumptions'!$E$275:$E$298,'WD_.PX.DJW._.PTC.2029'!$B32-2023,1)/INDEX('2025 IRP Assumptions'!$E$275:$E$298,'WD_.PX.DJW._.PTC.2029'!$B32-2023-1,1)</f>
        <v>127.05071234479628</v>
      </c>
      <c r="E32" s="71" cm="1">
        <f t="array" ref="E32">$E$10*INDEX('2025 IRP Assumptions'!$E$275:$E$298,'WD_.PX.DJW._.PTC.2029'!$B32-2023,1)</f>
        <v>50.865518751749995</v>
      </c>
      <c r="F32" s="71"/>
      <c r="G32" s="72">
        <f t="shared" si="1"/>
        <v>49.2370149853502</v>
      </c>
      <c r="H32" s="71"/>
      <c r="I32" s="71"/>
      <c r="J32" s="72">
        <f t="shared" si="2"/>
        <v>49.2370149853502</v>
      </c>
      <c r="K32" s="72">
        <f t="shared" si="3"/>
        <v>177.92</v>
      </c>
      <c r="L32" s="71">
        <f t="shared" si="4"/>
        <v>177.91623109654628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Assumptions'!$E$275:$E$298,'WD_.PX.DJW._.PTC.2029'!$B33-2023,1)/INDEX('2025 IRP Assumptions'!$E$275:$E$298,'WD_.PX.DJW._.PTC.2029'!$B33-2023-1,1)</f>
        <v>129.82041782561046</v>
      </c>
      <c r="E33" s="71" cm="1">
        <f t="array" ref="E33">$E$10*INDEX('2025 IRP Assumptions'!$E$275:$E$298,'WD_.PX.DJW._.PTC.2029'!$B33-2023,1)</f>
        <v>51.974387041199996</v>
      </c>
      <c r="F33" s="71"/>
      <c r="G33" s="72">
        <f t="shared" si="1"/>
        <v>50.310381893311813</v>
      </c>
      <c r="H33" s="71"/>
      <c r="I33" s="71"/>
      <c r="J33" s="72">
        <f t="shared" si="2"/>
        <v>50.310381893311813</v>
      </c>
      <c r="K33" s="72">
        <f t="shared" si="3"/>
        <v>181.79</v>
      </c>
      <c r="L33" s="71">
        <f t="shared" si="4"/>
        <v>181.79480486681047</v>
      </c>
      <c r="P33" s="88"/>
      <c r="Q33" s="72"/>
    </row>
    <row r="34" spans="2:17" ht="15">
      <c r="B34" s="69">
        <f t="shared" si="0"/>
        <v>2048</v>
      </c>
      <c r="C34" s="73"/>
      <c r="D34" s="277">
        <f t="shared" ref="D34:E36" si="5">D33*D33/D32</f>
        <v>132.65050288485341</v>
      </c>
      <c r="E34" s="277">
        <f t="shared" si="5"/>
        <v>53.107428658938439</v>
      </c>
      <c r="F34" s="71"/>
      <c r="G34" s="72">
        <f t="shared" si="1"/>
        <v>51.407148199458909</v>
      </c>
      <c r="H34" s="71"/>
      <c r="I34" s="71"/>
      <c r="J34" s="72">
        <f t="shared" si="2"/>
        <v>51.407148199458909</v>
      </c>
      <c r="K34" s="72">
        <f t="shared" si="3"/>
        <v>185.76</v>
      </c>
      <c r="L34" s="71">
        <f t="shared" si="4"/>
        <v>185.75793154379184</v>
      </c>
      <c r="P34" s="88"/>
      <c r="Q34" s="72"/>
    </row>
    <row r="35" spans="2:17" ht="15">
      <c r="B35" s="69">
        <f t="shared" si="0"/>
        <v>2049</v>
      </c>
      <c r="C35" s="73"/>
      <c r="D35" s="277">
        <f t="shared" si="5"/>
        <v>135.54228379731191</v>
      </c>
      <c r="E35" s="277">
        <f t="shared" si="5"/>
        <v>54.26517058351282</v>
      </c>
      <c r="F35" s="71"/>
      <c r="G35" s="72">
        <f t="shared" si="1"/>
        <v>52.527824010663061</v>
      </c>
      <c r="H35" s="71"/>
      <c r="I35" s="71"/>
      <c r="J35" s="72">
        <f t="shared" si="2"/>
        <v>52.527824010663061</v>
      </c>
      <c r="K35" s="72">
        <f t="shared" si="3"/>
        <v>189.81</v>
      </c>
      <c r="L35" s="71">
        <f t="shared" si="4"/>
        <v>189.80745438082474</v>
      </c>
      <c r="P35" s="88"/>
      <c r="Q35" s="72"/>
    </row>
    <row r="36" spans="2:17" ht="15">
      <c r="B36" s="69">
        <f t="shared" si="0"/>
        <v>2050</v>
      </c>
      <c r="C36" s="73"/>
      <c r="D36" s="277">
        <f t="shared" si="5"/>
        <v>138.49710553256259</v>
      </c>
      <c r="E36" s="277">
        <f t="shared" si="5"/>
        <v>55.448151281602769</v>
      </c>
      <c r="F36" s="71"/>
      <c r="G36" s="72">
        <f t="shared" si="1"/>
        <v>53.672930554125386</v>
      </c>
      <c r="H36" s="71"/>
      <c r="I36" s="71"/>
      <c r="J36" s="72">
        <f t="shared" si="2"/>
        <v>53.672930554125386</v>
      </c>
      <c r="K36" s="72">
        <f t="shared" si="3"/>
        <v>193.95</v>
      </c>
      <c r="L36" s="71">
        <f t="shared" si="4"/>
        <v>193.94525681416536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197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6"/>
      <c r="D50" s="77"/>
      <c r="E50" s="77"/>
      <c r="F50" s="77"/>
      <c r="G50" s="77"/>
      <c r="H50" s="77"/>
      <c r="I50" s="77"/>
    </row>
    <row r="51" spans="2:20">
      <c r="C51" s="315"/>
      <c r="D51" s="326"/>
      <c r="E51" s="326"/>
      <c r="F51" s="326"/>
      <c r="G51" s="326"/>
      <c r="H51" s="326"/>
      <c r="I51" s="61"/>
    </row>
    <row r="52" spans="2:20">
      <c r="Q52" s="62" t="s">
        <v>87</v>
      </c>
      <c r="R52" s="69">
        <v>2029</v>
      </c>
      <c r="T52" s="174" t="s">
        <v>157</v>
      </c>
    </row>
    <row r="53" spans="2:20">
      <c r="B53"/>
      <c r="C53" s="327"/>
      <c r="P53" s="156"/>
      <c r="T53" s="174"/>
    </row>
    <row r="54" spans="2:20">
      <c r="B54"/>
      <c r="C54" s="328"/>
      <c r="Q54" s="62" t="s">
        <v>215</v>
      </c>
      <c r="R54" s="88">
        <v>210.59213080000001</v>
      </c>
      <c r="T54" s="62" t="s">
        <v>336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283</v>
      </c>
      <c r="E60" s="165"/>
      <c r="F60" s="325" t="s">
        <v>286</v>
      </c>
      <c r="J60" s="276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18"/>
  <sheetViews>
    <sheetView topLeftCell="C168" zoomScale="80" zoomScaleNormal="80" workbookViewId="0">
      <selection activeCell="E186" sqref="E186"/>
    </sheetView>
  </sheetViews>
  <sheetFormatPr defaultColWidth="9.33203125" defaultRowHeight="15"/>
  <cols>
    <col min="1" max="1" width="22.5" style="259" customWidth="1"/>
    <col min="2" max="2" width="54.5" style="259" customWidth="1"/>
    <col min="3" max="3" width="48.5" style="259" customWidth="1"/>
    <col min="4" max="4" width="37.6640625" style="259" customWidth="1"/>
    <col min="5" max="5" width="14.1640625" style="259" customWidth="1"/>
    <col min="6" max="6" width="9.33203125" style="259"/>
    <col min="7" max="7" width="17.83203125" style="259" customWidth="1"/>
    <col min="8" max="8" width="15.1640625" style="259" customWidth="1"/>
    <col min="9" max="9" width="23.83203125" style="259" customWidth="1"/>
    <col min="10" max="10" width="11.33203125" style="259" customWidth="1"/>
    <col min="11" max="11" width="16" style="259" customWidth="1"/>
    <col min="12" max="12" width="9.33203125" style="259"/>
    <col min="13" max="13" width="21.6640625" style="259" customWidth="1"/>
    <col min="14" max="21" width="9.33203125" style="259"/>
    <col min="22" max="22" width="40.1640625" style="259" customWidth="1"/>
    <col min="23" max="24" width="33.33203125" style="259" customWidth="1"/>
    <col min="25" max="25" width="14" style="259" customWidth="1"/>
    <col min="26" max="29" width="33.33203125" style="259" customWidth="1"/>
    <col min="30" max="16384" width="9.33203125" style="259"/>
  </cols>
  <sheetData>
    <row r="1" spans="1:29" s="257" customFormat="1">
      <c r="A1" s="257" t="s">
        <v>95</v>
      </c>
      <c r="B1" s="257" t="s">
        <v>96</v>
      </c>
      <c r="C1" s="257" t="s">
        <v>97</v>
      </c>
      <c r="D1" s="257" t="s">
        <v>98</v>
      </c>
      <c r="E1" s="257" t="s">
        <v>99</v>
      </c>
      <c r="F1" s="257" t="s">
        <v>100</v>
      </c>
      <c r="G1" s="257" t="s">
        <v>101</v>
      </c>
      <c r="H1" s="257" t="s">
        <v>102</v>
      </c>
      <c r="I1" s="257" t="s">
        <v>103</v>
      </c>
      <c r="J1" s="257" t="s">
        <v>104</v>
      </c>
      <c r="K1" s="257" t="s">
        <v>105</v>
      </c>
      <c r="L1" s="257" t="s">
        <v>106</v>
      </c>
      <c r="M1" s="257" t="s">
        <v>107</v>
      </c>
      <c r="N1" s="257" t="s">
        <v>108</v>
      </c>
      <c r="O1" s="257" t="s">
        <v>109</v>
      </c>
      <c r="P1" s="257" t="s">
        <v>110</v>
      </c>
      <c r="U1" s="258"/>
      <c r="V1" s="258"/>
      <c r="W1" s="258"/>
      <c r="X1" s="258"/>
      <c r="Y1" s="258"/>
      <c r="Z1" s="258"/>
      <c r="AA1" s="258"/>
      <c r="AB1" s="258"/>
      <c r="AC1" s="258"/>
    </row>
    <row r="2" spans="1:29">
      <c r="A2" s="259" t="s">
        <v>143</v>
      </c>
      <c r="B2" s="259" t="s">
        <v>112</v>
      </c>
      <c r="C2" s="259" t="s">
        <v>144</v>
      </c>
      <c r="D2" s="259" t="s">
        <v>145</v>
      </c>
      <c r="E2" s="259">
        <v>1289.55</v>
      </c>
      <c r="G2" s="259" t="s">
        <v>8</v>
      </c>
      <c r="H2" s="259">
        <v>1</v>
      </c>
      <c r="L2" s="259" t="s">
        <v>146</v>
      </c>
      <c r="M2" s="259" t="s">
        <v>147</v>
      </c>
      <c r="P2" s="259" t="s">
        <v>148</v>
      </c>
      <c r="U2" s="258"/>
      <c r="V2" s="257"/>
      <c r="W2" s="258"/>
      <c r="X2" s="258"/>
      <c r="Y2" s="258"/>
      <c r="Z2" s="258"/>
      <c r="AA2" s="258"/>
      <c r="AB2" s="258"/>
      <c r="AC2" s="258"/>
    </row>
    <row r="3" spans="1:29">
      <c r="A3" s="259" t="s">
        <v>143</v>
      </c>
      <c r="B3" s="259" t="s">
        <v>112</v>
      </c>
      <c r="C3" s="259" t="s">
        <v>149</v>
      </c>
      <c r="D3" s="259" t="s">
        <v>145</v>
      </c>
      <c r="E3" s="259">
        <v>1350.37</v>
      </c>
      <c r="G3" s="259" t="s">
        <v>8</v>
      </c>
      <c r="H3" s="259">
        <v>1</v>
      </c>
      <c r="L3" s="259" t="s">
        <v>146</v>
      </c>
      <c r="M3" s="259" t="s">
        <v>147</v>
      </c>
      <c r="P3" s="259" t="s">
        <v>148</v>
      </c>
    </row>
    <row r="4" spans="1:29">
      <c r="A4" s="259" t="s">
        <v>143</v>
      </c>
      <c r="B4" s="259" t="s">
        <v>112</v>
      </c>
      <c r="C4" s="259" t="s">
        <v>150</v>
      </c>
      <c r="D4" s="259" t="s">
        <v>145</v>
      </c>
      <c r="E4" s="259">
        <v>1289.55</v>
      </c>
      <c r="G4" s="259" t="s">
        <v>8</v>
      </c>
      <c r="H4" s="259">
        <v>1</v>
      </c>
      <c r="I4" s="260"/>
      <c r="J4" s="260"/>
      <c r="L4" s="259" t="s">
        <v>146</v>
      </c>
      <c r="M4" s="259" t="s">
        <v>147</v>
      </c>
      <c r="P4" s="259" t="s">
        <v>148</v>
      </c>
      <c r="U4" s="258"/>
      <c r="V4" s="261"/>
      <c r="W4" s="262"/>
      <c r="X4" s="263"/>
      <c r="Y4" s="263"/>
      <c r="Z4" s="264"/>
      <c r="AA4" s="263"/>
      <c r="AB4" s="265"/>
      <c r="AC4" s="263"/>
    </row>
    <row r="5" spans="1:29">
      <c r="A5" s="259" t="s">
        <v>143</v>
      </c>
      <c r="B5" s="259" t="s">
        <v>112</v>
      </c>
      <c r="C5" s="259" t="s">
        <v>151</v>
      </c>
      <c r="D5" s="259" t="s">
        <v>145</v>
      </c>
      <c r="E5" s="259">
        <v>1216.55</v>
      </c>
      <c r="G5" s="259" t="s">
        <v>8</v>
      </c>
      <c r="H5" s="259">
        <v>1</v>
      </c>
      <c r="I5" s="260"/>
      <c r="J5" s="260"/>
      <c r="L5" s="259" t="s">
        <v>146</v>
      </c>
      <c r="M5" s="259" t="s">
        <v>147</v>
      </c>
      <c r="P5" s="259" t="s">
        <v>148</v>
      </c>
      <c r="U5" s="258"/>
      <c r="V5" s="261"/>
      <c r="W5" s="262"/>
      <c r="X5" s="263"/>
      <c r="Y5" s="263"/>
      <c r="Z5" s="264"/>
      <c r="AA5" s="263"/>
      <c r="AB5" s="265"/>
      <c r="AC5" s="263"/>
    </row>
    <row r="6" spans="1:29">
      <c r="A6" s="259" t="s">
        <v>143</v>
      </c>
      <c r="B6" s="259" t="s">
        <v>112</v>
      </c>
      <c r="C6" s="259" t="s">
        <v>206</v>
      </c>
      <c r="D6" s="259" t="s">
        <v>145</v>
      </c>
      <c r="E6" s="259">
        <v>1240.8800000000001</v>
      </c>
      <c r="G6" s="259" t="s">
        <v>8</v>
      </c>
      <c r="H6" s="259">
        <v>1</v>
      </c>
      <c r="I6" s="260"/>
      <c r="J6" s="260"/>
      <c r="L6" s="259" t="s">
        <v>146</v>
      </c>
      <c r="M6" s="259" t="s">
        <v>147</v>
      </c>
      <c r="P6" s="259" t="s">
        <v>148</v>
      </c>
      <c r="U6" s="258"/>
      <c r="V6" s="261"/>
      <c r="W6" s="262"/>
      <c r="X6" s="263"/>
      <c r="Y6" s="263"/>
      <c r="Z6" s="264"/>
      <c r="AA6" s="263"/>
      <c r="AB6" s="265"/>
      <c r="AC6" s="263"/>
    </row>
    <row r="7" spans="1:29">
      <c r="A7" s="259" t="s">
        <v>143</v>
      </c>
      <c r="B7" s="259" t="s">
        <v>112</v>
      </c>
      <c r="C7" s="259" t="s">
        <v>152</v>
      </c>
      <c r="D7" s="259" t="s">
        <v>145</v>
      </c>
      <c r="E7" s="259">
        <v>1289.55</v>
      </c>
      <c r="G7" s="259" t="s">
        <v>8</v>
      </c>
      <c r="H7" s="259">
        <v>1</v>
      </c>
      <c r="L7" s="259" t="s">
        <v>146</v>
      </c>
      <c r="M7" s="259" t="s">
        <v>147</v>
      </c>
      <c r="P7" s="259" t="s">
        <v>148</v>
      </c>
      <c r="U7" s="258"/>
      <c r="V7" s="261"/>
      <c r="W7" s="262"/>
      <c r="X7" s="263"/>
      <c r="Y7" s="263"/>
      <c r="Z7" s="264"/>
      <c r="AA7" s="263"/>
      <c r="AB7" s="265"/>
      <c r="AC7" s="263"/>
    </row>
    <row r="8" spans="1:29">
      <c r="A8" s="259" t="s">
        <v>143</v>
      </c>
      <c r="B8" s="259" t="s">
        <v>112</v>
      </c>
      <c r="C8" s="259" t="s">
        <v>153</v>
      </c>
      <c r="D8" s="259" t="s">
        <v>145</v>
      </c>
      <c r="E8" s="259">
        <v>1240.8800000000001</v>
      </c>
      <c r="G8" s="259" t="s">
        <v>8</v>
      </c>
      <c r="H8" s="259">
        <v>1</v>
      </c>
      <c r="I8" s="260"/>
      <c r="J8" s="260"/>
      <c r="L8" s="259" t="s">
        <v>146</v>
      </c>
      <c r="M8" s="259" t="s">
        <v>147</v>
      </c>
      <c r="P8" s="259" t="s">
        <v>148</v>
      </c>
      <c r="U8" s="258"/>
      <c r="V8" s="261"/>
      <c r="W8" s="262"/>
      <c r="X8" s="263"/>
      <c r="Y8" s="263"/>
      <c r="Z8" s="264"/>
      <c r="AA8" s="263"/>
      <c r="AB8" s="265"/>
      <c r="AC8" s="263"/>
    </row>
    <row r="9" spans="1:29">
      <c r="A9" s="259" t="s">
        <v>143</v>
      </c>
      <c r="B9" s="259" t="s">
        <v>112</v>
      </c>
      <c r="C9" s="259" t="s">
        <v>154</v>
      </c>
      <c r="D9" s="259" t="s">
        <v>145</v>
      </c>
      <c r="E9" s="259">
        <v>1392.68</v>
      </c>
      <c r="G9" s="259" t="s">
        <v>8</v>
      </c>
      <c r="H9" s="259">
        <v>1</v>
      </c>
      <c r="L9" s="259" t="s">
        <v>146</v>
      </c>
      <c r="M9" s="259" t="s">
        <v>155</v>
      </c>
      <c r="P9" s="259" t="s">
        <v>156</v>
      </c>
    </row>
    <row r="10" spans="1:29">
      <c r="A10" s="259" t="s">
        <v>143</v>
      </c>
      <c r="B10" s="259" t="s">
        <v>112</v>
      </c>
      <c r="C10" s="259" t="s">
        <v>157</v>
      </c>
      <c r="D10" s="259" t="s">
        <v>145</v>
      </c>
      <c r="E10" s="259">
        <v>1392.68</v>
      </c>
      <c r="G10" s="259" t="s">
        <v>8</v>
      </c>
      <c r="H10" s="259">
        <v>1</v>
      </c>
      <c r="I10" s="260"/>
      <c r="J10" s="260"/>
      <c r="L10" s="259" t="s">
        <v>146</v>
      </c>
      <c r="M10" s="259" t="s">
        <v>155</v>
      </c>
      <c r="P10" s="259" t="s">
        <v>156</v>
      </c>
      <c r="U10" s="258"/>
      <c r="V10" s="261"/>
      <c r="W10" s="262"/>
      <c r="X10" s="263"/>
      <c r="Y10" s="263"/>
      <c r="Z10" s="264"/>
      <c r="AA10" s="263"/>
      <c r="AB10" s="265"/>
      <c r="AC10" s="263"/>
    </row>
    <row r="11" spans="1:29">
      <c r="A11" s="259" t="s">
        <v>143</v>
      </c>
      <c r="B11" s="259" t="s">
        <v>112</v>
      </c>
      <c r="C11" s="259" t="s">
        <v>158</v>
      </c>
      <c r="D11" s="259" t="s">
        <v>145</v>
      </c>
      <c r="E11" s="259">
        <v>1577.43</v>
      </c>
      <c r="G11" s="259" t="s">
        <v>8</v>
      </c>
      <c r="H11" s="259">
        <v>1</v>
      </c>
      <c r="I11" s="260"/>
      <c r="J11" s="260"/>
      <c r="L11" s="259" t="s">
        <v>146</v>
      </c>
      <c r="M11" s="259" t="s">
        <v>155</v>
      </c>
      <c r="P11" s="259" t="s">
        <v>156</v>
      </c>
      <c r="U11" s="258"/>
      <c r="V11" s="261"/>
      <c r="W11" s="262"/>
      <c r="X11" s="263"/>
      <c r="Y11" s="263"/>
      <c r="Z11" s="264"/>
      <c r="AA11" s="263"/>
      <c r="AB11" s="265"/>
      <c r="AC11" s="263"/>
    </row>
    <row r="12" spans="1:29">
      <c r="A12" s="259" t="s">
        <v>143</v>
      </c>
      <c r="B12" s="259" t="s">
        <v>112</v>
      </c>
      <c r="C12" s="259" t="s">
        <v>159</v>
      </c>
      <c r="D12" s="259" t="s">
        <v>145</v>
      </c>
      <c r="E12" s="259">
        <v>2503.4899999999998</v>
      </c>
      <c r="G12" s="259" t="s">
        <v>8</v>
      </c>
      <c r="H12" s="259">
        <v>1</v>
      </c>
      <c r="I12" s="260"/>
      <c r="J12" s="260"/>
      <c r="L12" s="259" t="s">
        <v>146</v>
      </c>
      <c r="M12" s="259" t="s">
        <v>160</v>
      </c>
      <c r="P12" s="259" t="s">
        <v>156</v>
      </c>
      <c r="U12" s="258"/>
      <c r="V12" s="261"/>
      <c r="W12" s="262"/>
      <c r="X12" s="263"/>
      <c r="Y12" s="263"/>
      <c r="Z12" s="264"/>
      <c r="AA12" s="263"/>
      <c r="AB12" s="265"/>
      <c r="AC12" s="263"/>
    </row>
    <row r="13" spans="1:29">
      <c r="A13" s="259" t="s">
        <v>143</v>
      </c>
      <c r="B13" s="259" t="s">
        <v>112</v>
      </c>
      <c r="C13" s="259" t="s">
        <v>161</v>
      </c>
      <c r="D13" s="259" t="s">
        <v>145</v>
      </c>
      <c r="E13" s="259">
        <v>2503.4899999999998</v>
      </c>
      <c r="G13" s="259" t="s">
        <v>8</v>
      </c>
      <c r="H13" s="259">
        <v>1</v>
      </c>
      <c r="L13" s="259" t="s">
        <v>146</v>
      </c>
      <c r="M13" s="259" t="s">
        <v>160</v>
      </c>
      <c r="P13" s="259" t="s">
        <v>156</v>
      </c>
      <c r="U13" s="258"/>
      <c r="V13" s="261"/>
      <c r="W13" s="262"/>
      <c r="X13" s="263"/>
      <c r="Y13" s="263"/>
      <c r="Z13" s="264"/>
      <c r="AA13" s="263"/>
      <c r="AB13" s="265"/>
      <c r="AC13" s="263"/>
    </row>
    <row r="14" spans="1:29">
      <c r="A14" s="259" t="s">
        <v>143</v>
      </c>
      <c r="B14" s="259" t="s">
        <v>112</v>
      </c>
      <c r="C14" s="259" t="s">
        <v>162</v>
      </c>
      <c r="D14" s="259" t="s">
        <v>145</v>
      </c>
      <c r="E14" s="259">
        <v>1392.68</v>
      </c>
      <c r="G14" s="259" t="s">
        <v>8</v>
      </c>
      <c r="H14" s="259">
        <v>1</v>
      </c>
      <c r="I14" s="260"/>
      <c r="J14" s="260"/>
      <c r="L14" s="259" t="s">
        <v>146</v>
      </c>
      <c r="M14" s="259" t="s">
        <v>155</v>
      </c>
      <c r="P14" s="259" t="s">
        <v>156</v>
      </c>
      <c r="U14" s="258"/>
      <c r="V14" s="261"/>
      <c r="W14" s="262"/>
      <c r="X14" s="263"/>
      <c r="Y14" s="263"/>
      <c r="Z14" s="264"/>
      <c r="AA14" s="263"/>
      <c r="AB14" s="265"/>
      <c r="AC14" s="263"/>
    </row>
    <row r="15" spans="1:29">
      <c r="A15" s="259" t="s">
        <v>163</v>
      </c>
      <c r="B15" s="259" t="s">
        <v>112</v>
      </c>
      <c r="C15" s="259" t="s">
        <v>164</v>
      </c>
      <c r="D15" s="259" t="s">
        <v>145</v>
      </c>
      <c r="E15" s="259">
        <v>1542.83</v>
      </c>
      <c r="G15" s="259" t="s">
        <v>8</v>
      </c>
      <c r="H15" s="259">
        <v>1</v>
      </c>
      <c r="I15" s="260"/>
      <c r="J15" s="260"/>
      <c r="L15" s="259" t="s">
        <v>146</v>
      </c>
      <c r="M15" s="259" t="s">
        <v>165</v>
      </c>
      <c r="P15" s="259" t="s">
        <v>166</v>
      </c>
      <c r="U15" s="258"/>
      <c r="V15" s="261"/>
      <c r="W15" s="258"/>
      <c r="X15" s="263"/>
      <c r="Y15" s="258"/>
      <c r="Z15" s="264"/>
      <c r="AA15" s="263"/>
      <c r="AB15" s="265"/>
      <c r="AC15" s="263"/>
    </row>
    <row r="16" spans="1:29">
      <c r="A16" s="259" t="s">
        <v>163</v>
      </c>
      <c r="B16" s="259" t="s">
        <v>112</v>
      </c>
      <c r="C16" s="259" t="s">
        <v>167</v>
      </c>
      <c r="D16" s="259" t="s">
        <v>145</v>
      </c>
      <c r="E16" s="259">
        <v>1542.83</v>
      </c>
      <c r="G16" s="259" t="s">
        <v>8</v>
      </c>
      <c r="H16" s="259">
        <v>1</v>
      </c>
      <c r="I16" s="260"/>
      <c r="J16" s="260"/>
      <c r="L16" s="259" t="s">
        <v>146</v>
      </c>
      <c r="M16" s="259" t="s">
        <v>165</v>
      </c>
      <c r="P16" s="259" t="s">
        <v>166</v>
      </c>
      <c r="U16" s="258"/>
      <c r="V16" s="261"/>
      <c r="W16" s="262"/>
      <c r="X16" s="263"/>
      <c r="Y16" s="263"/>
      <c r="Z16" s="264"/>
      <c r="AA16" s="263"/>
      <c r="AB16" s="265"/>
      <c r="AC16" s="263"/>
    </row>
    <row r="17" spans="1:29">
      <c r="A17" s="259" t="s">
        <v>163</v>
      </c>
      <c r="B17" s="259" t="s">
        <v>112</v>
      </c>
      <c r="C17" s="259" t="s">
        <v>168</v>
      </c>
      <c r="D17" s="259" t="s">
        <v>145</v>
      </c>
      <c r="E17" s="259">
        <v>1587.77</v>
      </c>
      <c r="G17" s="259" t="s">
        <v>8</v>
      </c>
      <c r="H17" s="259">
        <v>1</v>
      </c>
      <c r="I17" s="260"/>
      <c r="J17" s="260"/>
      <c r="L17" s="259" t="s">
        <v>146</v>
      </c>
      <c r="M17" s="259" t="s">
        <v>165</v>
      </c>
      <c r="P17" s="259" t="s">
        <v>166</v>
      </c>
      <c r="U17" s="258"/>
      <c r="V17" s="261"/>
      <c r="W17" s="262"/>
      <c r="X17" s="263"/>
      <c r="Y17" s="263"/>
      <c r="Z17" s="264"/>
      <c r="AA17" s="263"/>
      <c r="AB17" s="265"/>
      <c r="AC17" s="263"/>
    </row>
    <row r="18" spans="1:29">
      <c r="A18" s="259" t="s">
        <v>163</v>
      </c>
      <c r="B18" s="259" t="s">
        <v>112</v>
      </c>
      <c r="C18" s="259" t="s">
        <v>169</v>
      </c>
      <c r="D18" s="259" t="s">
        <v>145</v>
      </c>
      <c r="E18" s="259">
        <v>1720.51</v>
      </c>
      <c r="G18" s="259" t="s">
        <v>8</v>
      </c>
      <c r="H18" s="259">
        <v>1</v>
      </c>
      <c r="I18" s="260"/>
      <c r="J18" s="260"/>
      <c r="L18" s="259" t="s">
        <v>146</v>
      </c>
      <c r="M18" s="259" t="s">
        <v>165</v>
      </c>
      <c r="P18" s="259" t="s">
        <v>166</v>
      </c>
      <c r="U18" s="258"/>
      <c r="V18" s="261"/>
      <c r="W18" s="262"/>
      <c r="X18" s="263"/>
      <c r="Y18" s="263"/>
      <c r="Z18" s="264"/>
      <c r="AA18" s="263"/>
      <c r="AB18" s="265"/>
      <c r="AC18" s="263"/>
    </row>
    <row r="19" spans="1:29">
      <c r="A19" s="259" t="s">
        <v>163</v>
      </c>
      <c r="B19" s="259" t="s">
        <v>112</v>
      </c>
      <c r="C19" s="259" t="s">
        <v>170</v>
      </c>
      <c r="D19" s="259" t="s">
        <v>145</v>
      </c>
      <c r="E19" s="259">
        <v>1542.83</v>
      </c>
      <c r="G19" s="259" t="s">
        <v>8</v>
      </c>
      <c r="H19" s="259">
        <v>1</v>
      </c>
      <c r="I19" s="260"/>
      <c r="J19" s="260"/>
      <c r="L19" s="259" t="s">
        <v>146</v>
      </c>
      <c r="M19" s="259" t="s">
        <v>165</v>
      </c>
      <c r="P19" s="259" t="s">
        <v>166</v>
      </c>
      <c r="U19" s="258"/>
      <c r="V19" s="261"/>
      <c r="W19" s="262"/>
      <c r="X19" s="263"/>
      <c r="Y19" s="263"/>
      <c r="Z19" s="264"/>
      <c r="AA19" s="263"/>
      <c r="AB19" s="265"/>
      <c r="AC19" s="263"/>
    </row>
    <row r="20" spans="1:29">
      <c r="A20" s="259" t="s">
        <v>163</v>
      </c>
      <c r="B20" s="259" t="s">
        <v>112</v>
      </c>
      <c r="C20" s="259" t="s">
        <v>171</v>
      </c>
      <c r="D20" s="259" t="s">
        <v>145</v>
      </c>
      <c r="E20" s="259">
        <v>1720.51</v>
      </c>
      <c r="G20" s="259" t="s">
        <v>8</v>
      </c>
      <c r="H20" s="259">
        <v>1</v>
      </c>
      <c r="I20" s="260"/>
      <c r="J20" s="260"/>
      <c r="L20" s="259" t="s">
        <v>146</v>
      </c>
      <c r="M20" s="259" t="s">
        <v>165</v>
      </c>
      <c r="P20" s="259" t="s">
        <v>166</v>
      </c>
      <c r="U20" s="258"/>
      <c r="V20" s="261"/>
      <c r="W20" s="262"/>
      <c r="X20" s="263"/>
      <c r="Y20" s="263"/>
      <c r="Z20" s="264"/>
      <c r="AA20" s="263"/>
      <c r="AB20" s="265"/>
      <c r="AC20" s="263"/>
    </row>
    <row r="21" spans="1:29">
      <c r="A21" s="259" t="s">
        <v>163</v>
      </c>
      <c r="B21" s="259" t="s">
        <v>112</v>
      </c>
      <c r="C21" s="259" t="s">
        <v>172</v>
      </c>
      <c r="D21" s="259" t="s">
        <v>145</v>
      </c>
      <c r="E21" s="259">
        <v>1752.97</v>
      </c>
      <c r="G21" s="259" t="s">
        <v>8</v>
      </c>
      <c r="H21" s="259">
        <v>1</v>
      </c>
      <c r="I21" s="260"/>
      <c r="J21" s="260"/>
      <c r="L21" s="259" t="s">
        <v>146</v>
      </c>
      <c r="M21" s="259" t="s">
        <v>165</v>
      </c>
      <c r="P21" s="259" t="s">
        <v>166</v>
      </c>
      <c r="U21" s="258"/>
      <c r="V21" s="261"/>
      <c r="W21" s="262"/>
      <c r="X21" s="263"/>
      <c r="Y21" s="263"/>
      <c r="Z21" s="264"/>
      <c r="AA21" s="263"/>
      <c r="AB21" s="265"/>
      <c r="AC21" s="263"/>
    </row>
    <row r="22" spans="1:29">
      <c r="A22" s="259" t="s">
        <v>163</v>
      </c>
      <c r="B22" s="259" t="s">
        <v>112</v>
      </c>
      <c r="C22" s="259" t="s">
        <v>173</v>
      </c>
      <c r="D22" s="259" t="s">
        <v>145</v>
      </c>
      <c r="E22" s="259">
        <v>1587.77</v>
      </c>
      <c r="G22" s="259" t="s">
        <v>8</v>
      </c>
      <c r="H22" s="259">
        <v>1</v>
      </c>
      <c r="I22" s="260"/>
      <c r="J22" s="260"/>
      <c r="L22" s="259" t="s">
        <v>146</v>
      </c>
      <c r="M22" s="259" t="s">
        <v>165</v>
      </c>
      <c r="P22" s="259" t="s">
        <v>166</v>
      </c>
      <c r="U22" s="258"/>
      <c r="V22" s="261"/>
      <c r="W22" s="262"/>
      <c r="X22" s="263"/>
      <c r="Y22" s="263"/>
      <c r="Z22" s="264"/>
      <c r="AA22" s="263"/>
      <c r="AB22" s="265"/>
      <c r="AC22" s="263"/>
    </row>
    <row r="23" spans="1:29">
      <c r="A23" s="259" t="s">
        <v>163</v>
      </c>
      <c r="B23" s="259" t="s">
        <v>112</v>
      </c>
      <c r="C23" s="259" t="s">
        <v>174</v>
      </c>
      <c r="D23" s="259" t="s">
        <v>145</v>
      </c>
      <c r="E23" s="259">
        <v>1542.83</v>
      </c>
      <c r="G23" s="259" t="s">
        <v>8</v>
      </c>
      <c r="H23" s="259">
        <v>1</v>
      </c>
      <c r="I23" s="260"/>
      <c r="J23" s="260"/>
      <c r="L23" s="259" t="s">
        <v>146</v>
      </c>
      <c r="M23" s="259" t="s">
        <v>165</v>
      </c>
      <c r="P23" s="259" t="s">
        <v>166</v>
      </c>
      <c r="U23" s="258"/>
      <c r="V23" s="261"/>
      <c r="W23" s="262"/>
      <c r="X23" s="263"/>
      <c r="Y23" s="263"/>
      <c r="Z23" s="264"/>
      <c r="AA23" s="263"/>
      <c r="AB23" s="265"/>
      <c r="AC23" s="263"/>
    </row>
    <row r="24" spans="1:29">
      <c r="A24" s="259" t="s">
        <v>163</v>
      </c>
      <c r="B24" s="259" t="s">
        <v>112</v>
      </c>
      <c r="C24" s="259" t="s">
        <v>175</v>
      </c>
      <c r="D24" s="259" t="s">
        <v>145</v>
      </c>
      <c r="E24" s="259">
        <v>1671.82</v>
      </c>
      <c r="G24" s="259" t="s">
        <v>8</v>
      </c>
      <c r="H24" s="259">
        <v>1</v>
      </c>
      <c r="I24" s="260"/>
      <c r="J24" s="260"/>
      <c r="L24" s="259" t="s">
        <v>146</v>
      </c>
      <c r="M24" s="259" t="s">
        <v>165</v>
      </c>
      <c r="P24" s="259" t="s">
        <v>166</v>
      </c>
      <c r="U24" s="258"/>
      <c r="V24" s="261"/>
      <c r="W24" s="262"/>
      <c r="X24" s="263"/>
      <c r="Y24" s="263"/>
      <c r="Z24" s="264"/>
      <c r="AA24" s="263"/>
      <c r="AB24" s="265"/>
      <c r="AC24" s="263"/>
    </row>
    <row r="25" spans="1:29">
      <c r="A25" s="259" t="s">
        <v>163</v>
      </c>
      <c r="B25" s="259" t="s">
        <v>112</v>
      </c>
      <c r="C25" s="259" t="s">
        <v>176</v>
      </c>
      <c r="D25" s="259" t="s">
        <v>145</v>
      </c>
      <c r="E25" s="259">
        <v>1542.83</v>
      </c>
      <c r="G25" s="259" t="s">
        <v>8</v>
      </c>
      <c r="H25" s="259">
        <v>1</v>
      </c>
      <c r="I25" s="260"/>
      <c r="J25" s="260"/>
      <c r="L25" s="259" t="s">
        <v>146</v>
      </c>
      <c r="M25" s="259" t="s">
        <v>165</v>
      </c>
      <c r="P25" s="259" t="s">
        <v>166</v>
      </c>
      <c r="U25" s="258"/>
      <c r="V25" s="261"/>
      <c r="W25" s="262"/>
      <c r="X25" s="263"/>
      <c r="Y25" s="263"/>
      <c r="Z25" s="264"/>
      <c r="AA25" s="263"/>
      <c r="AB25" s="265"/>
      <c r="AC25" s="263"/>
    </row>
    <row r="26" spans="1:29">
      <c r="A26" s="259" t="s">
        <v>163</v>
      </c>
      <c r="B26" s="259" t="s">
        <v>112</v>
      </c>
      <c r="C26" s="259" t="s">
        <v>177</v>
      </c>
      <c r="D26" s="259" t="s">
        <v>145</v>
      </c>
      <c r="E26" s="259">
        <v>1671.82</v>
      </c>
      <c r="G26" s="259" t="s">
        <v>8</v>
      </c>
      <c r="H26" s="259">
        <v>1</v>
      </c>
      <c r="I26" s="260"/>
      <c r="J26" s="260"/>
      <c r="L26" s="259" t="s">
        <v>146</v>
      </c>
      <c r="M26" s="259" t="s">
        <v>165</v>
      </c>
      <c r="P26" s="259" t="s">
        <v>166</v>
      </c>
      <c r="U26" s="258"/>
      <c r="V26" s="261"/>
      <c r="W26" s="262"/>
      <c r="X26" s="263"/>
      <c r="Y26" s="263"/>
      <c r="Z26" s="264"/>
      <c r="AA26" s="263"/>
      <c r="AB26" s="265"/>
      <c r="AC26" s="263"/>
    </row>
    <row r="27" spans="1:29">
      <c r="A27" s="259" t="s">
        <v>163</v>
      </c>
      <c r="B27" s="259" t="s">
        <v>112</v>
      </c>
      <c r="C27" s="259" t="s">
        <v>178</v>
      </c>
      <c r="D27" s="259" t="s">
        <v>145</v>
      </c>
      <c r="E27" s="259">
        <v>2531.0100000000002</v>
      </c>
      <c r="G27" s="259" t="s">
        <v>8</v>
      </c>
      <c r="H27" s="259">
        <v>1</v>
      </c>
      <c r="I27" s="260"/>
      <c r="J27" s="260"/>
      <c r="L27" s="259" t="s">
        <v>146</v>
      </c>
      <c r="M27" s="259" t="s">
        <v>165</v>
      </c>
      <c r="P27" s="259" t="s">
        <v>179</v>
      </c>
      <c r="U27" s="258"/>
      <c r="V27" s="261"/>
      <c r="W27" s="262"/>
      <c r="X27" s="263"/>
      <c r="Y27" s="263"/>
      <c r="Z27" s="264"/>
      <c r="AA27" s="263"/>
      <c r="AB27" s="265"/>
      <c r="AC27" s="263"/>
    </row>
    <row r="28" spans="1:29">
      <c r="A28" s="259" t="s">
        <v>163</v>
      </c>
      <c r="B28" s="259" t="s">
        <v>112</v>
      </c>
      <c r="C28" s="259" t="s">
        <v>180</v>
      </c>
      <c r="D28" s="259" t="s">
        <v>145</v>
      </c>
      <c r="E28" s="259">
        <v>2811.56</v>
      </c>
      <c r="G28" s="259" t="s">
        <v>8</v>
      </c>
      <c r="H28" s="259">
        <v>1</v>
      </c>
      <c r="I28" s="260"/>
      <c r="J28" s="260"/>
      <c r="L28" s="259" t="s">
        <v>146</v>
      </c>
      <c r="M28" s="259" t="s">
        <v>165</v>
      </c>
      <c r="P28" s="259" t="s">
        <v>179</v>
      </c>
      <c r="U28" s="258"/>
      <c r="V28" s="261"/>
      <c r="W28" s="262"/>
      <c r="X28" s="263"/>
      <c r="Y28" s="263"/>
      <c r="Z28" s="264"/>
      <c r="AA28" s="263"/>
      <c r="AB28" s="265"/>
      <c r="AC28" s="263"/>
    </row>
    <row r="29" spans="1:29" customFormat="1" ht="12.75">
      <c r="A29" t="s">
        <v>143</v>
      </c>
      <c r="B29" t="s">
        <v>112</v>
      </c>
      <c r="C29" t="s">
        <v>291</v>
      </c>
      <c r="D29" t="s">
        <v>145</v>
      </c>
      <c r="E29">
        <v>1235.75</v>
      </c>
      <c r="G29" t="s">
        <v>8</v>
      </c>
      <c r="H29">
        <v>1</v>
      </c>
      <c r="I29" s="329"/>
      <c r="J29" s="329"/>
      <c r="L29" t="s">
        <v>146</v>
      </c>
      <c r="M29" t="s">
        <v>113</v>
      </c>
      <c r="P29" t="s">
        <v>292</v>
      </c>
      <c r="Q29" t="b">
        <v>0</v>
      </c>
    </row>
    <row r="30" spans="1:29">
      <c r="I30" s="260"/>
      <c r="J30" s="260"/>
      <c r="U30" s="258"/>
      <c r="V30" s="261"/>
      <c r="W30" s="262"/>
      <c r="X30" s="263"/>
      <c r="Y30" s="263"/>
      <c r="Z30" s="264"/>
      <c r="AA30" s="263"/>
      <c r="AB30" s="265"/>
      <c r="AC30" s="263"/>
    </row>
    <row r="31" spans="1:29">
      <c r="A31" s="259" t="s">
        <v>143</v>
      </c>
      <c r="B31" s="259" t="s">
        <v>112</v>
      </c>
      <c r="C31" s="259" t="s">
        <v>144</v>
      </c>
      <c r="D31" s="259" t="s">
        <v>139</v>
      </c>
      <c r="E31" s="259">
        <v>20.52</v>
      </c>
      <c r="G31" s="259" t="s">
        <v>181</v>
      </c>
      <c r="H31" s="259">
        <v>1</v>
      </c>
      <c r="I31" s="260"/>
      <c r="J31" s="260"/>
      <c r="L31" s="259" t="s">
        <v>146</v>
      </c>
      <c r="M31" s="259" t="s">
        <v>113</v>
      </c>
      <c r="P31" s="259" t="s">
        <v>148</v>
      </c>
      <c r="U31" s="258"/>
      <c r="V31" s="261"/>
      <c r="W31" s="262"/>
      <c r="X31" s="263"/>
      <c r="Y31" s="263"/>
      <c r="Z31" s="264"/>
      <c r="AA31" s="263"/>
      <c r="AB31" s="265"/>
      <c r="AC31" s="263"/>
    </row>
    <row r="32" spans="1:29">
      <c r="A32" s="259" t="s">
        <v>143</v>
      </c>
      <c r="B32" s="259" t="s">
        <v>112</v>
      </c>
      <c r="C32" s="259" t="s">
        <v>149</v>
      </c>
      <c r="D32" s="259" t="s">
        <v>139</v>
      </c>
      <c r="E32" s="259">
        <v>20.52</v>
      </c>
      <c r="G32" s="259" t="s">
        <v>181</v>
      </c>
      <c r="H32" s="259">
        <v>1</v>
      </c>
      <c r="I32" s="260"/>
      <c r="J32" s="260"/>
      <c r="L32" s="259" t="s">
        <v>146</v>
      </c>
      <c r="M32" s="259" t="s">
        <v>113</v>
      </c>
      <c r="P32" s="259" t="s">
        <v>148</v>
      </c>
      <c r="U32" s="258"/>
      <c r="V32" s="261"/>
      <c r="W32" s="262"/>
      <c r="X32" s="263"/>
      <c r="Y32" s="263"/>
      <c r="Z32" s="264"/>
      <c r="AA32" s="263"/>
      <c r="AB32" s="265"/>
      <c r="AC32" s="263"/>
    </row>
    <row r="33" spans="1:29">
      <c r="A33" s="259" t="s">
        <v>143</v>
      </c>
      <c r="B33" s="259" t="s">
        <v>112</v>
      </c>
      <c r="C33" s="259" t="s">
        <v>150</v>
      </c>
      <c r="D33" s="259" t="s">
        <v>139</v>
      </c>
      <c r="E33" s="259">
        <v>20.52</v>
      </c>
      <c r="G33" s="259" t="s">
        <v>181</v>
      </c>
      <c r="H33" s="259">
        <v>1</v>
      </c>
      <c r="I33" s="260"/>
      <c r="J33" s="260"/>
      <c r="L33" s="259" t="s">
        <v>146</v>
      </c>
      <c r="M33" s="259" t="s">
        <v>113</v>
      </c>
      <c r="P33" s="259" t="s">
        <v>148</v>
      </c>
      <c r="U33" s="258"/>
      <c r="V33" s="261"/>
      <c r="W33" s="262"/>
      <c r="X33" s="263"/>
      <c r="Y33" s="263"/>
      <c r="Z33" s="264"/>
      <c r="AA33" s="263"/>
      <c r="AB33" s="265"/>
      <c r="AC33" s="263"/>
    </row>
    <row r="34" spans="1:29">
      <c r="A34" s="259" t="s">
        <v>143</v>
      </c>
      <c r="B34" s="259" t="s">
        <v>112</v>
      </c>
      <c r="C34" s="259" t="s">
        <v>151</v>
      </c>
      <c r="D34" s="259" t="s">
        <v>139</v>
      </c>
      <c r="E34" s="259">
        <v>20.52</v>
      </c>
      <c r="G34" s="259" t="s">
        <v>181</v>
      </c>
      <c r="H34" s="259">
        <v>1</v>
      </c>
      <c r="I34" s="260"/>
      <c r="J34" s="260"/>
      <c r="L34" s="259" t="s">
        <v>146</v>
      </c>
      <c r="M34" s="259" t="s">
        <v>113</v>
      </c>
      <c r="P34" s="259" t="s">
        <v>148</v>
      </c>
      <c r="U34" s="258"/>
      <c r="V34" s="261"/>
      <c r="W34" s="262"/>
      <c r="X34" s="263"/>
      <c r="Y34" s="263"/>
      <c r="Z34" s="264"/>
      <c r="AA34" s="263"/>
      <c r="AB34" s="265"/>
      <c r="AC34" s="263"/>
    </row>
    <row r="35" spans="1:29">
      <c r="A35" s="259" t="s">
        <v>143</v>
      </c>
      <c r="B35" s="259" t="s">
        <v>112</v>
      </c>
      <c r="C35" s="259" t="s">
        <v>152</v>
      </c>
      <c r="D35" s="259" t="s">
        <v>139</v>
      </c>
      <c r="E35" s="259">
        <v>20.52</v>
      </c>
      <c r="G35" s="259" t="s">
        <v>181</v>
      </c>
      <c r="H35" s="259">
        <v>1</v>
      </c>
      <c r="I35" s="260"/>
      <c r="J35" s="260"/>
      <c r="L35" s="259" t="s">
        <v>146</v>
      </c>
      <c r="M35" s="259" t="s">
        <v>113</v>
      </c>
      <c r="P35" s="259" t="s">
        <v>148</v>
      </c>
      <c r="U35" s="258"/>
      <c r="V35" s="261"/>
      <c r="W35" s="262"/>
      <c r="X35" s="263"/>
      <c r="Y35" s="263"/>
      <c r="Z35" s="264"/>
      <c r="AA35" s="263"/>
      <c r="AB35" s="265"/>
      <c r="AC35" s="263"/>
    </row>
    <row r="36" spans="1:29">
      <c r="A36" s="259" t="s">
        <v>143</v>
      </c>
      <c r="B36" s="259" t="s">
        <v>112</v>
      </c>
      <c r="C36" s="259" t="s">
        <v>206</v>
      </c>
      <c r="D36" s="259" t="s">
        <v>139</v>
      </c>
      <c r="E36" s="259">
        <v>20.52</v>
      </c>
      <c r="G36" s="259" t="s">
        <v>181</v>
      </c>
      <c r="H36" s="259">
        <v>1</v>
      </c>
      <c r="I36" s="260"/>
      <c r="J36" s="260"/>
      <c r="L36" s="259" t="s">
        <v>146</v>
      </c>
      <c r="M36" s="259" t="s">
        <v>113</v>
      </c>
      <c r="P36" s="259" t="s">
        <v>148</v>
      </c>
      <c r="U36" s="258"/>
      <c r="V36" s="261"/>
      <c r="W36" s="262"/>
      <c r="X36" s="263"/>
      <c r="Y36" s="263"/>
      <c r="Z36" s="264"/>
      <c r="AA36" s="263"/>
      <c r="AB36" s="265"/>
      <c r="AC36" s="263"/>
    </row>
    <row r="37" spans="1:29">
      <c r="A37" s="259" t="s">
        <v>143</v>
      </c>
      <c r="B37" s="259" t="s">
        <v>112</v>
      </c>
      <c r="C37" s="259" t="s">
        <v>153</v>
      </c>
      <c r="D37" s="259" t="s">
        <v>139</v>
      </c>
      <c r="E37" s="259">
        <v>20.52</v>
      </c>
      <c r="G37" s="259" t="s">
        <v>181</v>
      </c>
      <c r="H37" s="259">
        <v>1</v>
      </c>
      <c r="I37" s="260"/>
      <c r="J37" s="260"/>
      <c r="L37" s="259" t="s">
        <v>146</v>
      </c>
      <c r="M37" s="259" t="s">
        <v>113</v>
      </c>
      <c r="P37" s="259" t="s">
        <v>148</v>
      </c>
      <c r="U37" s="258"/>
      <c r="V37" s="261"/>
      <c r="W37" s="262"/>
      <c r="X37" s="263"/>
      <c r="Y37" s="263"/>
      <c r="Z37" s="264"/>
      <c r="AA37" s="263"/>
      <c r="AB37" s="265"/>
      <c r="AC37" s="263"/>
    </row>
    <row r="38" spans="1:29">
      <c r="A38" s="259" t="s">
        <v>143</v>
      </c>
      <c r="B38" s="259" t="s">
        <v>112</v>
      </c>
      <c r="C38" s="259" t="s">
        <v>154</v>
      </c>
      <c r="D38" s="259" t="s">
        <v>139</v>
      </c>
      <c r="E38" s="259">
        <v>31.65</v>
      </c>
      <c r="G38" s="259" t="s">
        <v>181</v>
      </c>
      <c r="H38" s="259">
        <v>1</v>
      </c>
      <c r="I38" s="260"/>
      <c r="J38" s="260"/>
      <c r="L38" s="259" t="s">
        <v>146</v>
      </c>
      <c r="M38" s="259" t="s">
        <v>113</v>
      </c>
      <c r="P38" s="259" t="s">
        <v>156</v>
      </c>
      <c r="U38" s="258"/>
      <c r="V38" s="261"/>
      <c r="W38" s="262"/>
      <c r="X38" s="263"/>
      <c r="Y38" s="263"/>
      <c r="Z38" s="264"/>
      <c r="AA38" s="263"/>
      <c r="AB38" s="265"/>
      <c r="AC38" s="263"/>
    </row>
    <row r="39" spans="1:29">
      <c r="A39" s="259" t="s">
        <v>143</v>
      </c>
      <c r="B39" s="259" t="s">
        <v>112</v>
      </c>
      <c r="C39" s="259" t="s">
        <v>157</v>
      </c>
      <c r="D39" s="259" t="s">
        <v>139</v>
      </c>
      <c r="E39" s="259">
        <v>31.65</v>
      </c>
      <c r="G39" s="259" t="s">
        <v>181</v>
      </c>
      <c r="H39" s="259">
        <v>1</v>
      </c>
      <c r="I39" s="260"/>
      <c r="J39" s="260"/>
      <c r="L39" s="259" t="s">
        <v>146</v>
      </c>
      <c r="M39" s="259" t="s">
        <v>113</v>
      </c>
      <c r="P39" s="259" t="s">
        <v>156</v>
      </c>
      <c r="U39" s="258"/>
      <c r="V39" s="261"/>
      <c r="W39" s="262"/>
      <c r="X39" s="263"/>
      <c r="Y39" s="263"/>
      <c r="Z39" s="264"/>
      <c r="AA39" s="263"/>
      <c r="AB39" s="265"/>
      <c r="AC39" s="263"/>
    </row>
    <row r="40" spans="1:29">
      <c r="A40" s="259" t="s">
        <v>143</v>
      </c>
      <c r="B40" s="259" t="s">
        <v>112</v>
      </c>
      <c r="C40" s="259" t="s">
        <v>158</v>
      </c>
      <c r="D40" s="259" t="s">
        <v>139</v>
      </c>
      <c r="E40" s="259">
        <v>31.65</v>
      </c>
      <c r="G40" s="259" t="s">
        <v>181</v>
      </c>
      <c r="H40" s="259">
        <v>1</v>
      </c>
      <c r="I40" s="260"/>
      <c r="J40" s="260"/>
      <c r="L40" s="259" t="s">
        <v>146</v>
      </c>
      <c r="M40" s="259" t="s">
        <v>113</v>
      </c>
      <c r="P40" s="259" t="s">
        <v>156</v>
      </c>
      <c r="U40" s="258"/>
      <c r="V40" s="261"/>
      <c r="W40" s="262"/>
      <c r="X40" s="263"/>
      <c r="Y40" s="263"/>
      <c r="Z40" s="264"/>
      <c r="AA40" s="263"/>
      <c r="AB40" s="265"/>
      <c r="AC40" s="263"/>
    </row>
    <row r="41" spans="1:29">
      <c r="A41" s="259" t="s">
        <v>143</v>
      </c>
      <c r="B41" s="259" t="s">
        <v>112</v>
      </c>
      <c r="C41" s="259" t="s">
        <v>159</v>
      </c>
      <c r="D41" s="259" t="s">
        <v>139</v>
      </c>
      <c r="E41" s="259">
        <v>38.79</v>
      </c>
      <c r="G41" s="259" t="s">
        <v>181</v>
      </c>
      <c r="H41" s="259">
        <v>1</v>
      </c>
      <c r="I41" s="260"/>
      <c r="J41" s="260"/>
      <c r="L41" s="259" t="s">
        <v>146</v>
      </c>
      <c r="M41" s="259" t="s">
        <v>113</v>
      </c>
      <c r="P41" s="259" t="s">
        <v>156</v>
      </c>
      <c r="U41" s="258"/>
      <c r="V41" s="261"/>
      <c r="W41" s="262"/>
      <c r="X41" s="263"/>
      <c r="Y41" s="263"/>
      <c r="Z41" s="264"/>
      <c r="AA41" s="263"/>
      <c r="AB41" s="265"/>
      <c r="AC41" s="263"/>
    </row>
    <row r="42" spans="1:29">
      <c r="A42" s="259" t="s">
        <v>143</v>
      </c>
      <c r="B42" s="259" t="s">
        <v>112</v>
      </c>
      <c r="C42" s="259" t="s">
        <v>161</v>
      </c>
      <c r="D42" s="259" t="s">
        <v>139</v>
      </c>
      <c r="E42" s="259">
        <v>38.79</v>
      </c>
      <c r="G42" s="259" t="s">
        <v>181</v>
      </c>
      <c r="H42" s="259">
        <v>1</v>
      </c>
      <c r="I42" s="260"/>
      <c r="J42" s="260"/>
      <c r="L42" s="259" t="s">
        <v>146</v>
      </c>
      <c r="M42" s="259" t="s">
        <v>113</v>
      </c>
      <c r="P42" s="259" t="s">
        <v>156</v>
      </c>
      <c r="U42" s="258"/>
      <c r="V42" s="261"/>
      <c r="W42" s="262"/>
      <c r="X42" s="263"/>
      <c r="Y42" s="263"/>
      <c r="Z42" s="264"/>
      <c r="AA42" s="263"/>
      <c r="AB42" s="265"/>
      <c r="AC42" s="263"/>
    </row>
    <row r="43" spans="1:29">
      <c r="A43" s="259" t="s">
        <v>143</v>
      </c>
      <c r="B43" s="259" t="s">
        <v>112</v>
      </c>
      <c r="C43" s="259" t="s">
        <v>162</v>
      </c>
      <c r="D43" s="259" t="s">
        <v>139</v>
      </c>
      <c r="E43" s="259">
        <v>31.65</v>
      </c>
      <c r="G43" s="259" t="s">
        <v>181</v>
      </c>
      <c r="H43" s="259">
        <v>1</v>
      </c>
      <c r="I43" s="260"/>
      <c r="J43" s="260"/>
      <c r="L43" s="259" t="s">
        <v>146</v>
      </c>
      <c r="M43" s="259" t="s">
        <v>113</v>
      </c>
      <c r="P43" s="259" t="s">
        <v>156</v>
      </c>
      <c r="U43" s="258"/>
      <c r="V43" s="261"/>
      <c r="W43" s="262"/>
      <c r="X43" s="263"/>
      <c r="Y43" s="263"/>
      <c r="Z43" s="264"/>
      <c r="AA43" s="263"/>
      <c r="AB43" s="265"/>
      <c r="AC43" s="263"/>
    </row>
    <row r="44" spans="1:29">
      <c r="A44" s="259" t="s">
        <v>163</v>
      </c>
      <c r="B44" s="259" t="s">
        <v>112</v>
      </c>
      <c r="C44" s="259" t="s">
        <v>164</v>
      </c>
      <c r="D44" s="259" t="s">
        <v>139</v>
      </c>
      <c r="E44" s="259">
        <v>38.770000000000003</v>
      </c>
      <c r="F44" s="259" t="s">
        <v>182</v>
      </c>
      <c r="G44" s="259" t="s">
        <v>181</v>
      </c>
      <c r="H44" s="259">
        <v>1</v>
      </c>
      <c r="I44" s="260"/>
      <c r="J44" s="260"/>
      <c r="L44" s="259" t="s">
        <v>183</v>
      </c>
      <c r="M44" s="259" t="s">
        <v>184</v>
      </c>
      <c r="P44" s="259" t="s">
        <v>166</v>
      </c>
      <c r="U44" s="258"/>
      <c r="V44" s="261"/>
      <c r="W44" s="262"/>
      <c r="X44" s="263"/>
      <c r="Y44" s="263"/>
      <c r="Z44" s="264"/>
      <c r="AA44" s="263"/>
      <c r="AB44" s="265"/>
      <c r="AC44" s="263"/>
    </row>
    <row r="45" spans="1:29">
      <c r="A45" s="259" t="s">
        <v>163</v>
      </c>
      <c r="B45" s="259" t="s">
        <v>112</v>
      </c>
      <c r="C45" s="259" t="s">
        <v>167</v>
      </c>
      <c r="D45" s="259" t="s">
        <v>139</v>
      </c>
      <c r="E45" s="259">
        <v>38.770000000000003</v>
      </c>
      <c r="F45" s="259" t="s">
        <v>182</v>
      </c>
      <c r="G45" s="259" t="s">
        <v>181</v>
      </c>
      <c r="H45" s="259">
        <v>1</v>
      </c>
      <c r="I45" s="260"/>
      <c r="J45" s="260"/>
      <c r="L45" s="259" t="s">
        <v>183</v>
      </c>
      <c r="M45" s="259" t="s">
        <v>184</v>
      </c>
      <c r="P45" s="259" t="s">
        <v>166</v>
      </c>
      <c r="U45" s="258"/>
      <c r="V45" s="261"/>
      <c r="W45" s="262"/>
      <c r="X45" s="263"/>
      <c r="Y45" s="263"/>
      <c r="Z45" s="264"/>
      <c r="AA45" s="263"/>
      <c r="AB45" s="265"/>
      <c r="AC45" s="263"/>
    </row>
    <row r="46" spans="1:29">
      <c r="A46" s="259" t="s">
        <v>163</v>
      </c>
      <c r="B46" s="259" t="s">
        <v>112</v>
      </c>
      <c r="C46" s="259" t="s">
        <v>168</v>
      </c>
      <c r="D46" s="259" t="s">
        <v>139</v>
      </c>
      <c r="E46" s="259">
        <v>38.770000000000003</v>
      </c>
      <c r="F46" s="259" t="s">
        <v>182</v>
      </c>
      <c r="G46" s="259" t="s">
        <v>181</v>
      </c>
      <c r="H46" s="259">
        <v>1</v>
      </c>
      <c r="I46" s="260"/>
      <c r="J46" s="260"/>
      <c r="L46" s="259" t="s">
        <v>183</v>
      </c>
      <c r="M46" s="259" t="s">
        <v>184</v>
      </c>
      <c r="P46" s="259" t="s">
        <v>166</v>
      </c>
      <c r="U46" s="258"/>
      <c r="V46" s="261"/>
      <c r="W46" s="262"/>
      <c r="X46" s="263"/>
      <c r="Y46" s="263"/>
      <c r="Z46" s="264"/>
      <c r="AA46" s="263"/>
      <c r="AB46" s="265"/>
      <c r="AC46" s="263"/>
    </row>
    <row r="47" spans="1:29">
      <c r="A47" s="259" t="s">
        <v>163</v>
      </c>
      <c r="B47" s="259" t="s">
        <v>112</v>
      </c>
      <c r="C47" s="259" t="s">
        <v>169</v>
      </c>
      <c r="D47" s="259" t="s">
        <v>139</v>
      </c>
      <c r="E47" s="259">
        <v>38.770000000000003</v>
      </c>
      <c r="F47" s="259" t="s">
        <v>182</v>
      </c>
      <c r="G47" s="259" t="s">
        <v>181</v>
      </c>
      <c r="H47" s="259">
        <v>1</v>
      </c>
      <c r="I47" s="260"/>
      <c r="J47" s="260"/>
      <c r="L47" s="259" t="s">
        <v>183</v>
      </c>
      <c r="M47" s="259" t="s">
        <v>184</v>
      </c>
      <c r="P47" s="259" t="s">
        <v>166</v>
      </c>
      <c r="U47" s="258"/>
      <c r="V47" s="261"/>
      <c r="W47" s="262"/>
      <c r="X47" s="263"/>
      <c r="Y47" s="263"/>
      <c r="Z47" s="264"/>
      <c r="AA47" s="263"/>
      <c r="AB47" s="265"/>
      <c r="AC47" s="263"/>
    </row>
    <row r="48" spans="1:29">
      <c r="A48" s="259" t="s">
        <v>163</v>
      </c>
      <c r="B48" s="259" t="s">
        <v>112</v>
      </c>
      <c r="C48" s="259" t="s">
        <v>170</v>
      </c>
      <c r="D48" s="259" t="s">
        <v>139</v>
      </c>
      <c r="E48" s="259">
        <v>38.770000000000003</v>
      </c>
      <c r="F48" s="259" t="s">
        <v>182</v>
      </c>
      <c r="G48" s="259" t="s">
        <v>181</v>
      </c>
      <c r="H48" s="259">
        <v>1</v>
      </c>
      <c r="I48" s="260"/>
      <c r="J48" s="260"/>
      <c r="L48" s="259" t="s">
        <v>183</v>
      </c>
      <c r="M48" s="259" t="s">
        <v>184</v>
      </c>
      <c r="P48" s="259" t="s">
        <v>166</v>
      </c>
      <c r="U48" s="258"/>
      <c r="V48" s="261"/>
      <c r="W48" s="262"/>
      <c r="X48" s="263"/>
      <c r="Y48" s="263"/>
      <c r="Z48" s="264"/>
      <c r="AA48" s="263"/>
      <c r="AB48" s="265"/>
      <c r="AC48" s="263"/>
    </row>
    <row r="49" spans="1:29">
      <c r="A49" s="259" t="s">
        <v>163</v>
      </c>
      <c r="B49" s="259" t="s">
        <v>112</v>
      </c>
      <c r="C49" s="259" t="s">
        <v>171</v>
      </c>
      <c r="D49" s="259" t="s">
        <v>139</v>
      </c>
      <c r="E49" s="259">
        <v>38.770000000000003</v>
      </c>
      <c r="F49" s="259" t="s">
        <v>182</v>
      </c>
      <c r="G49" s="259" t="s">
        <v>181</v>
      </c>
      <c r="H49" s="259">
        <v>1</v>
      </c>
      <c r="I49" s="260"/>
      <c r="J49" s="260"/>
      <c r="L49" s="259" t="s">
        <v>183</v>
      </c>
      <c r="M49" s="259" t="s">
        <v>184</v>
      </c>
      <c r="P49" s="259" t="s">
        <v>166</v>
      </c>
      <c r="U49" s="258"/>
      <c r="V49" s="261"/>
      <c r="W49" s="262"/>
      <c r="X49" s="263"/>
      <c r="Y49" s="263"/>
      <c r="Z49" s="264"/>
      <c r="AA49" s="263"/>
      <c r="AB49" s="265"/>
      <c r="AC49" s="263"/>
    </row>
    <row r="50" spans="1:29">
      <c r="A50" s="259" t="s">
        <v>163</v>
      </c>
      <c r="B50" s="259" t="s">
        <v>112</v>
      </c>
      <c r="C50" s="259" t="s">
        <v>172</v>
      </c>
      <c r="D50" s="259" t="s">
        <v>139</v>
      </c>
      <c r="E50" s="259">
        <v>38.770000000000003</v>
      </c>
      <c r="F50" s="259" t="s">
        <v>182</v>
      </c>
      <c r="G50" s="259" t="s">
        <v>181</v>
      </c>
      <c r="H50" s="259">
        <v>1</v>
      </c>
      <c r="I50" s="260"/>
      <c r="J50" s="260"/>
      <c r="L50" s="259" t="s">
        <v>183</v>
      </c>
      <c r="M50" s="259" t="s">
        <v>184</v>
      </c>
      <c r="P50" s="259" t="s">
        <v>166</v>
      </c>
      <c r="U50" s="258"/>
      <c r="V50" s="261"/>
      <c r="W50" s="262"/>
      <c r="X50" s="263"/>
      <c r="Y50" s="263"/>
      <c r="Z50" s="264"/>
      <c r="AA50" s="263"/>
      <c r="AB50" s="265"/>
      <c r="AC50" s="263"/>
    </row>
    <row r="51" spans="1:29">
      <c r="A51" s="259" t="s">
        <v>163</v>
      </c>
      <c r="B51" s="259" t="s">
        <v>112</v>
      </c>
      <c r="C51" s="259" t="s">
        <v>173</v>
      </c>
      <c r="D51" s="259" t="s">
        <v>139</v>
      </c>
      <c r="E51" s="259">
        <v>38.770000000000003</v>
      </c>
      <c r="F51" s="259" t="s">
        <v>182</v>
      </c>
      <c r="G51" s="259" t="s">
        <v>181</v>
      </c>
      <c r="H51" s="259">
        <v>1</v>
      </c>
      <c r="I51" s="260"/>
      <c r="J51" s="260"/>
      <c r="L51" s="259" t="s">
        <v>183</v>
      </c>
      <c r="M51" s="259" t="s">
        <v>184</v>
      </c>
      <c r="P51" s="259" t="s">
        <v>166</v>
      </c>
      <c r="U51" s="258"/>
      <c r="V51" s="261"/>
      <c r="W51" s="262"/>
      <c r="X51" s="263"/>
      <c r="Y51" s="263"/>
      <c r="Z51" s="264"/>
      <c r="AA51" s="263"/>
      <c r="AB51" s="265"/>
      <c r="AC51" s="263"/>
    </row>
    <row r="52" spans="1:29">
      <c r="A52" s="259" t="s">
        <v>163</v>
      </c>
      <c r="B52" s="259" t="s">
        <v>112</v>
      </c>
      <c r="C52" s="259" t="s">
        <v>174</v>
      </c>
      <c r="D52" s="259" t="s">
        <v>139</v>
      </c>
      <c r="E52" s="259">
        <v>38.770000000000003</v>
      </c>
      <c r="F52" s="259" t="s">
        <v>182</v>
      </c>
      <c r="G52" s="259" t="s">
        <v>181</v>
      </c>
      <c r="H52" s="259">
        <v>1</v>
      </c>
      <c r="I52" s="260"/>
      <c r="J52" s="260"/>
      <c r="L52" s="259" t="s">
        <v>183</v>
      </c>
      <c r="M52" s="259" t="s">
        <v>184</v>
      </c>
      <c r="P52" s="259" t="s">
        <v>166</v>
      </c>
      <c r="U52" s="258"/>
      <c r="V52" s="261"/>
      <c r="W52" s="262"/>
      <c r="X52" s="263"/>
      <c r="Y52" s="263"/>
      <c r="Z52" s="264"/>
      <c r="AA52" s="263"/>
      <c r="AB52" s="265"/>
      <c r="AC52" s="263"/>
    </row>
    <row r="53" spans="1:29">
      <c r="A53" s="259" t="s">
        <v>163</v>
      </c>
      <c r="B53" s="259" t="s">
        <v>112</v>
      </c>
      <c r="C53" s="259" t="s">
        <v>175</v>
      </c>
      <c r="D53" s="259" t="s">
        <v>139</v>
      </c>
      <c r="E53" s="259">
        <v>38.770000000000003</v>
      </c>
      <c r="F53" s="259" t="s">
        <v>182</v>
      </c>
      <c r="G53" s="259" t="s">
        <v>181</v>
      </c>
      <c r="H53" s="259">
        <v>1</v>
      </c>
      <c r="I53" s="260"/>
      <c r="J53" s="260"/>
      <c r="L53" s="259" t="s">
        <v>183</v>
      </c>
      <c r="M53" s="259" t="s">
        <v>184</v>
      </c>
      <c r="P53" s="259" t="s">
        <v>166</v>
      </c>
      <c r="U53" s="258"/>
      <c r="V53" s="261"/>
      <c r="W53" s="262"/>
      <c r="X53" s="263"/>
      <c r="Y53" s="263"/>
      <c r="Z53" s="264"/>
      <c r="AA53" s="263"/>
      <c r="AB53" s="265"/>
      <c r="AC53" s="263"/>
    </row>
    <row r="54" spans="1:29">
      <c r="A54" s="259" t="s">
        <v>163</v>
      </c>
      <c r="B54" s="259" t="s">
        <v>112</v>
      </c>
      <c r="C54" s="259" t="s">
        <v>176</v>
      </c>
      <c r="D54" s="259" t="s">
        <v>139</v>
      </c>
      <c r="E54" s="259">
        <v>38.770000000000003</v>
      </c>
      <c r="F54" s="259" t="s">
        <v>182</v>
      </c>
      <c r="G54" s="259" t="s">
        <v>181</v>
      </c>
      <c r="H54" s="259">
        <v>1</v>
      </c>
      <c r="I54" s="260"/>
      <c r="J54" s="260"/>
      <c r="L54" s="259" t="s">
        <v>183</v>
      </c>
      <c r="M54" s="259" t="s">
        <v>184</v>
      </c>
      <c r="P54" s="259" t="s">
        <v>166</v>
      </c>
      <c r="U54" s="258"/>
      <c r="V54" s="261"/>
      <c r="W54" s="262"/>
      <c r="X54" s="263"/>
      <c r="Y54" s="263"/>
      <c r="Z54" s="264"/>
      <c r="AA54" s="263"/>
      <c r="AB54" s="265"/>
      <c r="AC54" s="263"/>
    </row>
    <row r="55" spans="1:29">
      <c r="A55" s="259" t="s">
        <v>163</v>
      </c>
      <c r="B55" s="259" t="s">
        <v>112</v>
      </c>
      <c r="C55" s="259" t="s">
        <v>177</v>
      </c>
      <c r="D55" s="259" t="s">
        <v>139</v>
      </c>
      <c r="E55" s="259">
        <v>38.770000000000003</v>
      </c>
      <c r="F55" s="259" t="s">
        <v>182</v>
      </c>
      <c r="G55" s="259" t="s">
        <v>181</v>
      </c>
      <c r="H55" s="259">
        <v>1</v>
      </c>
      <c r="I55" s="260"/>
      <c r="J55" s="260"/>
      <c r="L55" s="259" t="s">
        <v>183</v>
      </c>
      <c r="M55" s="259" t="s">
        <v>184</v>
      </c>
      <c r="P55" s="259" t="s">
        <v>166</v>
      </c>
      <c r="U55" s="258"/>
      <c r="V55" s="261"/>
      <c r="W55" s="262"/>
      <c r="X55" s="263"/>
      <c r="Y55" s="263"/>
      <c r="Z55" s="264"/>
      <c r="AA55" s="263"/>
      <c r="AB55" s="265"/>
      <c r="AC55" s="263"/>
    </row>
    <row r="56" spans="1:29">
      <c r="A56" s="259" t="s">
        <v>163</v>
      </c>
      <c r="B56" s="259" t="s">
        <v>112</v>
      </c>
      <c r="C56" s="259" t="s">
        <v>178</v>
      </c>
      <c r="D56" s="259" t="s">
        <v>139</v>
      </c>
      <c r="E56" s="259">
        <v>69.78</v>
      </c>
      <c r="F56" s="259" t="s">
        <v>182</v>
      </c>
      <c r="G56" s="259" t="s">
        <v>181</v>
      </c>
      <c r="H56" s="259">
        <v>1</v>
      </c>
      <c r="L56" s="259" t="s">
        <v>183</v>
      </c>
      <c r="M56" s="259" t="s">
        <v>185</v>
      </c>
      <c r="P56" s="259" t="s">
        <v>179</v>
      </c>
      <c r="U56" s="258"/>
      <c r="V56" s="261"/>
      <c r="W56" s="262"/>
      <c r="X56" s="263"/>
      <c r="Y56" s="263"/>
      <c r="Z56" s="264"/>
      <c r="AA56" s="263"/>
      <c r="AB56" s="265"/>
      <c r="AC56" s="263"/>
    </row>
    <row r="57" spans="1:29">
      <c r="A57" s="259" t="s">
        <v>163</v>
      </c>
      <c r="B57" s="259" t="s">
        <v>112</v>
      </c>
      <c r="C57" s="259" t="s">
        <v>180</v>
      </c>
      <c r="D57" s="259" t="s">
        <v>139</v>
      </c>
      <c r="E57" s="259">
        <v>21.04</v>
      </c>
      <c r="F57" s="259" t="s">
        <v>182</v>
      </c>
      <c r="G57" s="259" t="s">
        <v>181</v>
      </c>
      <c r="H57" s="259">
        <v>1</v>
      </c>
      <c r="L57" s="259" t="s">
        <v>183</v>
      </c>
      <c r="M57" s="259" t="s">
        <v>186</v>
      </c>
      <c r="P57" s="259" t="s">
        <v>179</v>
      </c>
      <c r="U57" s="258"/>
      <c r="V57" s="261"/>
      <c r="W57" s="262"/>
      <c r="X57" s="263"/>
      <c r="Y57" s="263"/>
      <c r="Z57" s="264"/>
      <c r="AA57" s="263"/>
      <c r="AB57" s="265"/>
      <c r="AC57" s="263"/>
    </row>
    <row r="58" spans="1:29" customFormat="1">
      <c r="A58" t="s">
        <v>143</v>
      </c>
      <c r="B58" t="s">
        <v>112</v>
      </c>
      <c r="C58" t="s">
        <v>291</v>
      </c>
      <c r="D58" t="s">
        <v>139</v>
      </c>
      <c r="E58" s="259">
        <v>54.56</v>
      </c>
      <c r="G58" t="s">
        <v>181</v>
      </c>
      <c r="H58">
        <v>1</v>
      </c>
      <c r="I58" s="329"/>
      <c r="J58" s="329"/>
      <c r="L58" t="s">
        <v>146</v>
      </c>
      <c r="M58" t="s">
        <v>113</v>
      </c>
      <c r="P58" t="s">
        <v>292</v>
      </c>
      <c r="Q58" t="b">
        <v>0</v>
      </c>
    </row>
    <row r="59" spans="1:29">
      <c r="U59" s="258"/>
      <c r="V59" s="261"/>
      <c r="W59" s="262"/>
      <c r="X59" s="263"/>
      <c r="Y59" s="263"/>
      <c r="Z59" s="264"/>
      <c r="AA59" s="263"/>
      <c r="AB59" s="265"/>
      <c r="AC59" s="263"/>
    </row>
    <row r="60" spans="1:29">
      <c r="A60" s="259" t="s">
        <v>111</v>
      </c>
      <c r="B60" s="259" t="s">
        <v>112</v>
      </c>
      <c r="C60" s="259" t="s">
        <v>184</v>
      </c>
      <c r="D60" s="259" t="s">
        <v>114</v>
      </c>
      <c r="E60" s="259">
        <v>38.770000000000003</v>
      </c>
      <c r="G60" s="259" t="s">
        <v>115</v>
      </c>
      <c r="H60" s="259">
        <v>1</v>
      </c>
      <c r="I60" s="260"/>
      <c r="J60" s="260"/>
      <c r="L60" s="259" t="s">
        <v>146</v>
      </c>
      <c r="M60" s="259" t="s">
        <v>113</v>
      </c>
      <c r="P60" s="259" t="s">
        <v>115</v>
      </c>
      <c r="U60" s="258"/>
      <c r="V60" s="261"/>
      <c r="W60" s="262"/>
      <c r="X60" s="263"/>
      <c r="Y60" s="263"/>
      <c r="Z60" s="264"/>
      <c r="AA60" s="263"/>
      <c r="AB60" s="265"/>
      <c r="AC60" s="263"/>
    </row>
    <row r="61" spans="1:29">
      <c r="A61" s="259" t="s">
        <v>111</v>
      </c>
      <c r="B61" s="259" t="s">
        <v>112</v>
      </c>
      <c r="C61" s="259" t="s">
        <v>185</v>
      </c>
      <c r="D61" s="259" t="s">
        <v>114</v>
      </c>
      <c r="E61" s="259">
        <v>69.78</v>
      </c>
      <c r="G61" s="259" t="s">
        <v>115</v>
      </c>
      <c r="H61" s="259">
        <v>1</v>
      </c>
      <c r="L61" s="259" t="s">
        <v>146</v>
      </c>
      <c r="M61" s="259" t="s">
        <v>113</v>
      </c>
      <c r="P61" s="259" t="s">
        <v>115</v>
      </c>
    </row>
    <row r="62" spans="1:29">
      <c r="A62" s="259" t="s">
        <v>111</v>
      </c>
      <c r="B62" s="259" t="s">
        <v>112</v>
      </c>
      <c r="C62" s="259" t="s">
        <v>186</v>
      </c>
      <c r="D62" s="259" t="s">
        <v>114</v>
      </c>
      <c r="E62" s="259">
        <v>21.04</v>
      </c>
      <c r="G62" s="259" t="s">
        <v>115</v>
      </c>
      <c r="H62" s="259">
        <v>1</v>
      </c>
      <c r="L62" s="259" t="s">
        <v>146</v>
      </c>
      <c r="M62" s="259" t="s">
        <v>113</v>
      </c>
      <c r="P62" s="259" t="s">
        <v>115</v>
      </c>
    </row>
    <row r="63" spans="1:29" s="257" customFormat="1">
      <c r="I63" s="266"/>
      <c r="J63" s="266"/>
      <c r="U63" s="267"/>
      <c r="V63" s="268"/>
      <c r="W63" s="269"/>
      <c r="X63" s="270"/>
      <c r="Y63" s="270"/>
      <c r="Z63" s="271"/>
      <c r="AA63" s="270"/>
      <c r="AB63" s="272"/>
      <c r="AC63" s="270"/>
    </row>
    <row r="64" spans="1:29" s="257" customFormat="1">
      <c r="A64" s="257" t="s">
        <v>95</v>
      </c>
      <c r="B64" s="257" t="s">
        <v>96</v>
      </c>
      <c r="C64" s="257" t="s">
        <v>97</v>
      </c>
      <c r="D64" s="257" t="s">
        <v>98</v>
      </c>
      <c r="E64" s="257" t="s">
        <v>99</v>
      </c>
      <c r="F64" s="257" t="s">
        <v>100</v>
      </c>
      <c r="G64" s="257" t="s">
        <v>101</v>
      </c>
      <c r="H64" s="257" t="s">
        <v>102</v>
      </c>
      <c r="I64" s="257" t="s">
        <v>103</v>
      </c>
      <c r="J64" s="257" t="s">
        <v>104</v>
      </c>
      <c r="K64" s="257" t="s">
        <v>105</v>
      </c>
      <c r="L64" s="257" t="s">
        <v>106</v>
      </c>
      <c r="M64" s="257" t="s">
        <v>107</v>
      </c>
      <c r="N64" s="257" t="s">
        <v>108</v>
      </c>
      <c r="O64" s="257" t="s">
        <v>109</v>
      </c>
      <c r="P64" s="257" t="s">
        <v>110</v>
      </c>
      <c r="U64" s="258"/>
      <c r="V64" s="261"/>
      <c r="W64" s="262"/>
      <c r="X64" s="263"/>
      <c r="Y64" s="263"/>
      <c r="Z64" s="264"/>
      <c r="AA64" s="263"/>
      <c r="AB64" s="265"/>
      <c r="AC64" s="263"/>
    </row>
    <row r="65" spans="1:29">
      <c r="A65" s="259" t="s">
        <v>143</v>
      </c>
      <c r="B65" s="259" t="s">
        <v>112</v>
      </c>
      <c r="C65" s="259" t="s">
        <v>144</v>
      </c>
      <c r="D65" s="259" t="s">
        <v>187</v>
      </c>
      <c r="E65" s="273">
        <f>10+15</f>
        <v>25</v>
      </c>
      <c r="G65" s="259" t="s">
        <v>188</v>
      </c>
      <c r="H65" s="259">
        <v>1</v>
      </c>
      <c r="I65" s="260"/>
      <c r="J65" s="260"/>
      <c r="L65" s="259" t="s">
        <v>116</v>
      </c>
      <c r="P65" s="259" t="s">
        <v>148</v>
      </c>
      <c r="R65" s="259" t="s">
        <v>189</v>
      </c>
      <c r="U65" s="258"/>
      <c r="V65" s="261"/>
      <c r="W65" s="262"/>
      <c r="X65" s="263"/>
      <c r="Y65" s="263"/>
      <c r="Z65" s="264"/>
      <c r="AA65" s="263"/>
      <c r="AB65" s="265"/>
      <c r="AC65" s="263"/>
    </row>
    <row r="66" spans="1:29">
      <c r="A66" s="259" t="s">
        <v>143</v>
      </c>
      <c r="B66" s="259" t="s">
        <v>112</v>
      </c>
      <c r="C66" s="259" t="s">
        <v>149</v>
      </c>
      <c r="D66" s="259" t="s">
        <v>187</v>
      </c>
      <c r="E66" s="273">
        <f t="shared" ref="E66:E71" si="0">10+15</f>
        <v>25</v>
      </c>
      <c r="G66" s="259" t="s">
        <v>188</v>
      </c>
      <c r="H66" s="259">
        <v>1</v>
      </c>
      <c r="L66" s="259" t="s">
        <v>116</v>
      </c>
      <c r="P66" s="259" t="s">
        <v>148</v>
      </c>
      <c r="R66" s="259" t="s">
        <v>189</v>
      </c>
      <c r="U66" s="258"/>
      <c r="V66" s="261"/>
      <c r="W66" s="262"/>
      <c r="X66" s="263"/>
      <c r="Y66" s="263"/>
      <c r="Z66" s="264"/>
      <c r="AA66" s="263"/>
      <c r="AB66" s="265"/>
      <c r="AC66" s="263"/>
    </row>
    <row r="67" spans="1:29">
      <c r="A67" s="259" t="s">
        <v>143</v>
      </c>
      <c r="B67" s="259" t="s">
        <v>112</v>
      </c>
      <c r="C67" s="259" t="s">
        <v>150</v>
      </c>
      <c r="D67" s="259" t="s">
        <v>187</v>
      </c>
      <c r="E67" s="273">
        <f t="shared" si="0"/>
        <v>25</v>
      </c>
      <c r="G67" s="259" t="s">
        <v>188</v>
      </c>
      <c r="H67" s="259">
        <v>1</v>
      </c>
      <c r="I67" s="260"/>
      <c r="J67" s="260"/>
      <c r="L67" s="259" t="s">
        <v>116</v>
      </c>
      <c r="P67" s="259" t="s">
        <v>148</v>
      </c>
      <c r="R67" s="259" t="s">
        <v>189</v>
      </c>
      <c r="U67" s="258"/>
      <c r="V67" s="261"/>
      <c r="W67" s="262"/>
      <c r="X67" s="263"/>
      <c r="Y67" s="263"/>
      <c r="Z67" s="264"/>
      <c r="AA67" s="263"/>
      <c r="AB67" s="265"/>
      <c r="AC67" s="263"/>
    </row>
    <row r="68" spans="1:29">
      <c r="A68" s="259" t="s">
        <v>143</v>
      </c>
      <c r="B68" s="259" t="s">
        <v>112</v>
      </c>
      <c r="C68" s="259" t="s">
        <v>151</v>
      </c>
      <c r="D68" s="259" t="s">
        <v>187</v>
      </c>
      <c r="E68" s="273">
        <f t="shared" si="0"/>
        <v>25</v>
      </c>
      <c r="G68" s="259" t="s">
        <v>188</v>
      </c>
      <c r="H68" s="259">
        <v>1</v>
      </c>
      <c r="I68" s="260"/>
      <c r="J68" s="260"/>
      <c r="L68" s="259" t="s">
        <v>116</v>
      </c>
      <c r="P68" s="259" t="s">
        <v>148</v>
      </c>
      <c r="R68" s="259" t="s">
        <v>189</v>
      </c>
      <c r="U68" s="258"/>
      <c r="V68" s="261"/>
      <c r="W68" s="262"/>
      <c r="X68" s="263"/>
      <c r="Y68" s="263"/>
      <c r="Z68" s="264"/>
      <c r="AA68" s="263"/>
      <c r="AB68" s="265"/>
      <c r="AC68" s="263"/>
    </row>
    <row r="69" spans="1:29">
      <c r="A69" s="259" t="s">
        <v>143</v>
      </c>
      <c r="B69" s="259" t="s">
        <v>112</v>
      </c>
      <c r="C69" s="259" t="s">
        <v>152</v>
      </c>
      <c r="D69" s="259" t="s">
        <v>187</v>
      </c>
      <c r="E69" s="273">
        <f t="shared" si="0"/>
        <v>25</v>
      </c>
      <c r="G69" s="259" t="s">
        <v>188</v>
      </c>
      <c r="H69" s="259">
        <v>1</v>
      </c>
      <c r="I69" s="260"/>
      <c r="J69" s="260"/>
      <c r="L69" s="259" t="s">
        <v>116</v>
      </c>
      <c r="P69" s="259" t="s">
        <v>148</v>
      </c>
      <c r="R69" s="259" t="s">
        <v>189</v>
      </c>
      <c r="U69" s="258"/>
      <c r="V69" s="261"/>
      <c r="W69" s="262"/>
      <c r="X69" s="263"/>
      <c r="Y69" s="263"/>
      <c r="Z69" s="264"/>
      <c r="AA69" s="263"/>
      <c r="AB69" s="265"/>
      <c r="AC69" s="263"/>
    </row>
    <row r="70" spans="1:29">
      <c r="A70" s="259" t="s">
        <v>143</v>
      </c>
      <c r="B70" s="259" t="s">
        <v>112</v>
      </c>
      <c r="C70" s="259" t="s">
        <v>206</v>
      </c>
      <c r="D70" s="259" t="s">
        <v>187</v>
      </c>
      <c r="E70" s="273">
        <f t="shared" si="0"/>
        <v>25</v>
      </c>
      <c r="G70" s="259" t="s">
        <v>188</v>
      </c>
      <c r="H70" s="259">
        <v>1</v>
      </c>
      <c r="I70" s="260"/>
      <c r="J70" s="260"/>
      <c r="L70" s="259" t="s">
        <v>116</v>
      </c>
      <c r="P70" s="259" t="s">
        <v>148</v>
      </c>
      <c r="R70" s="259" t="s">
        <v>189</v>
      </c>
      <c r="U70" s="258"/>
      <c r="V70" s="261"/>
      <c r="W70" s="262"/>
      <c r="X70" s="263"/>
      <c r="Y70" s="263"/>
      <c r="Z70" s="264"/>
      <c r="AA70" s="263"/>
      <c r="AB70" s="265"/>
      <c r="AC70" s="263"/>
    </row>
    <row r="71" spans="1:29">
      <c r="A71" s="259" t="s">
        <v>143</v>
      </c>
      <c r="B71" s="259" t="s">
        <v>112</v>
      </c>
      <c r="C71" s="259" t="s">
        <v>153</v>
      </c>
      <c r="D71" s="259" t="s">
        <v>187</v>
      </c>
      <c r="E71" s="273">
        <f t="shared" si="0"/>
        <v>25</v>
      </c>
      <c r="G71" s="259" t="s">
        <v>188</v>
      </c>
      <c r="H71" s="259">
        <v>1</v>
      </c>
      <c r="I71" s="260"/>
      <c r="J71" s="260"/>
      <c r="L71" s="259" t="s">
        <v>116</v>
      </c>
      <c r="P71" s="259" t="s">
        <v>148</v>
      </c>
      <c r="R71" s="259" t="s">
        <v>189</v>
      </c>
      <c r="U71" s="258"/>
      <c r="V71" s="261"/>
      <c r="W71" s="262"/>
      <c r="X71" s="263"/>
      <c r="Y71" s="263"/>
      <c r="Z71" s="264"/>
      <c r="AA71" s="263"/>
      <c r="AB71" s="265"/>
      <c r="AC71" s="263"/>
    </row>
    <row r="72" spans="1:29">
      <c r="A72" s="259" t="s">
        <v>143</v>
      </c>
      <c r="B72" s="259" t="s">
        <v>112</v>
      </c>
      <c r="C72" s="259" t="s">
        <v>154</v>
      </c>
      <c r="D72" s="259" t="s">
        <v>187</v>
      </c>
      <c r="E72" s="274">
        <f>10+20</f>
        <v>30</v>
      </c>
      <c r="G72" s="259" t="s">
        <v>188</v>
      </c>
      <c r="H72" s="259">
        <v>1</v>
      </c>
      <c r="I72" s="260"/>
      <c r="J72" s="260"/>
      <c r="L72" s="259" t="s">
        <v>116</v>
      </c>
      <c r="P72" s="259" t="s">
        <v>156</v>
      </c>
      <c r="R72" s="259" t="s">
        <v>189</v>
      </c>
      <c r="U72" s="258"/>
      <c r="V72" s="261"/>
      <c r="W72" s="262"/>
      <c r="X72" s="263"/>
      <c r="Y72" s="263"/>
      <c r="Z72" s="264"/>
      <c r="AA72" s="263"/>
      <c r="AB72" s="265"/>
      <c r="AC72" s="263"/>
    </row>
    <row r="73" spans="1:29">
      <c r="A73" s="259" t="s">
        <v>143</v>
      </c>
      <c r="B73" s="259" t="s">
        <v>112</v>
      </c>
      <c r="C73" s="259" t="s">
        <v>157</v>
      </c>
      <c r="D73" s="259" t="s">
        <v>187</v>
      </c>
      <c r="E73" s="274">
        <f t="shared" ref="E73:E77" si="1">10+20</f>
        <v>30</v>
      </c>
      <c r="G73" s="259" t="s">
        <v>188</v>
      </c>
      <c r="H73" s="259">
        <v>1</v>
      </c>
      <c r="I73" s="260"/>
      <c r="J73" s="260"/>
      <c r="L73" s="259" t="s">
        <v>116</v>
      </c>
      <c r="P73" s="259" t="s">
        <v>156</v>
      </c>
      <c r="R73" s="259" t="s">
        <v>189</v>
      </c>
      <c r="U73" s="258"/>
      <c r="V73" s="261"/>
      <c r="W73" s="262"/>
      <c r="X73" s="263"/>
      <c r="Y73" s="263"/>
      <c r="Z73" s="264"/>
      <c r="AA73" s="263"/>
      <c r="AB73" s="265"/>
      <c r="AC73" s="263"/>
    </row>
    <row r="74" spans="1:29">
      <c r="A74" s="259" t="s">
        <v>143</v>
      </c>
      <c r="B74" s="259" t="s">
        <v>112</v>
      </c>
      <c r="C74" s="259" t="s">
        <v>158</v>
      </c>
      <c r="D74" s="259" t="s">
        <v>187</v>
      </c>
      <c r="E74" s="274">
        <f t="shared" si="1"/>
        <v>30</v>
      </c>
      <c r="G74" s="259" t="s">
        <v>188</v>
      </c>
      <c r="H74" s="259">
        <v>1</v>
      </c>
      <c r="I74" s="260"/>
      <c r="J74" s="260"/>
      <c r="L74" s="259" t="s">
        <v>116</v>
      </c>
      <c r="P74" s="259" t="s">
        <v>156</v>
      </c>
      <c r="R74" s="259" t="s">
        <v>189</v>
      </c>
      <c r="U74" s="258"/>
      <c r="V74" s="261"/>
      <c r="W74" s="262"/>
      <c r="X74" s="263"/>
      <c r="Y74" s="263"/>
      <c r="Z74" s="264"/>
      <c r="AA74" s="263"/>
      <c r="AB74" s="265"/>
      <c r="AC74" s="263"/>
    </row>
    <row r="75" spans="1:29">
      <c r="A75" s="259" t="s">
        <v>143</v>
      </c>
      <c r="B75" s="259" t="s">
        <v>112</v>
      </c>
      <c r="C75" s="259" t="s">
        <v>159</v>
      </c>
      <c r="D75" s="259" t="s">
        <v>187</v>
      </c>
      <c r="E75" s="274">
        <f t="shared" si="1"/>
        <v>30</v>
      </c>
      <c r="G75" s="259" t="s">
        <v>188</v>
      </c>
      <c r="H75" s="259">
        <v>1</v>
      </c>
      <c r="I75" s="260"/>
      <c r="J75" s="260"/>
      <c r="L75" s="259" t="s">
        <v>116</v>
      </c>
      <c r="P75" s="259" t="s">
        <v>156</v>
      </c>
      <c r="R75" s="259" t="s">
        <v>189</v>
      </c>
      <c r="U75" s="258"/>
      <c r="V75" s="261"/>
      <c r="W75" s="262"/>
      <c r="X75" s="263"/>
      <c r="Y75" s="263"/>
      <c r="Z75" s="264"/>
      <c r="AA75" s="263"/>
      <c r="AB75" s="265"/>
      <c r="AC75" s="263"/>
    </row>
    <row r="76" spans="1:29">
      <c r="A76" s="259" t="s">
        <v>143</v>
      </c>
      <c r="B76" s="259" t="s">
        <v>112</v>
      </c>
      <c r="C76" s="259" t="s">
        <v>161</v>
      </c>
      <c r="D76" s="259" t="s">
        <v>187</v>
      </c>
      <c r="E76" s="274">
        <f t="shared" si="1"/>
        <v>30</v>
      </c>
      <c r="G76" s="259" t="s">
        <v>188</v>
      </c>
      <c r="H76" s="259">
        <v>1</v>
      </c>
      <c r="I76" s="260"/>
      <c r="J76" s="260"/>
      <c r="L76" s="259" t="s">
        <v>116</v>
      </c>
      <c r="P76" s="259" t="s">
        <v>156</v>
      </c>
      <c r="R76" s="259" t="s">
        <v>189</v>
      </c>
      <c r="U76" s="258"/>
      <c r="V76" s="261"/>
      <c r="W76" s="262"/>
      <c r="X76" s="263"/>
      <c r="Y76" s="263"/>
      <c r="Z76" s="264"/>
      <c r="AA76" s="263"/>
      <c r="AB76" s="265"/>
      <c r="AC76" s="263"/>
    </row>
    <row r="77" spans="1:29">
      <c r="A77" s="259" t="s">
        <v>143</v>
      </c>
      <c r="B77" s="259" t="s">
        <v>112</v>
      </c>
      <c r="C77" s="259" t="s">
        <v>162</v>
      </c>
      <c r="D77" s="259" t="s">
        <v>187</v>
      </c>
      <c r="E77" s="274">
        <f t="shared" si="1"/>
        <v>30</v>
      </c>
      <c r="G77" s="259" t="s">
        <v>188</v>
      </c>
      <c r="H77" s="259">
        <v>1</v>
      </c>
      <c r="I77" s="260"/>
      <c r="J77" s="260"/>
      <c r="L77" s="259" t="s">
        <v>116</v>
      </c>
      <c r="P77" s="259" t="s">
        <v>156</v>
      </c>
      <c r="R77" s="259" t="s">
        <v>189</v>
      </c>
      <c r="U77" s="258"/>
      <c r="V77" s="261"/>
      <c r="W77" s="262"/>
      <c r="X77" s="263"/>
      <c r="Y77" s="263"/>
      <c r="Z77" s="264"/>
      <c r="AA77" s="263"/>
      <c r="AB77" s="265"/>
      <c r="AC77" s="263"/>
    </row>
    <row r="78" spans="1:29">
      <c r="A78" s="259" t="s">
        <v>163</v>
      </c>
      <c r="B78" s="259" t="s">
        <v>112</v>
      </c>
      <c r="C78" s="259" t="s">
        <v>167</v>
      </c>
      <c r="D78" s="259" t="s">
        <v>187</v>
      </c>
      <c r="E78" s="259">
        <v>20</v>
      </c>
      <c r="G78" s="259" t="s">
        <v>188</v>
      </c>
      <c r="H78" s="259">
        <v>1</v>
      </c>
      <c r="I78" s="260"/>
      <c r="J78" s="260"/>
      <c r="L78" s="259" t="s">
        <v>116</v>
      </c>
      <c r="P78" s="259" t="s">
        <v>166</v>
      </c>
      <c r="U78" s="258"/>
      <c r="V78" s="261"/>
      <c r="W78" s="262"/>
      <c r="X78" s="263"/>
      <c r="Y78" s="263"/>
      <c r="Z78" s="264"/>
      <c r="AA78" s="263"/>
      <c r="AB78" s="265"/>
      <c r="AC78" s="263"/>
    </row>
    <row r="79" spans="1:29">
      <c r="A79" s="259" t="s">
        <v>163</v>
      </c>
      <c r="B79" s="259" t="s">
        <v>112</v>
      </c>
      <c r="C79" s="259" t="s">
        <v>168</v>
      </c>
      <c r="D79" s="259" t="s">
        <v>187</v>
      </c>
      <c r="E79" s="259">
        <v>20</v>
      </c>
      <c r="G79" s="259" t="s">
        <v>188</v>
      </c>
      <c r="H79" s="259">
        <v>1</v>
      </c>
      <c r="I79" s="260"/>
      <c r="J79" s="260"/>
      <c r="L79" s="259" t="s">
        <v>116</v>
      </c>
      <c r="P79" s="259" t="s">
        <v>166</v>
      </c>
      <c r="U79" s="258"/>
      <c r="V79" s="261"/>
      <c r="W79" s="262"/>
      <c r="X79" s="263"/>
      <c r="Y79" s="263"/>
      <c r="Z79" s="264"/>
      <c r="AA79" s="263"/>
      <c r="AB79" s="265"/>
      <c r="AC79" s="263"/>
    </row>
    <row r="80" spans="1:29">
      <c r="A80" s="259" t="s">
        <v>163</v>
      </c>
      <c r="B80" s="259" t="s">
        <v>112</v>
      </c>
      <c r="C80" s="259" t="s">
        <v>169</v>
      </c>
      <c r="D80" s="259" t="s">
        <v>187</v>
      </c>
      <c r="E80" s="259">
        <v>20</v>
      </c>
      <c r="G80" s="259" t="s">
        <v>188</v>
      </c>
      <c r="H80" s="259">
        <v>1</v>
      </c>
      <c r="I80" s="260"/>
      <c r="J80" s="260"/>
      <c r="L80" s="259" t="s">
        <v>116</v>
      </c>
      <c r="P80" s="259" t="s">
        <v>166</v>
      </c>
      <c r="U80" s="258"/>
      <c r="V80" s="261"/>
      <c r="W80" s="262"/>
      <c r="X80" s="263"/>
      <c r="Y80" s="263"/>
      <c r="Z80" s="264"/>
      <c r="AA80" s="263"/>
      <c r="AB80" s="265"/>
      <c r="AC80" s="263"/>
    </row>
    <row r="81" spans="1:29">
      <c r="A81" s="259" t="s">
        <v>163</v>
      </c>
      <c r="B81" s="259" t="s">
        <v>112</v>
      </c>
      <c r="C81" s="259" t="s">
        <v>170</v>
      </c>
      <c r="D81" s="259" t="s">
        <v>187</v>
      </c>
      <c r="E81" s="259">
        <v>20</v>
      </c>
      <c r="G81" s="259" t="s">
        <v>188</v>
      </c>
      <c r="H81" s="259">
        <v>1</v>
      </c>
      <c r="I81" s="260"/>
      <c r="J81" s="260"/>
      <c r="L81" s="259" t="s">
        <v>116</v>
      </c>
      <c r="P81" s="259" t="s">
        <v>166</v>
      </c>
      <c r="U81" s="258"/>
      <c r="V81" s="261"/>
      <c r="W81" s="262"/>
      <c r="X81" s="263"/>
      <c r="Y81" s="263"/>
      <c r="Z81" s="264"/>
      <c r="AA81" s="263"/>
      <c r="AB81" s="265"/>
      <c r="AC81" s="263"/>
    </row>
    <row r="82" spans="1:29">
      <c r="A82" s="259" t="s">
        <v>163</v>
      </c>
      <c r="B82" s="259" t="s">
        <v>112</v>
      </c>
      <c r="C82" s="259" t="s">
        <v>171</v>
      </c>
      <c r="D82" s="259" t="s">
        <v>187</v>
      </c>
      <c r="E82" s="259">
        <v>20</v>
      </c>
      <c r="G82" s="259" t="s">
        <v>188</v>
      </c>
      <c r="H82" s="259">
        <v>1</v>
      </c>
      <c r="I82" s="260"/>
      <c r="J82" s="260"/>
      <c r="L82" s="259" t="s">
        <v>116</v>
      </c>
      <c r="P82" s="259" t="s">
        <v>166</v>
      </c>
      <c r="U82" s="258"/>
      <c r="V82" s="261"/>
      <c r="W82" s="262"/>
      <c r="X82" s="263"/>
      <c r="Y82" s="263"/>
      <c r="Z82" s="264"/>
      <c r="AA82" s="263"/>
      <c r="AB82" s="265"/>
      <c r="AC82" s="263"/>
    </row>
    <row r="83" spans="1:29">
      <c r="A83" s="259" t="s">
        <v>163</v>
      </c>
      <c r="B83" s="259" t="s">
        <v>112</v>
      </c>
      <c r="C83" s="259" t="s">
        <v>172</v>
      </c>
      <c r="D83" s="259" t="s">
        <v>187</v>
      </c>
      <c r="E83" s="259">
        <v>20</v>
      </c>
      <c r="G83" s="259" t="s">
        <v>188</v>
      </c>
      <c r="H83" s="259">
        <v>1</v>
      </c>
      <c r="I83" s="260"/>
      <c r="J83" s="260"/>
      <c r="L83" s="259" t="s">
        <v>116</v>
      </c>
      <c r="P83" s="259" t="s">
        <v>166</v>
      </c>
      <c r="U83" s="258"/>
      <c r="V83" s="261"/>
      <c r="W83" s="262"/>
      <c r="X83" s="263"/>
      <c r="Y83" s="263"/>
      <c r="Z83" s="264"/>
      <c r="AA83" s="263"/>
      <c r="AB83" s="265"/>
      <c r="AC83" s="263"/>
    </row>
    <row r="84" spans="1:29">
      <c r="A84" s="259" t="s">
        <v>163</v>
      </c>
      <c r="B84" s="259" t="s">
        <v>112</v>
      </c>
      <c r="C84" s="259" t="s">
        <v>164</v>
      </c>
      <c r="D84" s="259" t="s">
        <v>187</v>
      </c>
      <c r="E84" s="259">
        <v>20</v>
      </c>
      <c r="G84" s="259" t="s">
        <v>188</v>
      </c>
      <c r="H84" s="259">
        <v>1</v>
      </c>
      <c r="I84" s="260"/>
      <c r="J84" s="260"/>
      <c r="L84" s="259" t="s">
        <v>116</v>
      </c>
      <c r="P84" s="259" t="s">
        <v>166</v>
      </c>
      <c r="U84" s="258"/>
      <c r="V84" s="261"/>
      <c r="W84" s="262"/>
      <c r="X84" s="263"/>
      <c r="Y84" s="263"/>
      <c r="Z84" s="264"/>
      <c r="AA84" s="263"/>
      <c r="AB84" s="265"/>
      <c r="AC84" s="263"/>
    </row>
    <row r="85" spans="1:29">
      <c r="A85" s="259" t="s">
        <v>163</v>
      </c>
      <c r="B85" s="259" t="s">
        <v>112</v>
      </c>
      <c r="C85" s="259" t="s">
        <v>173</v>
      </c>
      <c r="D85" s="259" t="s">
        <v>187</v>
      </c>
      <c r="E85" s="259">
        <v>20</v>
      </c>
      <c r="G85" s="259" t="s">
        <v>188</v>
      </c>
      <c r="H85" s="259">
        <v>1</v>
      </c>
      <c r="I85" s="260"/>
      <c r="J85" s="260"/>
      <c r="L85" s="259" t="s">
        <v>116</v>
      </c>
      <c r="P85" s="259" t="s">
        <v>166</v>
      </c>
      <c r="U85" s="258"/>
      <c r="V85" s="261"/>
      <c r="W85" s="262"/>
      <c r="X85" s="263"/>
      <c r="Y85" s="263"/>
      <c r="Z85" s="264"/>
      <c r="AA85" s="263"/>
      <c r="AB85" s="265"/>
      <c r="AC85" s="263"/>
    </row>
    <row r="86" spans="1:29">
      <c r="A86" s="259" t="s">
        <v>163</v>
      </c>
      <c r="B86" s="259" t="s">
        <v>112</v>
      </c>
      <c r="C86" s="259" t="s">
        <v>174</v>
      </c>
      <c r="D86" s="259" t="s">
        <v>187</v>
      </c>
      <c r="E86" s="259">
        <v>20</v>
      </c>
      <c r="G86" s="259" t="s">
        <v>188</v>
      </c>
      <c r="H86" s="259">
        <v>1</v>
      </c>
      <c r="I86" s="260"/>
      <c r="J86" s="260"/>
      <c r="L86" s="259" t="s">
        <v>116</v>
      </c>
      <c r="P86" s="259" t="s">
        <v>166</v>
      </c>
      <c r="U86" s="258"/>
      <c r="V86" s="261"/>
      <c r="W86" s="262"/>
      <c r="X86" s="263"/>
      <c r="Y86" s="263"/>
      <c r="Z86" s="264"/>
      <c r="AA86" s="263"/>
      <c r="AB86" s="265"/>
      <c r="AC86" s="263"/>
    </row>
    <row r="87" spans="1:29">
      <c r="A87" s="259" t="s">
        <v>163</v>
      </c>
      <c r="B87" s="259" t="s">
        <v>112</v>
      </c>
      <c r="C87" s="259" t="s">
        <v>175</v>
      </c>
      <c r="D87" s="259" t="s">
        <v>187</v>
      </c>
      <c r="E87" s="259">
        <v>20</v>
      </c>
      <c r="G87" s="259" t="s">
        <v>188</v>
      </c>
      <c r="H87" s="259">
        <v>1</v>
      </c>
      <c r="I87" s="260"/>
      <c r="J87" s="260"/>
      <c r="L87" s="259" t="s">
        <v>116</v>
      </c>
      <c r="P87" s="259" t="s">
        <v>166</v>
      </c>
      <c r="U87" s="258"/>
      <c r="V87" s="261"/>
      <c r="W87" s="262"/>
      <c r="X87" s="263"/>
      <c r="Y87" s="263"/>
      <c r="Z87" s="264"/>
      <c r="AA87" s="263"/>
      <c r="AB87" s="265"/>
      <c r="AC87" s="263"/>
    </row>
    <row r="88" spans="1:29">
      <c r="A88" s="259" t="s">
        <v>163</v>
      </c>
      <c r="B88" s="259" t="s">
        <v>112</v>
      </c>
      <c r="C88" s="259" t="s">
        <v>176</v>
      </c>
      <c r="D88" s="259" t="s">
        <v>187</v>
      </c>
      <c r="E88" s="259">
        <v>20</v>
      </c>
      <c r="G88" s="259" t="s">
        <v>188</v>
      </c>
      <c r="H88" s="259">
        <v>1</v>
      </c>
      <c r="I88" s="260"/>
      <c r="J88" s="260"/>
      <c r="L88" s="259" t="s">
        <v>116</v>
      </c>
      <c r="P88" s="259" t="s">
        <v>166</v>
      </c>
      <c r="U88" s="258"/>
      <c r="V88" s="261"/>
      <c r="W88" s="262"/>
      <c r="X88" s="263"/>
      <c r="Y88" s="263"/>
      <c r="Z88" s="264"/>
      <c r="AA88" s="263"/>
      <c r="AB88" s="265"/>
      <c r="AC88" s="263"/>
    </row>
    <row r="89" spans="1:29">
      <c r="A89" s="259" t="s">
        <v>163</v>
      </c>
      <c r="B89" s="259" t="s">
        <v>112</v>
      </c>
      <c r="C89" s="259" t="s">
        <v>177</v>
      </c>
      <c r="D89" s="259" t="s">
        <v>187</v>
      </c>
      <c r="E89" s="259">
        <v>20</v>
      </c>
      <c r="G89" s="259" t="s">
        <v>188</v>
      </c>
      <c r="H89" s="259">
        <v>1</v>
      </c>
      <c r="I89" s="260"/>
      <c r="J89" s="260"/>
      <c r="L89" s="259" t="s">
        <v>116</v>
      </c>
      <c r="P89" s="259" t="s">
        <v>166</v>
      </c>
      <c r="U89" s="258"/>
      <c r="V89" s="261"/>
      <c r="W89" s="262"/>
      <c r="X89" s="263"/>
      <c r="Y89" s="263"/>
      <c r="Z89" s="264"/>
      <c r="AA89" s="263"/>
      <c r="AB89" s="265"/>
      <c r="AC89" s="263"/>
    </row>
    <row r="90" spans="1:29">
      <c r="A90" s="259" t="s">
        <v>163</v>
      </c>
      <c r="B90" s="259" t="s">
        <v>112</v>
      </c>
      <c r="C90" s="259" t="s">
        <v>178</v>
      </c>
      <c r="D90" s="259" t="s">
        <v>187</v>
      </c>
      <c r="E90" s="259">
        <v>20</v>
      </c>
      <c r="G90" s="259" t="s">
        <v>188</v>
      </c>
      <c r="H90" s="259">
        <v>1</v>
      </c>
      <c r="L90" s="259" t="s">
        <v>116</v>
      </c>
      <c r="P90" s="259" t="s">
        <v>179</v>
      </c>
      <c r="U90" s="258"/>
      <c r="V90" s="261"/>
      <c r="W90" s="262"/>
      <c r="X90" s="263"/>
      <c r="Y90" s="263"/>
      <c r="Z90" s="264"/>
      <c r="AA90" s="263"/>
      <c r="AB90" s="265"/>
      <c r="AC90" s="263"/>
    </row>
    <row r="91" spans="1:29">
      <c r="A91" s="259" t="s">
        <v>163</v>
      </c>
      <c r="B91" s="259" t="s">
        <v>112</v>
      </c>
      <c r="C91" s="259" t="s">
        <v>180</v>
      </c>
      <c r="D91" s="259" t="s">
        <v>187</v>
      </c>
      <c r="E91" s="259">
        <v>20</v>
      </c>
      <c r="G91" s="259" t="s">
        <v>188</v>
      </c>
      <c r="H91" s="259">
        <v>1</v>
      </c>
      <c r="L91" s="259" t="s">
        <v>116</v>
      </c>
      <c r="P91" s="259" t="s">
        <v>179</v>
      </c>
      <c r="U91" s="258"/>
      <c r="V91" s="261"/>
      <c r="W91" s="262"/>
      <c r="X91" s="263"/>
      <c r="Y91" s="263"/>
      <c r="Z91" s="264"/>
      <c r="AA91" s="263"/>
      <c r="AB91" s="265"/>
      <c r="AC91" s="263"/>
    </row>
    <row r="92" spans="1:29" customFormat="1" ht="12.75">
      <c r="A92" t="s">
        <v>143</v>
      </c>
      <c r="B92" t="s">
        <v>112</v>
      </c>
      <c r="C92" t="s">
        <v>291</v>
      </c>
      <c r="D92" t="s">
        <v>187</v>
      </c>
      <c r="E92">
        <v>40</v>
      </c>
      <c r="G92" t="s">
        <v>188</v>
      </c>
      <c r="H92">
        <v>1</v>
      </c>
      <c r="I92" s="329"/>
      <c r="J92" s="329"/>
      <c r="L92" t="s">
        <v>116</v>
      </c>
      <c r="O92" t="s">
        <v>319</v>
      </c>
      <c r="P92" t="s">
        <v>292</v>
      </c>
      <c r="Q92" t="b">
        <v>0</v>
      </c>
    </row>
    <row r="93" spans="1:29">
      <c r="U93" s="258"/>
      <c r="V93" s="261"/>
      <c r="W93" s="262"/>
      <c r="X93" s="263"/>
      <c r="Y93" s="263"/>
      <c r="Z93" s="264"/>
      <c r="AA93" s="263"/>
      <c r="AB93" s="265"/>
      <c r="AC93" s="263"/>
    </row>
    <row r="94" spans="1:29">
      <c r="A94" s="257" t="s">
        <v>95</v>
      </c>
      <c r="B94" s="257" t="s">
        <v>96</v>
      </c>
      <c r="C94" s="257" t="s">
        <v>97</v>
      </c>
      <c r="D94" s="257" t="s">
        <v>98</v>
      </c>
      <c r="E94" s="257" t="s">
        <v>99</v>
      </c>
      <c r="F94" s="257" t="s">
        <v>100</v>
      </c>
      <c r="G94" s="257" t="s">
        <v>101</v>
      </c>
      <c r="H94" s="257" t="s">
        <v>102</v>
      </c>
      <c r="I94" s="257" t="s">
        <v>103</v>
      </c>
      <c r="J94" s="257" t="s">
        <v>104</v>
      </c>
      <c r="K94" s="257" t="s">
        <v>105</v>
      </c>
      <c r="L94" s="257" t="s">
        <v>106</v>
      </c>
      <c r="M94" s="257" t="s">
        <v>107</v>
      </c>
      <c r="N94" s="257" t="s">
        <v>108</v>
      </c>
      <c r="O94" s="257" t="s">
        <v>109</v>
      </c>
      <c r="P94" s="257" t="s">
        <v>110</v>
      </c>
      <c r="U94" s="258"/>
      <c r="V94" s="261"/>
      <c r="W94" s="262"/>
      <c r="X94" s="263"/>
      <c r="Y94" s="263"/>
      <c r="Z94" s="264"/>
      <c r="AA94" s="263"/>
      <c r="AB94" s="265"/>
      <c r="AC94" s="263"/>
    </row>
    <row r="95" spans="1:29">
      <c r="A95" s="259" t="s">
        <v>143</v>
      </c>
      <c r="B95" s="259" t="s">
        <v>112</v>
      </c>
      <c r="C95" s="259" t="s">
        <v>144</v>
      </c>
      <c r="D95" s="259" t="s">
        <v>122</v>
      </c>
      <c r="E95" s="259">
        <v>8.5890000000000004</v>
      </c>
      <c r="G95" s="259" t="s">
        <v>190</v>
      </c>
      <c r="H95" s="259">
        <v>1</v>
      </c>
      <c r="L95" s="259" t="s">
        <v>116</v>
      </c>
      <c r="P95" s="259" t="s">
        <v>148</v>
      </c>
      <c r="U95" s="258"/>
      <c r="V95" s="261"/>
      <c r="W95" s="262"/>
      <c r="X95" s="263"/>
      <c r="Y95" s="263"/>
      <c r="Z95" s="264"/>
      <c r="AA95" s="263"/>
      <c r="AB95" s="265"/>
      <c r="AC95" s="263"/>
    </row>
    <row r="96" spans="1:29">
      <c r="A96" s="259" t="s">
        <v>143</v>
      </c>
      <c r="B96" s="259" t="s">
        <v>112</v>
      </c>
      <c r="C96" s="259" t="s">
        <v>149</v>
      </c>
      <c r="D96" s="259" t="s">
        <v>122</v>
      </c>
      <c r="E96" s="259">
        <v>8.5890000000000004</v>
      </c>
      <c r="G96" s="259" t="s">
        <v>190</v>
      </c>
      <c r="H96" s="259">
        <v>1</v>
      </c>
      <c r="L96" s="259" t="s">
        <v>116</v>
      </c>
      <c r="P96" s="259" t="s">
        <v>148</v>
      </c>
      <c r="U96" s="258"/>
      <c r="V96" s="261"/>
      <c r="W96" s="262"/>
      <c r="X96" s="263"/>
      <c r="Y96" s="263"/>
      <c r="Z96" s="264"/>
      <c r="AA96" s="263"/>
      <c r="AB96" s="265"/>
      <c r="AC96" s="263"/>
    </row>
    <row r="97" spans="1:29">
      <c r="A97" s="259" t="s">
        <v>143</v>
      </c>
      <c r="B97" s="259" t="s">
        <v>112</v>
      </c>
      <c r="C97" s="259" t="s">
        <v>150</v>
      </c>
      <c r="D97" s="259" t="s">
        <v>122</v>
      </c>
      <c r="E97" s="259">
        <v>8.5890000000000004</v>
      </c>
      <c r="G97" s="259" t="s">
        <v>190</v>
      </c>
      <c r="H97" s="259">
        <v>1</v>
      </c>
      <c r="L97" s="259" t="s">
        <v>116</v>
      </c>
      <c r="P97" s="259" t="s">
        <v>148</v>
      </c>
      <c r="U97" s="258"/>
      <c r="V97" s="261"/>
      <c r="W97" s="262"/>
      <c r="X97" s="263"/>
      <c r="Y97" s="263"/>
      <c r="Z97" s="264"/>
      <c r="AA97" s="263"/>
      <c r="AB97" s="265"/>
      <c r="AC97" s="263"/>
    </row>
    <row r="98" spans="1:29">
      <c r="A98" s="259" t="s">
        <v>143</v>
      </c>
      <c r="B98" s="259" t="s">
        <v>112</v>
      </c>
      <c r="C98" s="259" t="s">
        <v>151</v>
      </c>
      <c r="D98" s="259" t="s">
        <v>122</v>
      </c>
      <c r="E98" s="259">
        <v>8.5890000000000004</v>
      </c>
      <c r="G98" s="259" t="s">
        <v>190</v>
      </c>
      <c r="H98" s="259">
        <v>1</v>
      </c>
      <c r="L98" s="259" t="s">
        <v>116</v>
      </c>
      <c r="P98" s="259" t="s">
        <v>148</v>
      </c>
      <c r="U98" s="258"/>
      <c r="V98" s="261"/>
      <c r="W98" s="262"/>
      <c r="X98" s="263"/>
      <c r="Y98" s="263"/>
      <c r="Z98" s="264"/>
      <c r="AA98" s="263"/>
      <c r="AB98" s="265"/>
      <c r="AC98" s="263"/>
    </row>
    <row r="99" spans="1:29">
      <c r="A99" s="259" t="s">
        <v>143</v>
      </c>
      <c r="B99" s="259" t="s">
        <v>112</v>
      </c>
      <c r="C99" s="259" t="s">
        <v>152</v>
      </c>
      <c r="D99" s="259" t="s">
        <v>122</v>
      </c>
      <c r="E99" s="259">
        <v>8.5890000000000004</v>
      </c>
      <c r="G99" s="259" t="s">
        <v>190</v>
      </c>
      <c r="H99" s="259">
        <v>1</v>
      </c>
      <c r="L99" s="259" t="s">
        <v>116</v>
      </c>
      <c r="P99" s="259" t="s">
        <v>148</v>
      </c>
      <c r="U99" s="258"/>
      <c r="V99" s="261"/>
      <c r="W99" s="262"/>
      <c r="X99" s="263"/>
      <c r="Y99" s="263"/>
      <c r="Z99" s="264"/>
      <c r="AA99" s="263"/>
      <c r="AB99" s="265"/>
      <c r="AC99" s="263"/>
    </row>
    <row r="100" spans="1:29">
      <c r="A100" s="259" t="s">
        <v>143</v>
      </c>
      <c r="B100" s="259" t="s">
        <v>112</v>
      </c>
      <c r="C100" s="259" t="s">
        <v>206</v>
      </c>
      <c r="D100" s="259" t="s">
        <v>122</v>
      </c>
      <c r="E100" s="259">
        <v>8.5890000000000004</v>
      </c>
      <c r="G100" s="259" t="s">
        <v>190</v>
      </c>
      <c r="H100" s="259">
        <v>1</v>
      </c>
      <c r="L100" s="259" t="s">
        <v>116</v>
      </c>
      <c r="P100" s="259" t="s">
        <v>148</v>
      </c>
      <c r="U100" s="258"/>
      <c r="V100" s="261"/>
      <c r="W100" s="262"/>
      <c r="X100" s="263"/>
      <c r="Y100" s="263"/>
      <c r="Z100" s="264"/>
      <c r="AA100" s="263"/>
      <c r="AB100" s="265"/>
      <c r="AC100" s="263"/>
    </row>
    <row r="101" spans="1:29">
      <c r="A101" s="259" t="s">
        <v>143</v>
      </c>
      <c r="B101" s="259" t="s">
        <v>112</v>
      </c>
      <c r="C101" s="259" t="s">
        <v>153</v>
      </c>
      <c r="D101" s="259" t="s">
        <v>122</v>
      </c>
      <c r="E101" s="259">
        <v>8.5890000000000004</v>
      </c>
      <c r="G101" s="259" t="s">
        <v>190</v>
      </c>
      <c r="H101" s="259">
        <v>1</v>
      </c>
      <c r="L101" s="259" t="s">
        <v>116</v>
      </c>
      <c r="P101" s="259" t="s">
        <v>148</v>
      </c>
      <c r="U101" s="258"/>
      <c r="V101" s="261"/>
      <c r="W101" s="262"/>
      <c r="X101" s="263"/>
      <c r="Y101" s="263"/>
      <c r="Z101" s="264"/>
      <c r="AA101" s="263"/>
      <c r="AB101" s="265"/>
      <c r="AC101" s="263"/>
    </row>
    <row r="102" spans="1:29">
      <c r="A102" s="259" t="s">
        <v>143</v>
      </c>
      <c r="B102" s="259" t="s">
        <v>112</v>
      </c>
      <c r="C102" s="259" t="s">
        <v>154</v>
      </c>
      <c r="D102" s="259" t="s">
        <v>122</v>
      </c>
      <c r="E102" s="259">
        <v>8.15</v>
      </c>
      <c r="G102" s="259" t="s">
        <v>190</v>
      </c>
      <c r="H102" s="259">
        <v>1</v>
      </c>
      <c r="L102" s="259" t="s">
        <v>116</v>
      </c>
      <c r="P102" s="259" t="s">
        <v>156</v>
      </c>
      <c r="U102" s="258"/>
      <c r="V102" s="261"/>
      <c r="W102" s="262"/>
      <c r="X102" s="263"/>
      <c r="Y102" s="263"/>
      <c r="Z102" s="264"/>
      <c r="AA102" s="263"/>
      <c r="AB102" s="265"/>
      <c r="AC102" s="263"/>
    </row>
    <row r="103" spans="1:29">
      <c r="A103" s="259" t="s">
        <v>143</v>
      </c>
      <c r="B103" s="259" t="s">
        <v>112</v>
      </c>
      <c r="C103" s="259" t="s">
        <v>157</v>
      </c>
      <c r="D103" s="259" t="s">
        <v>122</v>
      </c>
      <c r="E103" s="259">
        <v>8.15</v>
      </c>
      <c r="G103" s="259" t="s">
        <v>190</v>
      </c>
      <c r="H103" s="259">
        <v>1</v>
      </c>
      <c r="L103" s="259" t="s">
        <v>116</v>
      </c>
      <c r="P103" s="259" t="s">
        <v>156</v>
      </c>
      <c r="U103" s="258"/>
      <c r="V103" s="261"/>
      <c r="W103" s="262"/>
      <c r="X103" s="263"/>
      <c r="Y103" s="263"/>
      <c r="Z103" s="264"/>
      <c r="AA103" s="263"/>
      <c r="AB103" s="265"/>
      <c r="AC103" s="263"/>
    </row>
    <row r="104" spans="1:29">
      <c r="A104" s="259" t="s">
        <v>143</v>
      </c>
      <c r="B104" s="259" t="s">
        <v>112</v>
      </c>
      <c r="C104" s="259" t="s">
        <v>158</v>
      </c>
      <c r="D104" s="259" t="s">
        <v>122</v>
      </c>
      <c r="E104" s="259">
        <v>8.15</v>
      </c>
      <c r="G104" s="259" t="s">
        <v>190</v>
      </c>
      <c r="H104" s="259">
        <v>1</v>
      </c>
      <c r="L104" s="259" t="s">
        <v>116</v>
      </c>
      <c r="P104" s="259" t="s">
        <v>156</v>
      </c>
      <c r="U104" s="258"/>
      <c r="V104" s="261"/>
      <c r="W104" s="262"/>
      <c r="X104" s="263"/>
      <c r="Y104" s="263"/>
      <c r="Z104" s="264"/>
      <c r="AA104" s="263"/>
      <c r="AB104" s="265"/>
      <c r="AC104" s="263"/>
    </row>
    <row r="105" spans="1:29">
      <c r="A105" s="259" t="s">
        <v>143</v>
      </c>
      <c r="B105" s="259" t="s">
        <v>112</v>
      </c>
      <c r="C105" s="259" t="s">
        <v>159</v>
      </c>
      <c r="D105" s="259" t="s">
        <v>122</v>
      </c>
      <c r="E105" s="259">
        <v>8.15</v>
      </c>
      <c r="G105" s="259" t="s">
        <v>190</v>
      </c>
      <c r="H105" s="259">
        <v>1</v>
      </c>
      <c r="L105" s="259" t="s">
        <v>116</v>
      </c>
      <c r="P105" s="259" t="s">
        <v>156</v>
      </c>
      <c r="U105" s="258"/>
      <c r="V105" s="261"/>
      <c r="W105" s="262"/>
      <c r="X105" s="263"/>
      <c r="Y105" s="263"/>
      <c r="Z105" s="264"/>
      <c r="AA105" s="263"/>
      <c r="AB105" s="265"/>
      <c r="AC105" s="263"/>
    </row>
    <row r="106" spans="1:29">
      <c r="A106" s="259" t="s">
        <v>143</v>
      </c>
      <c r="B106" s="259" t="s">
        <v>112</v>
      </c>
      <c r="C106" s="259" t="s">
        <v>161</v>
      </c>
      <c r="D106" s="259" t="s">
        <v>122</v>
      </c>
      <c r="E106" s="259">
        <v>8.1189999999999998</v>
      </c>
      <c r="G106" s="259" t="s">
        <v>190</v>
      </c>
      <c r="H106" s="259">
        <v>1</v>
      </c>
      <c r="L106" s="259" t="s">
        <v>116</v>
      </c>
      <c r="P106" s="259" t="s">
        <v>156</v>
      </c>
      <c r="U106" s="258"/>
      <c r="V106" s="261"/>
      <c r="W106" s="262"/>
      <c r="X106" s="263"/>
      <c r="Y106" s="263"/>
      <c r="Z106" s="264"/>
      <c r="AA106" s="263"/>
      <c r="AB106" s="265"/>
      <c r="AC106" s="263"/>
    </row>
    <row r="107" spans="1:29">
      <c r="A107" s="259" t="s">
        <v>143</v>
      </c>
      <c r="B107" s="259" t="s">
        <v>112</v>
      </c>
      <c r="C107" s="259" t="s">
        <v>162</v>
      </c>
      <c r="D107" s="259" t="s">
        <v>122</v>
      </c>
      <c r="E107" s="259">
        <v>8.15</v>
      </c>
      <c r="G107" s="259" t="s">
        <v>190</v>
      </c>
      <c r="H107" s="259">
        <v>1</v>
      </c>
      <c r="L107" s="259" t="s">
        <v>116</v>
      </c>
      <c r="P107" s="259" t="s">
        <v>156</v>
      </c>
      <c r="U107" s="258"/>
      <c r="V107" s="261"/>
      <c r="W107" s="262"/>
      <c r="X107" s="263"/>
      <c r="Y107" s="263"/>
      <c r="Z107" s="264"/>
      <c r="AA107" s="263"/>
      <c r="AB107" s="265"/>
      <c r="AC107" s="263"/>
    </row>
    <row r="108" spans="1:29">
      <c r="A108" s="259" t="s">
        <v>163</v>
      </c>
      <c r="B108" s="259" t="s">
        <v>112</v>
      </c>
      <c r="C108" s="259" t="s">
        <v>167</v>
      </c>
      <c r="D108" s="259" t="s">
        <v>122</v>
      </c>
      <c r="E108" s="259">
        <v>6.4779999999999998</v>
      </c>
      <c r="G108" s="259" t="s">
        <v>190</v>
      </c>
      <c r="H108" s="259">
        <v>1</v>
      </c>
      <c r="L108" s="259" t="s">
        <v>116</v>
      </c>
      <c r="P108" s="259" t="s">
        <v>166</v>
      </c>
      <c r="U108" s="258"/>
      <c r="V108" s="261"/>
      <c r="W108" s="262"/>
      <c r="X108" s="263"/>
      <c r="Y108" s="263"/>
      <c r="Z108" s="264"/>
      <c r="AA108" s="263"/>
      <c r="AB108" s="265"/>
      <c r="AC108" s="263"/>
    </row>
    <row r="109" spans="1:29">
      <c r="A109" s="259" t="s">
        <v>163</v>
      </c>
      <c r="B109" s="259" t="s">
        <v>112</v>
      </c>
      <c r="C109" s="259" t="s">
        <v>168</v>
      </c>
      <c r="D109" s="259" t="s">
        <v>122</v>
      </c>
      <c r="E109" s="259">
        <v>6.4779999999999998</v>
      </c>
      <c r="G109" s="259" t="s">
        <v>190</v>
      </c>
      <c r="H109" s="259">
        <v>1</v>
      </c>
      <c r="L109" s="259" t="s">
        <v>116</v>
      </c>
      <c r="P109" s="259" t="s">
        <v>166</v>
      </c>
      <c r="U109" s="258"/>
      <c r="V109" s="261"/>
      <c r="W109" s="262"/>
      <c r="X109" s="263"/>
      <c r="Y109" s="263"/>
      <c r="Z109" s="264"/>
      <c r="AA109" s="263"/>
      <c r="AB109" s="265"/>
      <c r="AC109" s="263"/>
    </row>
    <row r="110" spans="1:29">
      <c r="A110" s="259" t="s">
        <v>163</v>
      </c>
      <c r="B110" s="259" t="s">
        <v>112</v>
      </c>
      <c r="C110" s="259" t="s">
        <v>169</v>
      </c>
      <c r="D110" s="259" t="s">
        <v>122</v>
      </c>
      <c r="E110" s="259">
        <v>6.4779999999999998</v>
      </c>
      <c r="G110" s="259" t="s">
        <v>190</v>
      </c>
      <c r="H110" s="259">
        <v>1</v>
      </c>
      <c r="L110" s="259" t="s">
        <v>116</v>
      </c>
      <c r="P110" s="259" t="s">
        <v>166</v>
      </c>
      <c r="U110" s="258"/>
      <c r="V110" s="261"/>
      <c r="W110" s="262"/>
      <c r="X110" s="263"/>
      <c r="Y110" s="263"/>
      <c r="Z110" s="264"/>
      <c r="AA110" s="263"/>
      <c r="AB110" s="265"/>
      <c r="AC110" s="263"/>
    </row>
    <row r="111" spans="1:29">
      <c r="A111" s="259" t="s">
        <v>163</v>
      </c>
      <c r="B111" s="259" t="s">
        <v>112</v>
      </c>
      <c r="C111" s="259" t="s">
        <v>170</v>
      </c>
      <c r="D111" s="259" t="s">
        <v>122</v>
      </c>
      <c r="E111" s="259">
        <v>5.3860000000000001</v>
      </c>
      <c r="G111" s="259" t="s">
        <v>190</v>
      </c>
      <c r="H111" s="259">
        <v>1</v>
      </c>
      <c r="L111" s="259" t="s">
        <v>116</v>
      </c>
      <c r="P111" s="259" t="s">
        <v>166</v>
      </c>
      <c r="U111" s="258"/>
      <c r="V111" s="261"/>
      <c r="W111" s="262"/>
      <c r="X111" s="263"/>
      <c r="Y111" s="263"/>
      <c r="Z111" s="264"/>
      <c r="AA111" s="263"/>
      <c r="AB111" s="265"/>
      <c r="AC111" s="263"/>
    </row>
    <row r="112" spans="1:29">
      <c r="A112" s="259" t="s">
        <v>163</v>
      </c>
      <c r="B112" s="259" t="s">
        <v>112</v>
      </c>
      <c r="C112" s="259" t="s">
        <v>171</v>
      </c>
      <c r="D112" s="259" t="s">
        <v>122</v>
      </c>
      <c r="E112" s="259">
        <v>6.4779999999999998</v>
      </c>
      <c r="G112" s="259" t="s">
        <v>190</v>
      </c>
      <c r="H112" s="259">
        <v>1</v>
      </c>
      <c r="L112" s="259" t="s">
        <v>116</v>
      </c>
      <c r="P112" s="259" t="s">
        <v>166</v>
      </c>
      <c r="U112" s="258"/>
      <c r="V112" s="261"/>
      <c r="W112" s="262"/>
      <c r="X112" s="263"/>
      <c r="Y112" s="263"/>
      <c r="Z112" s="264"/>
      <c r="AA112" s="263"/>
      <c r="AB112" s="265"/>
      <c r="AC112" s="263"/>
    </row>
    <row r="113" spans="1:29">
      <c r="A113" s="259" t="s">
        <v>163</v>
      </c>
      <c r="B113" s="259" t="s">
        <v>112</v>
      </c>
      <c r="C113" s="259" t="s">
        <v>172</v>
      </c>
      <c r="D113" s="259" t="s">
        <v>122</v>
      </c>
      <c r="E113" s="259">
        <v>6.4779999999999998</v>
      </c>
      <c r="G113" s="259" t="s">
        <v>190</v>
      </c>
      <c r="H113" s="259">
        <v>1</v>
      </c>
      <c r="L113" s="259" t="s">
        <v>116</v>
      </c>
      <c r="P113" s="259" t="s">
        <v>166</v>
      </c>
      <c r="U113" s="258"/>
      <c r="V113" s="261"/>
      <c r="W113" s="262"/>
      <c r="X113" s="263"/>
      <c r="Y113" s="263"/>
      <c r="Z113" s="264"/>
      <c r="AA113" s="263"/>
      <c r="AB113" s="265"/>
      <c r="AC113" s="263"/>
    </row>
    <row r="114" spans="1:29">
      <c r="A114" s="259" t="s">
        <v>163</v>
      </c>
      <c r="B114" s="259" t="s">
        <v>112</v>
      </c>
      <c r="C114" s="259" t="s">
        <v>164</v>
      </c>
      <c r="D114" s="259" t="s">
        <v>122</v>
      </c>
      <c r="E114" s="259">
        <v>5.3860000000000001</v>
      </c>
      <c r="G114" s="259" t="s">
        <v>190</v>
      </c>
      <c r="H114" s="259">
        <v>1</v>
      </c>
      <c r="L114" s="259" t="s">
        <v>116</v>
      </c>
      <c r="P114" s="259" t="s">
        <v>166</v>
      </c>
      <c r="U114" s="258"/>
      <c r="V114" s="261"/>
      <c r="W114" s="262"/>
      <c r="X114" s="263"/>
      <c r="Y114" s="263"/>
      <c r="Z114" s="264"/>
      <c r="AA114" s="263"/>
      <c r="AB114" s="265"/>
      <c r="AC114" s="263"/>
    </row>
    <row r="115" spans="1:29">
      <c r="A115" s="259" t="s">
        <v>163</v>
      </c>
      <c r="B115" s="259" t="s">
        <v>112</v>
      </c>
      <c r="C115" s="259" t="s">
        <v>173</v>
      </c>
      <c r="D115" s="259" t="s">
        <v>122</v>
      </c>
      <c r="E115" s="259">
        <v>6.4779999999999998</v>
      </c>
      <c r="G115" s="259" t="s">
        <v>190</v>
      </c>
      <c r="H115" s="259">
        <v>1</v>
      </c>
      <c r="L115" s="259" t="s">
        <v>116</v>
      </c>
      <c r="P115" s="259" t="s">
        <v>166</v>
      </c>
      <c r="U115" s="258"/>
      <c r="V115" s="261"/>
      <c r="W115" s="262"/>
      <c r="X115" s="263"/>
      <c r="Y115" s="263"/>
      <c r="Z115" s="264"/>
      <c r="AA115" s="263"/>
      <c r="AB115" s="265"/>
      <c r="AC115" s="263"/>
    </row>
    <row r="116" spans="1:29">
      <c r="A116" s="259" t="s">
        <v>163</v>
      </c>
      <c r="B116" s="259" t="s">
        <v>112</v>
      </c>
      <c r="C116" s="259" t="s">
        <v>174</v>
      </c>
      <c r="D116" s="259" t="s">
        <v>122</v>
      </c>
      <c r="E116" s="259">
        <v>6.4779999999999998</v>
      </c>
      <c r="G116" s="259" t="s">
        <v>190</v>
      </c>
      <c r="H116" s="259">
        <v>1</v>
      </c>
      <c r="L116" s="259" t="s">
        <v>116</v>
      </c>
      <c r="P116" s="259" t="s">
        <v>166</v>
      </c>
      <c r="U116" s="258"/>
      <c r="V116" s="261"/>
      <c r="W116" s="262"/>
      <c r="X116" s="263"/>
      <c r="Y116" s="263"/>
      <c r="Z116" s="264"/>
      <c r="AA116" s="263"/>
      <c r="AB116" s="265"/>
      <c r="AC116" s="263"/>
    </row>
    <row r="117" spans="1:29">
      <c r="A117" s="259" t="s">
        <v>163</v>
      </c>
      <c r="B117" s="259" t="s">
        <v>112</v>
      </c>
      <c r="C117" s="259" t="s">
        <v>175</v>
      </c>
      <c r="D117" s="259" t="s">
        <v>122</v>
      </c>
      <c r="E117" s="259">
        <v>6.4779999999999998</v>
      </c>
      <c r="G117" s="259" t="s">
        <v>190</v>
      </c>
      <c r="H117" s="259">
        <v>1</v>
      </c>
      <c r="L117" s="259" t="s">
        <v>116</v>
      </c>
      <c r="P117" s="259" t="s">
        <v>166</v>
      </c>
      <c r="U117" s="258"/>
      <c r="V117" s="261"/>
      <c r="W117" s="262"/>
      <c r="X117" s="263"/>
      <c r="Y117" s="263"/>
      <c r="Z117" s="264"/>
      <c r="AA117" s="263"/>
      <c r="AB117" s="265"/>
      <c r="AC117" s="263"/>
    </row>
    <row r="118" spans="1:29">
      <c r="A118" s="259" t="s">
        <v>163</v>
      </c>
      <c r="B118" s="259" t="s">
        <v>112</v>
      </c>
      <c r="C118" s="259" t="s">
        <v>176</v>
      </c>
      <c r="D118" s="259" t="s">
        <v>122</v>
      </c>
      <c r="E118" s="259">
        <v>6.4779999999999998</v>
      </c>
      <c r="G118" s="259" t="s">
        <v>190</v>
      </c>
      <c r="H118" s="259">
        <v>1</v>
      </c>
      <c r="L118" s="259" t="s">
        <v>116</v>
      </c>
      <c r="P118" s="259" t="s">
        <v>166</v>
      </c>
      <c r="U118" s="258"/>
      <c r="V118" s="261"/>
      <c r="W118" s="262"/>
      <c r="X118" s="263"/>
      <c r="Y118" s="263"/>
      <c r="Z118" s="264"/>
      <c r="AA118" s="263"/>
      <c r="AB118" s="265"/>
      <c r="AC118" s="263"/>
    </row>
    <row r="119" spans="1:29">
      <c r="A119" s="259" t="s">
        <v>163</v>
      </c>
      <c r="B119" s="259" t="s">
        <v>112</v>
      </c>
      <c r="C119" s="259" t="s">
        <v>177</v>
      </c>
      <c r="D119" s="259" t="s">
        <v>122</v>
      </c>
      <c r="E119" s="259">
        <v>6.4779999999999998</v>
      </c>
      <c r="G119" s="259" t="s">
        <v>190</v>
      </c>
      <c r="H119" s="259">
        <v>1</v>
      </c>
      <c r="L119" s="259" t="s">
        <v>116</v>
      </c>
      <c r="P119" s="259" t="s">
        <v>166</v>
      </c>
      <c r="U119" s="258"/>
      <c r="V119" s="261"/>
      <c r="W119" s="262"/>
      <c r="X119" s="263"/>
      <c r="Y119" s="263"/>
      <c r="Z119" s="264"/>
      <c r="AA119" s="263"/>
      <c r="AB119" s="265"/>
      <c r="AC119" s="263"/>
    </row>
    <row r="120" spans="1:29">
      <c r="A120" s="259" t="s">
        <v>163</v>
      </c>
      <c r="B120" s="259" t="s">
        <v>112</v>
      </c>
      <c r="C120" s="259" t="s">
        <v>178</v>
      </c>
      <c r="D120" s="259" t="s">
        <v>122</v>
      </c>
      <c r="E120" s="259">
        <v>5.3869999999999996</v>
      </c>
      <c r="G120" s="259" t="s">
        <v>190</v>
      </c>
      <c r="H120" s="259">
        <v>1</v>
      </c>
      <c r="L120" s="259" t="s">
        <v>116</v>
      </c>
      <c r="P120" s="259" t="s">
        <v>179</v>
      </c>
      <c r="U120" s="258"/>
      <c r="V120" s="261"/>
      <c r="W120" s="262"/>
      <c r="X120" s="263"/>
      <c r="Y120" s="263"/>
      <c r="Z120" s="264"/>
      <c r="AA120" s="263"/>
      <c r="AB120" s="265"/>
      <c r="AC120" s="263"/>
    </row>
    <row r="121" spans="1:29">
      <c r="A121" s="259" t="s">
        <v>163</v>
      </c>
      <c r="B121" s="259" t="s">
        <v>112</v>
      </c>
      <c r="C121" s="259" t="s">
        <v>180</v>
      </c>
      <c r="D121" s="259" t="s">
        <v>122</v>
      </c>
      <c r="E121" s="259">
        <v>5.5430000000000001</v>
      </c>
      <c r="G121" s="259" t="s">
        <v>190</v>
      </c>
      <c r="H121" s="259">
        <v>1</v>
      </c>
      <c r="L121" s="259" t="s">
        <v>116</v>
      </c>
      <c r="P121" s="259" t="s">
        <v>179</v>
      </c>
      <c r="U121" s="258"/>
      <c r="V121" s="261"/>
      <c r="W121" s="262"/>
      <c r="X121" s="263"/>
      <c r="Y121" s="263"/>
      <c r="Z121" s="264"/>
      <c r="AA121" s="263"/>
      <c r="AB121" s="265"/>
      <c r="AC121" s="263"/>
    </row>
    <row r="122" spans="1:29" customFormat="1" ht="12.75">
      <c r="A122" t="s">
        <v>143</v>
      </c>
      <c r="B122" t="s">
        <v>112</v>
      </c>
      <c r="C122" t="s">
        <v>291</v>
      </c>
      <c r="D122" t="s">
        <v>122</v>
      </c>
      <c r="E122" s="177">
        <v>8.2750000000000004</v>
      </c>
      <c r="G122" t="s">
        <v>190</v>
      </c>
      <c r="H122">
        <v>1</v>
      </c>
      <c r="I122" s="329"/>
      <c r="J122" s="329"/>
      <c r="L122" t="s">
        <v>116</v>
      </c>
      <c r="P122" t="s">
        <v>292</v>
      </c>
      <c r="Q122" t="b">
        <v>0</v>
      </c>
    </row>
    <row r="123" spans="1:29">
      <c r="U123" s="258"/>
      <c r="V123" s="261"/>
      <c r="W123" s="262"/>
      <c r="X123" s="263"/>
      <c r="Y123" s="263"/>
      <c r="Z123" s="264"/>
      <c r="AA123" s="263"/>
      <c r="AB123" s="265"/>
      <c r="AC123" s="263"/>
    </row>
    <row r="124" spans="1:29">
      <c r="U124" s="258"/>
      <c r="V124" s="261"/>
      <c r="W124" s="262"/>
      <c r="X124" s="263"/>
      <c r="Y124" s="263"/>
      <c r="Z124" s="264"/>
      <c r="AA124" s="263"/>
      <c r="AB124" s="265"/>
      <c r="AC124" s="263"/>
    </row>
    <row r="125" spans="1:29" s="257" customFormat="1">
      <c r="A125" s="257" t="s">
        <v>95</v>
      </c>
      <c r="B125" s="257" t="s">
        <v>96</v>
      </c>
      <c r="C125" s="257" t="s">
        <v>97</v>
      </c>
      <c r="D125" s="257" t="s">
        <v>98</v>
      </c>
      <c r="E125" s="257" t="s">
        <v>99</v>
      </c>
      <c r="F125" s="257" t="s">
        <v>100</v>
      </c>
      <c r="G125" s="257" t="s">
        <v>101</v>
      </c>
      <c r="H125" s="257" t="s">
        <v>102</v>
      </c>
      <c r="I125" s="257" t="s">
        <v>103</v>
      </c>
      <c r="J125" s="257" t="s">
        <v>104</v>
      </c>
      <c r="K125" s="257" t="s">
        <v>105</v>
      </c>
      <c r="L125" s="257" t="s">
        <v>106</v>
      </c>
      <c r="M125" s="257" t="s">
        <v>107</v>
      </c>
      <c r="N125" s="257" t="s">
        <v>108</v>
      </c>
      <c r="O125" s="257" t="s">
        <v>109</v>
      </c>
      <c r="P125" s="257" t="s">
        <v>110</v>
      </c>
      <c r="S125" s="257" t="s">
        <v>0</v>
      </c>
      <c r="U125" s="258"/>
      <c r="V125" s="261"/>
      <c r="W125" s="262"/>
      <c r="X125" s="263"/>
      <c r="Y125" s="263"/>
      <c r="Z125" s="264"/>
      <c r="AA125" s="263"/>
      <c r="AB125" s="265"/>
      <c r="AC125" s="263"/>
    </row>
    <row r="126" spans="1:29">
      <c r="A126" s="259" t="s">
        <v>111</v>
      </c>
      <c r="B126" s="259" t="s">
        <v>112</v>
      </c>
      <c r="C126" s="259" t="s">
        <v>147</v>
      </c>
      <c r="D126" s="259" t="s">
        <v>114</v>
      </c>
      <c r="E126" s="398">
        <v>1.065089773</v>
      </c>
      <c r="G126" s="259" t="s">
        <v>115</v>
      </c>
      <c r="H126" s="259">
        <v>1</v>
      </c>
      <c r="I126" s="260">
        <v>45658</v>
      </c>
      <c r="J126" s="260"/>
      <c r="L126" s="259" t="s">
        <v>116</v>
      </c>
      <c r="O126" s="259" t="s">
        <v>191</v>
      </c>
      <c r="P126" s="259" t="s">
        <v>192</v>
      </c>
      <c r="S126" s="259">
        <f>YEAR(I126)</f>
        <v>2025</v>
      </c>
      <c r="U126" s="258"/>
      <c r="V126" s="261"/>
      <c r="W126" s="262"/>
      <c r="X126" s="263"/>
      <c r="Y126" s="263"/>
      <c r="Z126" s="264"/>
      <c r="AA126" s="263"/>
      <c r="AB126" s="265"/>
      <c r="AC126" s="263"/>
    </row>
    <row r="127" spans="1:29">
      <c r="A127" s="259" t="s">
        <v>111</v>
      </c>
      <c r="B127" s="259" t="s">
        <v>112</v>
      </c>
      <c r="C127" s="259" t="s">
        <v>147</v>
      </c>
      <c r="D127" s="259" t="s">
        <v>114</v>
      </c>
      <c r="E127" s="398">
        <v>1.0448009469999999</v>
      </c>
      <c r="G127" s="259" t="s">
        <v>115</v>
      </c>
      <c r="H127" s="259">
        <v>1</v>
      </c>
      <c r="I127" s="260">
        <v>46023</v>
      </c>
      <c r="J127" s="260"/>
      <c r="L127" s="259" t="s">
        <v>116</v>
      </c>
      <c r="O127" s="259" t="s">
        <v>191</v>
      </c>
      <c r="P127" s="259" t="s">
        <v>192</v>
      </c>
      <c r="S127" s="259">
        <f t="shared" ref="S127:S146" si="2">YEAR(I127)</f>
        <v>2026</v>
      </c>
      <c r="U127" s="258"/>
      <c r="V127" s="261"/>
      <c r="W127" s="262"/>
      <c r="X127" s="263"/>
      <c r="Y127" s="263"/>
      <c r="Z127" s="264"/>
      <c r="AA127" s="263"/>
      <c r="AB127" s="265"/>
      <c r="AC127" s="263"/>
    </row>
    <row r="128" spans="1:29">
      <c r="A128" s="259" t="s">
        <v>111</v>
      </c>
      <c r="B128" s="259" t="s">
        <v>112</v>
      </c>
      <c r="C128" s="259" t="s">
        <v>147</v>
      </c>
      <c r="D128" s="259" t="s">
        <v>114</v>
      </c>
      <c r="E128" s="398">
        <v>1.0231213539999999</v>
      </c>
      <c r="G128" s="259" t="s">
        <v>115</v>
      </c>
      <c r="H128" s="259">
        <v>1</v>
      </c>
      <c r="I128" s="260">
        <v>46388</v>
      </c>
      <c r="J128" s="260"/>
      <c r="L128" s="259" t="s">
        <v>116</v>
      </c>
      <c r="O128" s="259" t="s">
        <v>191</v>
      </c>
      <c r="P128" s="259" t="s">
        <v>192</v>
      </c>
      <c r="S128" s="259">
        <f t="shared" si="2"/>
        <v>2027</v>
      </c>
      <c r="U128" s="258"/>
      <c r="V128" s="261"/>
      <c r="W128" s="262"/>
      <c r="X128" s="263"/>
      <c r="Y128" s="263"/>
      <c r="Z128" s="264"/>
      <c r="AA128" s="263"/>
      <c r="AB128" s="265"/>
      <c r="AC128" s="263"/>
    </row>
    <row r="129" spans="1:29">
      <c r="A129" s="259" t="s">
        <v>111</v>
      </c>
      <c r="B129" s="259" t="s">
        <v>112</v>
      </c>
      <c r="C129" s="259" t="s">
        <v>147</v>
      </c>
      <c r="D129" s="259" t="s">
        <v>114</v>
      </c>
      <c r="E129" s="398">
        <v>1</v>
      </c>
      <c r="G129" s="259" t="s">
        <v>115</v>
      </c>
      <c r="H129" s="259">
        <v>1</v>
      </c>
      <c r="I129" s="260">
        <v>46753</v>
      </c>
      <c r="J129" s="260"/>
      <c r="L129" s="259" t="s">
        <v>116</v>
      </c>
      <c r="O129" s="259" t="s">
        <v>191</v>
      </c>
      <c r="P129" s="259" t="s">
        <v>192</v>
      </c>
      <c r="S129" s="259">
        <f t="shared" si="2"/>
        <v>2028</v>
      </c>
      <c r="U129" s="258"/>
      <c r="V129" s="261"/>
      <c r="W129" s="264"/>
      <c r="X129" s="263"/>
      <c r="Y129" s="263"/>
      <c r="Z129" s="264"/>
      <c r="AA129" s="263"/>
      <c r="AB129" s="265"/>
      <c r="AC129" s="263"/>
    </row>
    <row r="130" spans="1:29">
      <c r="A130" s="259" t="s">
        <v>111</v>
      </c>
      <c r="B130" s="259" t="s">
        <v>112</v>
      </c>
      <c r="C130" s="259" t="s">
        <v>147</v>
      </c>
      <c r="D130" s="259" t="s">
        <v>114</v>
      </c>
      <c r="E130" s="398">
        <v>0.975384327</v>
      </c>
      <c r="G130" s="259" t="s">
        <v>115</v>
      </c>
      <c r="H130" s="259">
        <v>1</v>
      </c>
      <c r="I130" s="260">
        <v>47119</v>
      </c>
      <c r="J130" s="260"/>
      <c r="L130" s="259" t="s">
        <v>116</v>
      </c>
      <c r="O130" s="259" t="s">
        <v>191</v>
      </c>
      <c r="P130" s="259" t="s">
        <v>192</v>
      </c>
      <c r="S130" s="259">
        <f t="shared" si="2"/>
        <v>2029</v>
      </c>
      <c r="U130" s="258"/>
      <c r="V130" s="261"/>
      <c r="W130" s="264"/>
      <c r="X130" s="263"/>
      <c r="Y130" s="263"/>
      <c r="Z130" s="264"/>
      <c r="AA130" s="263"/>
      <c r="AB130" s="265"/>
      <c r="AC130" s="263"/>
    </row>
    <row r="131" spans="1:29">
      <c r="A131" s="259" t="s">
        <v>111</v>
      </c>
      <c r="B131" s="259" t="s">
        <v>112</v>
      </c>
      <c r="C131" s="259" t="s">
        <v>147</v>
      </c>
      <c r="D131" s="259" t="s">
        <v>114</v>
      </c>
      <c r="E131" s="398">
        <v>0.94922017000000003</v>
      </c>
      <c r="G131" s="259" t="s">
        <v>115</v>
      </c>
      <c r="H131" s="259">
        <v>1</v>
      </c>
      <c r="I131" s="260">
        <v>47484</v>
      </c>
      <c r="J131" s="260"/>
      <c r="L131" s="259" t="s">
        <v>116</v>
      </c>
      <c r="O131" s="259" t="s">
        <v>191</v>
      </c>
      <c r="P131" s="259" t="s">
        <v>192</v>
      </c>
      <c r="S131" s="259">
        <f t="shared" si="2"/>
        <v>2030</v>
      </c>
      <c r="U131" s="258"/>
      <c r="V131" s="261"/>
      <c r="W131" s="264"/>
      <c r="X131" s="263"/>
      <c r="Y131" s="263"/>
      <c r="Z131" s="264"/>
      <c r="AA131" s="263"/>
      <c r="AB131" s="265"/>
      <c r="AC131" s="263"/>
    </row>
    <row r="132" spans="1:29">
      <c r="A132" s="259" t="s">
        <v>111</v>
      </c>
      <c r="B132" s="259" t="s">
        <v>112</v>
      </c>
      <c r="C132" s="259" t="s">
        <v>147</v>
      </c>
      <c r="D132" s="259" t="s">
        <v>114</v>
      </c>
      <c r="E132" s="398">
        <v>0.92145171400000003</v>
      </c>
      <c r="G132" s="259" t="s">
        <v>115</v>
      </c>
      <c r="H132" s="259">
        <v>1</v>
      </c>
      <c r="I132" s="260">
        <v>47849</v>
      </c>
      <c r="J132" s="260"/>
      <c r="L132" s="259" t="s">
        <v>116</v>
      </c>
      <c r="O132" s="259" t="s">
        <v>191</v>
      </c>
      <c r="P132" s="259" t="s">
        <v>192</v>
      </c>
      <c r="S132" s="259">
        <f t="shared" si="2"/>
        <v>2031</v>
      </c>
      <c r="U132" s="258"/>
      <c r="V132" s="261"/>
      <c r="W132" s="264"/>
      <c r="X132" s="263"/>
      <c r="Y132" s="263"/>
      <c r="Z132" s="264"/>
      <c r="AA132" s="263"/>
      <c r="AB132" s="263"/>
      <c r="AC132" s="263"/>
    </row>
    <row r="133" spans="1:29">
      <c r="A133" s="259" t="s">
        <v>111</v>
      </c>
      <c r="B133" s="259" t="s">
        <v>112</v>
      </c>
      <c r="C133" s="259" t="s">
        <v>147</v>
      </c>
      <c r="D133" s="259" t="s">
        <v>114</v>
      </c>
      <c r="E133" s="398">
        <v>0.89202144699999997</v>
      </c>
      <c r="G133" s="259" t="s">
        <v>115</v>
      </c>
      <c r="H133" s="259">
        <v>1</v>
      </c>
      <c r="I133" s="260">
        <v>48214</v>
      </c>
      <c r="J133" s="260"/>
      <c r="L133" s="259" t="s">
        <v>116</v>
      </c>
      <c r="O133" s="259" t="s">
        <v>191</v>
      </c>
      <c r="P133" s="259" t="s">
        <v>192</v>
      </c>
      <c r="S133" s="259">
        <f t="shared" si="2"/>
        <v>2032</v>
      </c>
      <c r="U133" s="258"/>
      <c r="V133" s="261"/>
      <c r="W133" s="264"/>
      <c r="X133" s="263"/>
      <c r="Y133" s="263"/>
      <c r="Z133" s="264"/>
      <c r="AA133" s="263"/>
      <c r="AB133" s="263"/>
      <c r="AC133" s="263"/>
    </row>
    <row r="134" spans="1:29">
      <c r="A134" s="259" t="s">
        <v>111</v>
      </c>
      <c r="B134" s="259" t="s">
        <v>112</v>
      </c>
      <c r="C134" s="259" t="s">
        <v>147</v>
      </c>
      <c r="D134" s="259" t="s">
        <v>114</v>
      </c>
      <c r="E134" s="398">
        <v>0.86087010900000005</v>
      </c>
      <c r="G134" s="259" t="s">
        <v>115</v>
      </c>
      <c r="H134" s="259">
        <v>1</v>
      </c>
      <c r="I134" s="260">
        <v>48580</v>
      </c>
      <c r="J134" s="260"/>
      <c r="L134" s="259" t="s">
        <v>116</v>
      </c>
      <c r="O134" s="259" t="s">
        <v>191</v>
      </c>
      <c r="P134" s="259" t="s">
        <v>192</v>
      </c>
      <c r="S134" s="259">
        <f t="shared" si="2"/>
        <v>2033</v>
      </c>
      <c r="U134" s="258"/>
      <c r="V134" s="261"/>
      <c r="W134" s="264"/>
      <c r="X134" s="263"/>
      <c r="Y134" s="263"/>
      <c r="Z134" s="264"/>
      <c r="AA134" s="263"/>
      <c r="AB134" s="263"/>
      <c r="AC134" s="263"/>
    </row>
    <row r="135" spans="1:29">
      <c r="A135" s="259" t="s">
        <v>111</v>
      </c>
      <c r="B135" s="259" t="s">
        <v>112</v>
      </c>
      <c r="C135" s="259" t="s">
        <v>147</v>
      </c>
      <c r="D135" s="259" t="s">
        <v>114</v>
      </c>
      <c r="E135" s="398">
        <v>0.827936648</v>
      </c>
      <c r="G135" s="259" t="s">
        <v>115</v>
      </c>
      <c r="H135" s="259">
        <v>1</v>
      </c>
      <c r="I135" s="260">
        <v>48945</v>
      </c>
      <c r="J135" s="260"/>
      <c r="L135" s="259" t="s">
        <v>116</v>
      </c>
      <c r="O135" s="259" t="s">
        <v>191</v>
      </c>
      <c r="P135" s="259" t="s">
        <v>192</v>
      </c>
      <c r="S135" s="259">
        <f t="shared" si="2"/>
        <v>2034</v>
      </c>
      <c r="U135" s="258"/>
      <c r="V135" s="261"/>
      <c r="W135" s="264"/>
      <c r="X135" s="263"/>
      <c r="Y135" s="263"/>
      <c r="Z135" s="264"/>
      <c r="AA135" s="263"/>
      <c r="AB135" s="263"/>
      <c r="AC135" s="263"/>
    </row>
    <row r="136" spans="1:29">
      <c r="A136" s="259" t="s">
        <v>111</v>
      </c>
      <c r="B136" s="259" t="s">
        <v>112</v>
      </c>
      <c r="C136" s="259" t="s">
        <v>147</v>
      </c>
      <c r="D136" s="259" t="s">
        <v>114</v>
      </c>
      <c r="E136" s="398">
        <v>0.79315816900000002</v>
      </c>
      <c r="G136" s="259" t="s">
        <v>115</v>
      </c>
      <c r="H136" s="259">
        <v>1</v>
      </c>
      <c r="I136" s="260">
        <v>49310</v>
      </c>
      <c r="J136" s="260"/>
      <c r="L136" s="259" t="s">
        <v>116</v>
      </c>
      <c r="O136" s="259" t="s">
        <v>191</v>
      </c>
      <c r="P136" s="259" t="s">
        <v>192</v>
      </c>
      <c r="S136" s="259">
        <f t="shared" si="2"/>
        <v>2035</v>
      </c>
      <c r="U136" s="258"/>
      <c r="V136" s="261"/>
      <c r="W136" s="264"/>
      <c r="X136" s="263"/>
      <c r="Y136" s="263"/>
      <c r="Z136" s="264"/>
      <c r="AA136" s="263"/>
      <c r="AB136" s="263"/>
      <c r="AC136" s="263"/>
    </row>
    <row r="137" spans="1:29">
      <c r="A137" s="259" t="s">
        <v>111</v>
      </c>
      <c r="B137" s="259" t="s">
        <v>112</v>
      </c>
      <c r="C137" s="259" t="s">
        <v>147</v>
      </c>
      <c r="D137" s="259" t="s">
        <v>114</v>
      </c>
      <c r="E137" s="398">
        <v>0.79762982100000002</v>
      </c>
      <c r="G137" s="259" t="s">
        <v>115</v>
      </c>
      <c r="H137" s="259">
        <v>1</v>
      </c>
      <c r="I137" s="260">
        <v>49675</v>
      </c>
      <c r="J137" s="260"/>
      <c r="L137" s="259" t="s">
        <v>116</v>
      </c>
      <c r="O137" s="259" t="s">
        <v>191</v>
      </c>
      <c r="P137" s="259" t="s">
        <v>192</v>
      </c>
      <c r="S137" s="259">
        <f t="shared" si="2"/>
        <v>2036</v>
      </c>
      <c r="Z137" s="258"/>
      <c r="AA137" s="258"/>
      <c r="AB137" s="258"/>
      <c r="AC137" s="258"/>
    </row>
    <row r="138" spans="1:29">
      <c r="A138" s="259" t="s">
        <v>111</v>
      </c>
      <c r="B138" s="259" t="s">
        <v>112</v>
      </c>
      <c r="C138" s="259" t="s">
        <v>147</v>
      </c>
      <c r="D138" s="259" t="s">
        <v>114</v>
      </c>
      <c r="E138" s="398">
        <v>0.80191949600000001</v>
      </c>
      <c r="G138" s="259" t="s">
        <v>115</v>
      </c>
      <c r="H138" s="259">
        <v>1</v>
      </c>
      <c r="I138" s="260">
        <v>50041</v>
      </c>
      <c r="J138" s="260"/>
      <c r="L138" s="259" t="s">
        <v>116</v>
      </c>
      <c r="O138" s="259" t="s">
        <v>191</v>
      </c>
      <c r="P138" s="259" t="s">
        <v>192</v>
      </c>
      <c r="S138" s="259">
        <f t="shared" si="2"/>
        <v>2037</v>
      </c>
      <c r="Z138" s="258"/>
      <c r="AA138" s="258"/>
      <c r="AB138" s="258"/>
      <c r="AC138" s="258"/>
    </row>
    <row r="139" spans="1:29">
      <c r="A139" s="259" t="s">
        <v>111</v>
      </c>
      <c r="B139" s="259" t="s">
        <v>112</v>
      </c>
      <c r="C139" s="259" t="s">
        <v>147</v>
      </c>
      <c r="D139" s="259" t="s">
        <v>114</v>
      </c>
      <c r="E139" s="398">
        <v>0.80601713600000002</v>
      </c>
      <c r="G139" s="259" t="s">
        <v>115</v>
      </c>
      <c r="H139" s="259">
        <v>1</v>
      </c>
      <c r="I139" s="260">
        <v>50406</v>
      </c>
      <c r="J139" s="260"/>
      <c r="L139" s="259" t="s">
        <v>116</v>
      </c>
      <c r="O139" s="259" t="s">
        <v>191</v>
      </c>
      <c r="P139" s="259" t="s">
        <v>192</v>
      </c>
      <c r="S139" s="259">
        <f t="shared" si="2"/>
        <v>2038</v>
      </c>
      <c r="Z139" s="258"/>
      <c r="AA139" s="258"/>
      <c r="AB139" s="258"/>
      <c r="AC139" s="258"/>
    </row>
    <row r="140" spans="1:29">
      <c r="A140" s="259" t="s">
        <v>111</v>
      </c>
      <c r="B140" s="259" t="s">
        <v>112</v>
      </c>
      <c r="C140" s="259" t="s">
        <v>147</v>
      </c>
      <c r="D140" s="259" t="s">
        <v>114</v>
      </c>
      <c r="E140" s="398">
        <v>0.80991232800000001</v>
      </c>
      <c r="G140" s="259" t="s">
        <v>115</v>
      </c>
      <c r="H140" s="259">
        <v>1</v>
      </c>
      <c r="I140" s="260">
        <v>50771</v>
      </c>
      <c r="J140" s="260"/>
      <c r="L140" s="259" t="s">
        <v>116</v>
      </c>
      <c r="O140" s="259" t="s">
        <v>191</v>
      </c>
      <c r="P140" s="259" t="s">
        <v>192</v>
      </c>
      <c r="S140" s="259">
        <f t="shared" si="2"/>
        <v>2039</v>
      </c>
      <c r="Z140" s="258"/>
      <c r="AA140" s="258"/>
      <c r="AB140" s="258"/>
      <c r="AC140" s="258"/>
    </row>
    <row r="141" spans="1:29">
      <c r="A141" s="259" t="s">
        <v>111</v>
      </c>
      <c r="B141" s="259" t="s">
        <v>112</v>
      </c>
      <c r="C141" s="259" t="s">
        <v>147</v>
      </c>
      <c r="D141" s="259" t="s">
        <v>114</v>
      </c>
      <c r="E141" s="398">
        <v>0.81359429999999999</v>
      </c>
      <c r="G141" s="259" t="s">
        <v>115</v>
      </c>
      <c r="H141" s="259">
        <v>1</v>
      </c>
      <c r="I141" s="260">
        <v>51136</v>
      </c>
      <c r="J141" s="260"/>
      <c r="L141" s="259" t="s">
        <v>116</v>
      </c>
      <c r="O141" s="259" t="s">
        <v>191</v>
      </c>
      <c r="P141" s="259" t="s">
        <v>192</v>
      </c>
      <c r="S141" s="259">
        <f t="shared" si="2"/>
        <v>2040</v>
      </c>
      <c r="Z141" s="258"/>
      <c r="AA141" s="258"/>
      <c r="AB141" s="258"/>
      <c r="AC141" s="258"/>
    </row>
    <row r="142" spans="1:29">
      <c r="A142" s="259" t="s">
        <v>111</v>
      </c>
      <c r="B142" s="259" t="s">
        <v>112</v>
      </c>
      <c r="C142" s="259" t="s">
        <v>147</v>
      </c>
      <c r="D142" s="259" t="s">
        <v>114</v>
      </c>
      <c r="E142" s="398">
        <v>0.817051902</v>
      </c>
      <c r="G142" s="259" t="s">
        <v>115</v>
      </c>
      <c r="H142" s="259">
        <v>1</v>
      </c>
      <c r="I142" s="260">
        <v>51502</v>
      </c>
      <c r="J142" s="260"/>
      <c r="L142" s="259" t="s">
        <v>116</v>
      </c>
      <c r="O142" s="259" t="s">
        <v>191</v>
      </c>
      <c r="P142" s="259" t="s">
        <v>192</v>
      </c>
      <c r="S142" s="259">
        <f t="shared" si="2"/>
        <v>2041</v>
      </c>
      <c r="Z142" s="258"/>
      <c r="AA142" s="258"/>
      <c r="AB142" s="258"/>
      <c r="AC142" s="258"/>
    </row>
    <row r="143" spans="1:29">
      <c r="A143" s="259" t="s">
        <v>111</v>
      </c>
      <c r="B143" s="259" t="s">
        <v>112</v>
      </c>
      <c r="C143" s="259" t="s">
        <v>147</v>
      </c>
      <c r="D143" s="259" t="s">
        <v>114</v>
      </c>
      <c r="E143" s="398">
        <v>0.82027360400000005</v>
      </c>
      <c r="G143" s="259" t="s">
        <v>115</v>
      </c>
      <c r="H143" s="259">
        <v>1</v>
      </c>
      <c r="I143" s="260">
        <v>51867</v>
      </c>
      <c r="J143" s="260"/>
      <c r="L143" s="259" t="s">
        <v>116</v>
      </c>
      <c r="O143" s="259" t="s">
        <v>191</v>
      </c>
      <c r="P143" s="259" t="s">
        <v>192</v>
      </c>
      <c r="S143" s="259">
        <f t="shared" si="2"/>
        <v>2042</v>
      </c>
      <c r="Z143" s="258"/>
      <c r="AA143" s="258"/>
      <c r="AB143" s="258"/>
      <c r="AC143" s="258"/>
    </row>
    <row r="144" spans="1:29">
      <c r="A144" s="259" t="s">
        <v>111</v>
      </c>
      <c r="B144" s="259" t="s">
        <v>112</v>
      </c>
      <c r="C144" s="259" t="s">
        <v>147</v>
      </c>
      <c r="D144" s="259" t="s">
        <v>114</v>
      </c>
      <c r="E144" s="398">
        <v>0.82324747600000003</v>
      </c>
      <c r="G144" s="259" t="s">
        <v>115</v>
      </c>
      <c r="H144" s="259">
        <v>1</v>
      </c>
      <c r="I144" s="260">
        <v>52232</v>
      </c>
      <c r="J144" s="260"/>
      <c r="L144" s="259" t="s">
        <v>116</v>
      </c>
      <c r="O144" s="259" t="s">
        <v>191</v>
      </c>
      <c r="P144" s="259" t="s">
        <v>192</v>
      </c>
      <c r="S144" s="259">
        <f t="shared" si="2"/>
        <v>2043</v>
      </c>
      <c r="Z144" s="258"/>
      <c r="AA144" s="258"/>
      <c r="AB144" s="258"/>
      <c r="AC144" s="258"/>
    </row>
    <row r="145" spans="1:29">
      <c r="A145" s="259" t="s">
        <v>111</v>
      </c>
      <c r="B145" s="259" t="s">
        <v>112</v>
      </c>
      <c r="C145" s="259" t="s">
        <v>147</v>
      </c>
      <c r="D145" s="259" t="s">
        <v>114</v>
      </c>
      <c r="E145" s="398">
        <v>0.82596118200000002</v>
      </c>
      <c r="G145" s="259" t="s">
        <v>115</v>
      </c>
      <c r="H145" s="259">
        <v>1</v>
      </c>
      <c r="I145" s="260">
        <v>52597</v>
      </c>
      <c r="J145" s="260"/>
      <c r="L145" s="259" t="s">
        <v>116</v>
      </c>
      <c r="O145" s="259" t="s">
        <v>191</v>
      </c>
      <c r="P145" s="259" t="s">
        <v>192</v>
      </c>
      <c r="S145" s="259">
        <f t="shared" si="2"/>
        <v>2044</v>
      </c>
      <c r="Z145" s="258"/>
      <c r="AA145" s="258"/>
      <c r="AB145" s="258"/>
      <c r="AC145" s="258"/>
    </row>
    <row r="146" spans="1:29">
      <c r="A146" s="259" t="s">
        <v>111</v>
      </c>
      <c r="B146" s="259" t="s">
        <v>112</v>
      </c>
      <c r="C146" s="259" t="s">
        <v>147</v>
      </c>
      <c r="D146" s="259" t="s">
        <v>114</v>
      </c>
      <c r="E146" s="398">
        <v>0.82840196499999996</v>
      </c>
      <c r="G146" s="259" t="s">
        <v>115</v>
      </c>
      <c r="H146" s="259">
        <v>1</v>
      </c>
      <c r="I146" s="260">
        <v>52963</v>
      </c>
      <c r="J146" s="260"/>
      <c r="L146" s="259" t="s">
        <v>116</v>
      </c>
      <c r="O146" s="259" t="s">
        <v>191</v>
      </c>
      <c r="P146" s="259" t="s">
        <v>192</v>
      </c>
      <c r="S146" s="259">
        <f t="shared" si="2"/>
        <v>2045</v>
      </c>
      <c r="Z146" s="258"/>
      <c r="AA146" s="258"/>
      <c r="AB146" s="258"/>
      <c r="AC146" s="258"/>
    </row>
    <row r="147" spans="1:29">
      <c r="Z147" s="258"/>
      <c r="AA147" s="258"/>
      <c r="AB147" s="258"/>
      <c r="AC147" s="258"/>
    </row>
    <row r="148" spans="1:29" s="257" customFormat="1">
      <c r="A148" s="257" t="s">
        <v>95</v>
      </c>
      <c r="B148" s="257" t="s">
        <v>96</v>
      </c>
      <c r="C148" s="257" t="s">
        <v>97</v>
      </c>
      <c r="D148" s="257" t="s">
        <v>98</v>
      </c>
      <c r="E148" s="257" t="s">
        <v>99</v>
      </c>
      <c r="F148" s="257" t="s">
        <v>100</v>
      </c>
      <c r="G148" s="257" t="s">
        <v>101</v>
      </c>
      <c r="H148" s="257" t="s">
        <v>102</v>
      </c>
      <c r="I148" s="257" t="s">
        <v>103</v>
      </c>
      <c r="J148" s="257" t="s">
        <v>104</v>
      </c>
      <c r="K148" s="257" t="s">
        <v>105</v>
      </c>
      <c r="L148" s="257" t="s">
        <v>106</v>
      </c>
      <c r="M148" s="257" t="s">
        <v>107</v>
      </c>
      <c r="N148" s="257" t="s">
        <v>108</v>
      </c>
      <c r="O148" s="257" t="s">
        <v>109</v>
      </c>
      <c r="P148" s="257" t="s">
        <v>110</v>
      </c>
      <c r="S148" s="257" t="s">
        <v>0</v>
      </c>
      <c r="Z148" s="258"/>
      <c r="AA148" s="258"/>
      <c r="AB148" s="258"/>
      <c r="AC148" s="258"/>
    </row>
    <row r="149" spans="1:29">
      <c r="A149" s="259" t="s">
        <v>111</v>
      </c>
      <c r="B149" s="259" t="s">
        <v>112</v>
      </c>
      <c r="C149" s="259" t="s">
        <v>165</v>
      </c>
      <c r="D149" s="259" t="s">
        <v>114</v>
      </c>
      <c r="E149" s="398">
        <v>1.0197683399999999</v>
      </c>
      <c r="G149" s="259" t="s">
        <v>115</v>
      </c>
      <c r="H149" s="259">
        <v>1</v>
      </c>
      <c r="I149" s="260">
        <v>45658</v>
      </c>
      <c r="J149" s="260"/>
      <c r="L149" s="259" t="s">
        <v>116</v>
      </c>
      <c r="O149" s="259" t="s">
        <v>191</v>
      </c>
      <c r="P149" s="259" t="s">
        <v>192</v>
      </c>
      <c r="S149" s="259">
        <f>YEAR(I149)</f>
        <v>2025</v>
      </c>
      <c r="Z149" s="258"/>
      <c r="AA149" s="258"/>
      <c r="AB149" s="258"/>
      <c r="AC149" s="258"/>
    </row>
    <row r="150" spans="1:29">
      <c r="A150" s="259" t="s">
        <v>111</v>
      </c>
      <c r="B150" s="259" t="s">
        <v>112</v>
      </c>
      <c r="C150" s="259" t="s">
        <v>165</v>
      </c>
      <c r="D150" s="259" t="s">
        <v>114</v>
      </c>
      <c r="E150" s="398">
        <v>1.0103333569999999</v>
      </c>
      <c r="G150" s="259" t="s">
        <v>115</v>
      </c>
      <c r="H150" s="259">
        <v>1</v>
      </c>
      <c r="I150" s="260">
        <v>46023</v>
      </c>
      <c r="J150" s="260"/>
      <c r="L150" s="259" t="s">
        <v>116</v>
      </c>
      <c r="O150" s="259" t="s">
        <v>191</v>
      </c>
      <c r="P150" s="259" t="s">
        <v>192</v>
      </c>
      <c r="S150" s="259">
        <f t="shared" ref="S150:S169" si="3">YEAR(I150)</f>
        <v>2026</v>
      </c>
      <c r="Z150" s="258"/>
      <c r="AA150" s="258"/>
      <c r="AB150" s="258"/>
      <c r="AC150" s="258"/>
    </row>
    <row r="151" spans="1:29">
      <c r="A151" s="259" t="s">
        <v>111</v>
      </c>
      <c r="B151" s="259" t="s">
        <v>112</v>
      </c>
      <c r="C151" s="259" t="s">
        <v>165</v>
      </c>
      <c r="D151" s="259" t="s">
        <v>114</v>
      </c>
      <c r="E151" s="398">
        <v>1</v>
      </c>
      <c r="G151" s="259" t="s">
        <v>115</v>
      </c>
      <c r="H151" s="259">
        <v>1</v>
      </c>
      <c r="I151" s="260">
        <v>46388</v>
      </c>
      <c r="J151" s="260"/>
      <c r="L151" s="259" t="s">
        <v>116</v>
      </c>
      <c r="O151" s="259" t="s">
        <v>191</v>
      </c>
      <c r="P151" s="259" t="s">
        <v>192</v>
      </c>
      <c r="S151" s="259">
        <f t="shared" si="3"/>
        <v>2027</v>
      </c>
      <c r="Z151" s="258"/>
      <c r="AA151" s="258"/>
      <c r="AB151" s="258"/>
      <c r="AC151" s="258"/>
    </row>
    <row r="152" spans="1:29">
      <c r="A152" s="259" t="s">
        <v>111</v>
      </c>
      <c r="B152" s="259" t="s">
        <v>112</v>
      </c>
      <c r="C152" s="259" t="s">
        <v>165</v>
      </c>
      <c r="D152" s="259" t="s">
        <v>114</v>
      </c>
      <c r="E152" s="398">
        <v>0.98873323999999996</v>
      </c>
      <c r="G152" s="259" t="s">
        <v>115</v>
      </c>
      <c r="H152" s="259">
        <v>1</v>
      </c>
      <c r="I152" s="260">
        <v>46753</v>
      </c>
      <c r="J152" s="260"/>
      <c r="L152" s="259" t="s">
        <v>116</v>
      </c>
      <c r="O152" s="259" t="s">
        <v>191</v>
      </c>
      <c r="P152" s="259" t="s">
        <v>192</v>
      </c>
      <c r="S152" s="259">
        <f t="shared" si="3"/>
        <v>2028</v>
      </c>
    </row>
    <row r="153" spans="1:29">
      <c r="A153" s="259" t="s">
        <v>111</v>
      </c>
      <c r="B153" s="259" t="s">
        <v>112</v>
      </c>
      <c r="C153" s="259" t="s">
        <v>165</v>
      </c>
      <c r="D153" s="259" t="s">
        <v>114</v>
      </c>
      <c r="E153" s="398">
        <v>0.97649688099999998</v>
      </c>
      <c r="G153" s="259" t="s">
        <v>115</v>
      </c>
      <c r="H153" s="259">
        <v>1</v>
      </c>
      <c r="I153" s="260">
        <v>47119</v>
      </c>
      <c r="J153" s="260"/>
      <c r="L153" s="259" t="s">
        <v>116</v>
      </c>
      <c r="O153" s="259" t="s">
        <v>191</v>
      </c>
      <c r="P153" s="259" t="s">
        <v>192</v>
      </c>
      <c r="S153" s="259">
        <f t="shared" si="3"/>
        <v>2029</v>
      </c>
    </row>
    <row r="154" spans="1:29">
      <c r="A154" s="259" t="s">
        <v>111</v>
      </c>
      <c r="B154" s="259" t="s">
        <v>112</v>
      </c>
      <c r="C154" s="259" t="s">
        <v>165</v>
      </c>
      <c r="D154" s="259" t="s">
        <v>114</v>
      </c>
      <c r="E154" s="398">
        <v>0.96325351599999998</v>
      </c>
      <c r="G154" s="259" t="s">
        <v>115</v>
      </c>
      <c r="H154" s="259">
        <v>1</v>
      </c>
      <c r="I154" s="260">
        <v>47484</v>
      </c>
      <c r="J154" s="260"/>
      <c r="L154" s="259" t="s">
        <v>116</v>
      </c>
      <c r="O154" s="259" t="s">
        <v>191</v>
      </c>
      <c r="P154" s="259" t="s">
        <v>192</v>
      </c>
      <c r="S154" s="259">
        <f t="shared" si="3"/>
        <v>2030</v>
      </c>
    </row>
    <row r="155" spans="1:29">
      <c r="A155" s="259" t="s">
        <v>111</v>
      </c>
      <c r="B155" s="259" t="s">
        <v>112</v>
      </c>
      <c r="C155" s="259" t="s">
        <v>165</v>
      </c>
      <c r="D155" s="259" t="s">
        <v>114</v>
      </c>
      <c r="E155" s="398">
        <v>0.970156354</v>
      </c>
      <c r="G155" s="259" t="s">
        <v>115</v>
      </c>
      <c r="H155" s="259">
        <v>1</v>
      </c>
      <c r="I155" s="260">
        <v>47849</v>
      </c>
      <c r="J155" s="260"/>
      <c r="L155" s="259" t="s">
        <v>116</v>
      </c>
      <c r="O155" s="259" t="s">
        <v>191</v>
      </c>
      <c r="P155" s="259" t="s">
        <v>192</v>
      </c>
      <c r="S155" s="259">
        <f t="shared" si="3"/>
        <v>2031</v>
      </c>
    </row>
    <row r="156" spans="1:29">
      <c r="A156" s="259" t="s">
        <v>111</v>
      </c>
      <c r="B156" s="259" t="s">
        <v>112</v>
      </c>
      <c r="C156" s="259" t="s">
        <v>165</v>
      </c>
      <c r="D156" s="259" t="s">
        <v>114</v>
      </c>
      <c r="E156" s="398">
        <v>0.97690282699999997</v>
      </c>
      <c r="G156" s="259" t="s">
        <v>115</v>
      </c>
      <c r="H156" s="259">
        <v>1</v>
      </c>
      <c r="I156" s="260">
        <v>48214</v>
      </c>
      <c r="J156" s="260"/>
      <c r="L156" s="259" t="s">
        <v>116</v>
      </c>
      <c r="O156" s="259" t="s">
        <v>191</v>
      </c>
      <c r="P156" s="259" t="s">
        <v>192</v>
      </c>
      <c r="S156" s="259">
        <f t="shared" si="3"/>
        <v>2032</v>
      </c>
    </row>
    <row r="157" spans="1:29">
      <c r="A157" s="259" t="s">
        <v>111</v>
      </c>
      <c r="B157" s="259" t="s">
        <v>112</v>
      </c>
      <c r="C157" s="259" t="s">
        <v>165</v>
      </c>
      <c r="D157" s="259" t="s">
        <v>114</v>
      </c>
      <c r="E157" s="398">
        <v>0.98348286600000001</v>
      </c>
      <c r="G157" s="259" t="s">
        <v>115</v>
      </c>
      <c r="H157" s="259">
        <v>1</v>
      </c>
      <c r="I157" s="260">
        <v>48580</v>
      </c>
      <c r="J157" s="260"/>
      <c r="L157" s="259" t="s">
        <v>116</v>
      </c>
      <c r="O157" s="259" t="s">
        <v>191</v>
      </c>
      <c r="P157" s="259" t="s">
        <v>192</v>
      </c>
      <c r="S157" s="259">
        <f t="shared" si="3"/>
        <v>2033</v>
      </c>
    </row>
    <row r="158" spans="1:29">
      <c r="A158" s="259" t="s">
        <v>111</v>
      </c>
      <c r="B158" s="259" t="s">
        <v>112</v>
      </c>
      <c r="C158" s="259" t="s">
        <v>165</v>
      </c>
      <c r="D158" s="259" t="s">
        <v>114</v>
      </c>
      <c r="E158" s="398">
        <v>0.98988603799999997</v>
      </c>
      <c r="G158" s="259" t="s">
        <v>115</v>
      </c>
      <c r="H158" s="259">
        <v>1</v>
      </c>
      <c r="I158" s="260">
        <v>48945</v>
      </c>
      <c r="J158" s="260"/>
      <c r="L158" s="259" t="s">
        <v>116</v>
      </c>
      <c r="O158" s="259" t="s">
        <v>191</v>
      </c>
      <c r="P158" s="259" t="s">
        <v>192</v>
      </c>
      <c r="S158" s="259">
        <f t="shared" si="3"/>
        <v>2034</v>
      </c>
    </row>
    <row r="159" spans="1:29">
      <c r="A159" s="259" t="s">
        <v>111</v>
      </c>
      <c r="B159" s="259" t="s">
        <v>112</v>
      </c>
      <c r="C159" s="259" t="s">
        <v>165</v>
      </c>
      <c r="D159" s="259" t="s">
        <v>114</v>
      </c>
      <c r="E159" s="398">
        <v>0.99610153400000001</v>
      </c>
      <c r="G159" s="259" t="s">
        <v>115</v>
      </c>
      <c r="H159" s="259">
        <v>1</v>
      </c>
      <c r="I159" s="260">
        <v>49310</v>
      </c>
      <c r="J159" s="260"/>
      <c r="L159" s="259" t="s">
        <v>116</v>
      </c>
      <c r="O159" s="259" t="s">
        <v>191</v>
      </c>
      <c r="P159" s="259" t="s">
        <v>192</v>
      </c>
      <c r="S159" s="259">
        <f t="shared" si="3"/>
        <v>2035</v>
      </c>
    </row>
    <row r="160" spans="1:29">
      <c r="A160" s="259" t="s">
        <v>111</v>
      </c>
      <c r="B160" s="259" t="s">
        <v>112</v>
      </c>
      <c r="C160" s="259" t="s">
        <v>165</v>
      </c>
      <c r="D160" s="259" t="s">
        <v>114</v>
      </c>
      <c r="E160" s="398">
        <v>1.0021181649999999</v>
      </c>
      <c r="G160" s="259" t="s">
        <v>115</v>
      </c>
      <c r="H160" s="259">
        <v>1</v>
      </c>
      <c r="I160" s="260">
        <v>49675</v>
      </c>
      <c r="J160" s="260"/>
      <c r="L160" s="259" t="s">
        <v>116</v>
      </c>
      <c r="O160" s="259" t="s">
        <v>191</v>
      </c>
      <c r="P160" s="259" t="s">
        <v>192</v>
      </c>
      <c r="S160" s="259">
        <f t="shared" si="3"/>
        <v>2036</v>
      </c>
    </row>
    <row r="161" spans="1:19">
      <c r="A161" s="259" t="s">
        <v>111</v>
      </c>
      <c r="B161" s="259" t="s">
        <v>112</v>
      </c>
      <c r="C161" s="259" t="s">
        <v>165</v>
      </c>
      <c r="D161" s="259" t="s">
        <v>114</v>
      </c>
      <c r="E161" s="398">
        <v>1.0079243410000001</v>
      </c>
      <c r="G161" s="259" t="s">
        <v>115</v>
      </c>
      <c r="H161" s="259">
        <v>1</v>
      </c>
      <c r="I161" s="260">
        <v>50041</v>
      </c>
      <c r="J161" s="260"/>
      <c r="L161" s="259" t="s">
        <v>116</v>
      </c>
      <c r="O161" s="259" t="s">
        <v>191</v>
      </c>
      <c r="P161" s="259" t="s">
        <v>192</v>
      </c>
      <c r="S161" s="259">
        <f t="shared" si="3"/>
        <v>2037</v>
      </c>
    </row>
    <row r="162" spans="1:19">
      <c r="A162" s="259" t="s">
        <v>111</v>
      </c>
      <c r="B162" s="259" t="s">
        <v>112</v>
      </c>
      <c r="C162" s="259" t="s">
        <v>165</v>
      </c>
      <c r="D162" s="259" t="s">
        <v>114</v>
      </c>
      <c r="E162" s="398">
        <v>1.0135080670000001</v>
      </c>
      <c r="G162" s="259" t="s">
        <v>115</v>
      </c>
      <c r="H162" s="259">
        <v>1</v>
      </c>
      <c r="I162" s="260">
        <v>50406</v>
      </c>
      <c r="J162" s="260"/>
      <c r="L162" s="259" t="s">
        <v>116</v>
      </c>
      <c r="O162" s="259" t="s">
        <v>191</v>
      </c>
      <c r="P162" s="259" t="s">
        <v>192</v>
      </c>
      <c r="S162" s="259">
        <f t="shared" si="3"/>
        <v>2038</v>
      </c>
    </row>
    <row r="163" spans="1:19">
      <c r="A163" s="259" t="s">
        <v>111</v>
      </c>
      <c r="B163" s="259" t="s">
        <v>112</v>
      </c>
      <c r="C163" s="259" t="s">
        <v>165</v>
      </c>
      <c r="D163" s="259" t="s">
        <v>114</v>
      </c>
      <c r="E163" s="398">
        <v>1.0188569270000001</v>
      </c>
      <c r="G163" s="259" t="s">
        <v>115</v>
      </c>
      <c r="H163" s="259">
        <v>1</v>
      </c>
      <c r="I163" s="260">
        <v>50771</v>
      </c>
      <c r="J163" s="260"/>
      <c r="L163" s="259" t="s">
        <v>116</v>
      </c>
      <c r="O163" s="259" t="s">
        <v>191</v>
      </c>
      <c r="P163" s="259" t="s">
        <v>192</v>
      </c>
      <c r="S163" s="259">
        <f t="shared" si="3"/>
        <v>2039</v>
      </c>
    </row>
    <row r="164" spans="1:19">
      <c r="A164" s="259" t="s">
        <v>111</v>
      </c>
      <c r="B164" s="259" t="s">
        <v>112</v>
      </c>
      <c r="C164" s="259" t="s">
        <v>165</v>
      </c>
      <c r="D164" s="259" t="s">
        <v>114</v>
      </c>
      <c r="E164" s="398">
        <v>1.0239580720000001</v>
      </c>
      <c r="G164" s="259" t="s">
        <v>115</v>
      </c>
      <c r="H164" s="259">
        <v>1</v>
      </c>
      <c r="I164" s="260">
        <v>51136</v>
      </c>
      <c r="J164" s="260"/>
      <c r="L164" s="259" t="s">
        <v>116</v>
      </c>
      <c r="O164" s="259" t="s">
        <v>191</v>
      </c>
      <c r="P164" s="259" t="s">
        <v>192</v>
      </c>
      <c r="S164" s="259">
        <f t="shared" si="3"/>
        <v>2040</v>
      </c>
    </row>
    <row r="165" spans="1:19">
      <c r="A165" s="259" t="s">
        <v>111</v>
      </c>
      <c r="B165" s="259" t="s">
        <v>112</v>
      </c>
      <c r="C165" s="259" t="s">
        <v>165</v>
      </c>
      <c r="D165" s="259" t="s">
        <v>114</v>
      </c>
      <c r="E165" s="398">
        <v>1.028798208</v>
      </c>
      <c r="G165" s="259" t="s">
        <v>115</v>
      </c>
      <c r="H165" s="259">
        <v>1</v>
      </c>
      <c r="I165" s="260">
        <v>51502</v>
      </c>
      <c r="J165" s="260"/>
      <c r="L165" s="259" t="s">
        <v>116</v>
      </c>
      <c r="O165" s="259" t="s">
        <v>191</v>
      </c>
      <c r="P165" s="259" t="s">
        <v>192</v>
      </c>
      <c r="S165" s="259">
        <f t="shared" si="3"/>
        <v>2041</v>
      </c>
    </row>
    <row r="166" spans="1:19">
      <c r="A166" s="259" t="s">
        <v>111</v>
      </c>
      <c r="B166" s="259" t="s">
        <v>112</v>
      </c>
      <c r="C166" s="259" t="s">
        <v>165</v>
      </c>
      <c r="D166" s="259" t="s">
        <v>114</v>
      </c>
      <c r="E166" s="398">
        <v>1.0333635839999999</v>
      </c>
      <c r="G166" s="259" t="s">
        <v>115</v>
      </c>
      <c r="H166" s="259">
        <v>1</v>
      </c>
      <c r="I166" s="260">
        <v>51867</v>
      </c>
      <c r="J166" s="260"/>
      <c r="L166" s="259" t="s">
        <v>116</v>
      </c>
      <c r="O166" s="259" t="s">
        <v>191</v>
      </c>
      <c r="P166" s="259" t="s">
        <v>192</v>
      </c>
      <c r="S166" s="259">
        <f t="shared" si="3"/>
        <v>2042</v>
      </c>
    </row>
    <row r="167" spans="1:19">
      <c r="A167" s="259" t="s">
        <v>111</v>
      </c>
      <c r="B167" s="259" t="s">
        <v>112</v>
      </c>
      <c r="C167" s="259" t="s">
        <v>165</v>
      </c>
      <c r="D167" s="259" t="s">
        <v>114</v>
      </c>
      <c r="E167" s="398">
        <v>1.037639977</v>
      </c>
      <c r="G167" s="259" t="s">
        <v>115</v>
      </c>
      <c r="H167" s="259">
        <v>1</v>
      </c>
      <c r="I167" s="260">
        <v>52232</v>
      </c>
      <c r="J167" s="260"/>
      <c r="L167" s="259" t="s">
        <v>116</v>
      </c>
      <c r="O167" s="259" t="s">
        <v>191</v>
      </c>
      <c r="P167" s="259" t="s">
        <v>192</v>
      </c>
      <c r="S167" s="259">
        <f t="shared" si="3"/>
        <v>2043</v>
      </c>
    </row>
    <row r="168" spans="1:19">
      <c r="A168" s="259" t="s">
        <v>111</v>
      </c>
      <c r="B168" s="259" t="s">
        <v>112</v>
      </c>
      <c r="C168" s="259" t="s">
        <v>165</v>
      </c>
      <c r="D168" s="259" t="s">
        <v>114</v>
      </c>
      <c r="E168" s="398">
        <v>1.041612677</v>
      </c>
      <c r="G168" s="259" t="s">
        <v>115</v>
      </c>
      <c r="H168" s="259">
        <v>1</v>
      </c>
      <c r="I168" s="260">
        <v>52597</v>
      </c>
      <c r="J168" s="260"/>
      <c r="L168" s="259" t="s">
        <v>116</v>
      </c>
      <c r="O168" s="259" t="s">
        <v>191</v>
      </c>
      <c r="P168" s="259" t="s">
        <v>192</v>
      </c>
      <c r="S168" s="259">
        <f t="shared" si="3"/>
        <v>2044</v>
      </c>
    </row>
    <row r="169" spans="1:19">
      <c r="A169" s="259" t="s">
        <v>111</v>
      </c>
      <c r="B169" s="259" t="s">
        <v>112</v>
      </c>
      <c r="C169" s="259" t="s">
        <v>165</v>
      </c>
      <c r="D169" s="259" t="s">
        <v>114</v>
      </c>
      <c r="E169" s="398">
        <v>1.045266477</v>
      </c>
      <c r="G169" s="259" t="s">
        <v>115</v>
      </c>
      <c r="H169" s="259">
        <v>1</v>
      </c>
      <c r="I169" s="260">
        <v>52963</v>
      </c>
      <c r="J169" s="260"/>
      <c r="L169" s="259" t="s">
        <v>116</v>
      </c>
      <c r="O169" s="259" t="s">
        <v>191</v>
      </c>
      <c r="P169" s="259" t="s">
        <v>192</v>
      </c>
      <c r="S169" s="259">
        <f t="shared" si="3"/>
        <v>2045</v>
      </c>
    </row>
    <row r="171" spans="1:19" s="257" customFormat="1">
      <c r="A171" s="257" t="s">
        <v>95</v>
      </c>
      <c r="B171" s="257" t="s">
        <v>96</v>
      </c>
      <c r="C171" s="257" t="s">
        <v>97</v>
      </c>
      <c r="D171" s="257" t="s">
        <v>98</v>
      </c>
      <c r="E171" s="257" t="s">
        <v>99</v>
      </c>
      <c r="F171" s="257" t="s">
        <v>100</v>
      </c>
      <c r="G171" s="257" t="s">
        <v>101</v>
      </c>
      <c r="H171" s="257" t="s">
        <v>102</v>
      </c>
      <c r="I171" s="257" t="s">
        <v>103</v>
      </c>
      <c r="J171" s="257" t="s">
        <v>104</v>
      </c>
      <c r="K171" s="257" t="s">
        <v>105</v>
      </c>
      <c r="L171" s="257" t="s">
        <v>106</v>
      </c>
      <c r="M171" s="257" t="s">
        <v>107</v>
      </c>
      <c r="N171" s="257" t="s">
        <v>108</v>
      </c>
      <c r="O171" s="257" t="s">
        <v>109</v>
      </c>
      <c r="P171" s="257" t="s">
        <v>110</v>
      </c>
      <c r="S171" s="257" t="s">
        <v>0</v>
      </c>
    </row>
    <row r="172" spans="1:19">
      <c r="A172" s="259" t="s">
        <v>111</v>
      </c>
      <c r="B172" s="259" t="s">
        <v>112</v>
      </c>
      <c r="C172" s="259" t="s">
        <v>155</v>
      </c>
      <c r="D172" s="259" t="s">
        <v>114</v>
      </c>
      <c r="E172" s="398">
        <v>1.000535835</v>
      </c>
      <c r="G172" s="259" t="s">
        <v>115</v>
      </c>
      <c r="H172" s="259">
        <v>1</v>
      </c>
      <c r="I172" s="260">
        <v>45658</v>
      </c>
      <c r="J172" s="260"/>
      <c r="L172" s="259" t="s">
        <v>116</v>
      </c>
      <c r="O172" s="259" t="s">
        <v>191</v>
      </c>
      <c r="P172" s="259" t="s">
        <v>192</v>
      </c>
      <c r="S172" s="259">
        <f>YEAR(I172)</f>
        <v>2025</v>
      </c>
    </row>
    <row r="173" spans="1:19">
      <c r="A173" s="259" t="s">
        <v>111</v>
      </c>
      <c r="B173" s="259" t="s">
        <v>112</v>
      </c>
      <c r="C173" s="259" t="s">
        <v>155</v>
      </c>
      <c r="D173" s="259" t="s">
        <v>114</v>
      </c>
      <c r="E173" s="398">
        <v>1.0013485790000001</v>
      </c>
      <c r="G173" s="259" t="s">
        <v>115</v>
      </c>
      <c r="H173" s="259">
        <v>1</v>
      </c>
      <c r="I173" s="260">
        <v>46023</v>
      </c>
      <c r="J173" s="260"/>
      <c r="L173" s="259" t="s">
        <v>116</v>
      </c>
      <c r="O173" s="259" t="s">
        <v>191</v>
      </c>
      <c r="P173" s="259" t="s">
        <v>192</v>
      </c>
      <c r="S173" s="259">
        <f t="shared" ref="S173:S192" si="4">YEAR(I173)</f>
        <v>2026</v>
      </c>
    </row>
    <row r="174" spans="1:19">
      <c r="A174" s="259" t="s">
        <v>111</v>
      </c>
      <c r="B174" s="259" t="s">
        <v>112</v>
      </c>
      <c r="C174" s="259" t="s">
        <v>155</v>
      </c>
      <c r="D174" s="259" t="s">
        <v>114</v>
      </c>
      <c r="E174" s="398">
        <v>1.001721265</v>
      </c>
      <c r="G174" s="259" t="s">
        <v>115</v>
      </c>
      <c r="H174" s="259">
        <v>1</v>
      </c>
      <c r="I174" s="260">
        <v>46388</v>
      </c>
      <c r="J174" s="260"/>
      <c r="L174" s="259" t="s">
        <v>116</v>
      </c>
      <c r="O174" s="259" t="s">
        <v>191</v>
      </c>
      <c r="P174" s="259" t="s">
        <v>192</v>
      </c>
      <c r="S174" s="259">
        <f t="shared" si="4"/>
        <v>2027</v>
      </c>
    </row>
    <row r="175" spans="1:19">
      <c r="A175" s="259" t="s">
        <v>111</v>
      </c>
      <c r="B175" s="259" t="s">
        <v>112</v>
      </c>
      <c r="C175" s="259" t="s">
        <v>155</v>
      </c>
      <c r="D175" s="259" t="s">
        <v>114</v>
      </c>
      <c r="E175" s="398">
        <v>1.0016343190000001</v>
      </c>
      <c r="G175" s="259" t="s">
        <v>115</v>
      </c>
      <c r="H175" s="259">
        <v>1</v>
      </c>
      <c r="I175" s="260">
        <v>46753</v>
      </c>
      <c r="J175" s="260"/>
      <c r="L175" s="259" t="s">
        <v>116</v>
      </c>
      <c r="O175" s="259" t="s">
        <v>191</v>
      </c>
      <c r="P175" s="259" t="s">
        <v>192</v>
      </c>
      <c r="S175" s="259">
        <f t="shared" si="4"/>
        <v>2028</v>
      </c>
    </row>
    <row r="176" spans="1:19">
      <c r="A176" s="259" t="s">
        <v>111</v>
      </c>
      <c r="B176" s="259" t="s">
        <v>112</v>
      </c>
      <c r="C176" s="259" t="s">
        <v>155</v>
      </c>
      <c r="D176" s="259" t="s">
        <v>114</v>
      </c>
      <c r="E176" s="398">
        <v>1.001067524</v>
      </c>
      <c r="G176" s="259" t="s">
        <v>115</v>
      </c>
      <c r="H176" s="259">
        <v>1</v>
      </c>
      <c r="I176" s="260">
        <v>47119</v>
      </c>
      <c r="J176" s="260"/>
      <c r="L176" s="259" t="s">
        <v>116</v>
      </c>
      <c r="O176" s="259" t="s">
        <v>191</v>
      </c>
      <c r="P176" s="259" t="s">
        <v>192</v>
      </c>
      <c r="S176" s="259">
        <f t="shared" si="4"/>
        <v>2029</v>
      </c>
    </row>
    <row r="177" spans="1:19">
      <c r="A177" s="259" t="s">
        <v>111</v>
      </c>
      <c r="B177" s="259" t="s">
        <v>112</v>
      </c>
      <c r="C177" s="259" t="s">
        <v>155</v>
      </c>
      <c r="D177" s="259" t="s">
        <v>114</v>
      </c>
      <c r="E177" s="398">
        <v>1</v>
      </c>
      <c r="G177" s="259" t="s">
        <v>115</v>
      </c>
      <c r="H177" s="259">
        <v>1</v>
      </c>
      <c r="I177" s="260">
        <v>47484</v>
      </c>
      <c r="J177" s="260"/>
      <c r="L177" s="259" t="s">
        <v>116</v>
      </c>
      <c r="O177" s="259" t="s">
        <v>191</v>
      </c>
      <c r="P177" s="259" t="s">
        <v>192</v>
      </c>
      <c r="S177" s="259">
        <f t="shared" si="4"/>
        <v>2030</v>
      </c>
    </row>
    <row r="178" spans="1:19">
      <c r="A178" s="259" t="s">
        <v>111</v>
      </c>
      <c r="B178" s="259" t="s">
        <v>112</v>
      </c>
      <c r="C178" s="259" t="s">
        <v>155</v>
      </c>
      <c r="D178" s="259" t="s">
        <v>114</v>
      </c>
      <c r="E178" s="398">
        <v>1.0111663580000001</v>
      </c>
      <c r="G178" s="259" t="s">
        <v>115</v>
      </c>
      <c r="H178" s="259">
        <v>1</v>
      </c>
      <c r="I178" s="260">
        <v>47849</v>
      </c>
      <c r="J178" s="260"/>
      <c r="L178" s="259" t="s">
        <v>116</v>
      </c>
      <c r="O178" s="259" t="s">
        <v>191</v>
      </c>
      <c r="P178" s="259" t="s">
        <v>192</v>
      </c>
      <c r="S178" s="259">
        <f t="shared" si="4"/>
        <v>2031</v>
      </c>
    </row>
    <row r="179" spans="1:19">
      <c r="A179" s="259" t="s">
        <v>111</v>
      </c>
      <c r="B179" s="259" t="s">
        <v>112</v>
      </c>
      <c r="C179" s="259" t="s">
        <v>155</v>
      </c>
      <c r="D179" s="259" t="s">
        <v>114</v>
      </c>
      <c r="E179" s="398">
        <v>1.0223443299999999</v>
      </c>
      <c r="G179" s="259" t="s">
        <v>115</v>
      </c>
      <c r="H179" s="259">
        <v>1</v>
      </c>
      <c r="I179" s="260">
        <v>48214</v>
      </c>
      <c r="J179" s="260"/>
      <c r="L179" s="259" t="s">
        <v>116</v>
      </c>
      <c r="O179" s="259" t="s">
        <v>191</v>
      </c>
      <c r="P179" s="259" t="s">
        <v>192</v>
      </c>
      <c r="S179" s="259">
        <f t="shared" si="4"/>
        <v>2032</v>
      </c>
    </row>
    <row r="180" spans="1:19">
      <c r="A180" s="259" t="s">
        <v>111</v>
      </c>
      <c r="B180" s="259" t="s">
        <v>112</v>
      </c>
      <c r="C180" s="259" t="s">
        <v>155</v>
      </c>
      <c r="D180" s="259" t="s">
        <v>114</v>
      </c>
      <c r="E180" s="398">
        <v>1.033529114</v>
      </c>
      <c r="G180" s="259" t="s">
        <v>115</v>
      </c>
      <c r="H180" s="259">
        <v>1</v>
      </c>
      <c r="I180" s="260">
        <v>48580</v>
      </c>
      <c r="J180" s="260"/>
      <c r="L180" s="259" t="s">
        <v>116</v>
      </c>
      <c r="O180" s="259" t="s">
        <v>191</v>
      </c>
      <c r="P180" s="259" t="s">
        <v>192</v>
      </c>
      <c r="S180" s="259">
        <f t="shared" si="4"/>
        <v>2033</v>
      </c>
    </row>
    <row r="181" spans="1:19">
      <c r="A181" s="259" t="s">
        <v>111</v>
      </c>
      <c r="B181" s="259" t="s">
        <v>112</v>
      </c>
      <c r="C181" s="259" t="s">
        <v>155</v>
      </c>
      <c r="D181" s="259" t="s">
        <v>114</v>
      </c>
      <c r="E181" s="398">
        <v>1.0447156959999999</v>
      </c>
      <c r="G181" s="259" t="s">
        <v>115</v>
      </c>
      <c r="H181" s="259">
        <v>1</v>
      </c>
      <c r="I181" s="260">
        <v>48945</v>
      </c>
      <c r="J181" s="260"/>
      <c r="L181" s="259" t="s">
        <v>116</v>
      </c>
      <c r="O181" s="259" t="s">
        <v>191</v>
      </c>
      <c r="P181" s="259" t="s">
        <v>192</v>
      </c>
      <c r="S181" s="259">
        <f t="shared" si="4"/>
        <v>2034</v>
      </c>
    </row>
    <row r="182" spans="1:19">
      <c r="A182" s="259" t="s">
        <v>111</v>
      </c>
      <c r="B182" s="259" t="s">
        <v>112</v>
      </c>
      <c r="C182" s="259" t="s">
        <v>155</v>
      </c>
      <c r="D182" s="259" t="s">
        <v>114</v>
      </c>
      <c r="E182" s="398">
        <v>1.0558988380000001</v>
      </c>
      <c r="G182" s="259" t="s">
        <v>115</v>
      </c>
      <c r="H182" s="259">
        <v>1</v>
      </c>
      <c r="I182" s="260">
        <v>49310</v>
      </c>
      <c r="J182" s="260"/>
      <c r="L182" s="259" t="s">
        <v>116</v>
      </c>
      <c r="O182" s="259" t="s">
        <v>191</v>
      </c>
      <c r="P182" s="259" t="s">
        <v>192</v>
      </c>
      <c r="S182" s="259">
        <f t="shared" si="4"/>
        <v>2035</v>
      </c>
    </row>
    <row r="183" spans="1:19">
      <c r="A183" s="259" t="s">
        <v>111</v>
      </c>
      <c r="B183" s="259" t="s">
        <v>112</v>
      </c>
      <c r="C183" s="259" t="s">
        <v>155</v>
      </c>
      <c r="D183" s="259" t="s">
        <v>114</v>
      </c>
      <c r="E183" s="398">
        <v>1.0670730749999999</v>
      </c>
      <c r="G183" s="259" t="s">
        <v>115</v>
      </c>
      <c r="H183" s="259">
        <v>1</v>
      </c>
      <c r="I183" s="260">
        <v>49675</v>
      </c>
      <c r="J183" s="260"/>
      <c r="L183" s="259" t="s">
        <v>116</v>
      </c>
      <c r="O183" s="259" t="s">
        <v>191</v>
      </c>
      <c r="P183" s="259" t="s">
        <v>192</v>
      </c>
      <c r="S183" s="259">
        <f t="shared" si="4"/>
        <v>2036</v>
      </c>
    </row>
    <row r="184" spans="1:19">
      <c r="A184" s="259" t="s">
        <v>111</v>
      </c>
      <c r="B184" s="259" t="s">
        <v>112</v>
      </c>
      <c r="C184" s="259" t="s">
        <v>155</v>
      </c>
      <c r="D184" s="259" t="s">
        <v>114</v>
      </c>
      <c r="E184" s="398">
        <v>1.0782327039999999</v>
      </c>
      <c r="G184" s="259" t="s">
        <v>115</v>
      </c>
      <c r="H184" s="259">
        <v>1</v>
      </c>
      <c r="I184" s="260">
        <v>50041</v>
      </c>
      <c r="J184" s="260"/>
      <c r="L184" s="259" t="s">
        <v>116</v>
      </c>
      <c r="O184" s="259" t="s">
        <v>191</v>
      </c>
      <c r="P184" s="259" t="s">
        <v>192</v>
      </c>
      <c r="S184" s="259">
        <f t="shared" si="4"/>
        <v>2037</v>
      </c>
    </row>
    <row r="185" spans="1:19">
      <c r="A185" s="259" t="s">
        <v>111</v>
      </c>
      <c r="B185" s="259" t="s">
        <v>112</v>
      </c>
      <c r="C185" s="259" t="s">
        <v>155</v>
      </c>
      <c r="D185" s="259" t="s">
        <v>114</v>
      </c>
      <c r="E185" s="398">
        <v>1.0893717759999999</v>
      </c>
      <c r="G185" s="259" t="s">
        <v>115</v>
      </c>
      <c r="H185" s="259">
        <v>1</v>
      </c>
      <c r="I185" s="260">
        <v>50406</v>
      </c>
      <c r="J185" s="260"/>
      <c r="L185" s="259" t="s">
        <v>116</v>
      </c>
      <c r="O185" s="259" t="s">
        <v>191</v>
      </c>
      <c r="P185" s="259" t="s">
        <v>192</v>
      </c>
      <c r="S185" s="259">
        <f t="shared" si="4"/>
        <v>2038</v>
      </c>
    </row>
    <row r="186" spans="1:19">
      <c r="A186" s="259" t="s">
        <v>111</v>
      </c>
      <c r="B186" s="259" t="s">
        <v>112</v>
      </c>
      <c r="C186" s="259" t="s">
        <v>155</v>
      </c>
      <c r="D186" s="259" t="s">
        <v>114</v>
      </c>
      <c r="E186" s="398">
        <v>1.1004840920000001</v>
      </c>
      <c r="G186" s="259" t="s">
        <v>115</v>
      </c>
      <c r="H186" s="259">
        <v>1</v>
      </c>
      <c r="I186" s="260">
        <v>50771</v>
      </c>
      <c r="J186" s="260"/>
      <c r="L186" s="259" t="s">
        <v>116</v>
      </c>
      <c r="O186" s="259" t="s">
        <v>191</v>
      </c>
      <c r="P186" s="259" t="s">
        <v>192</v>
      </c>
      <c r="S186" s="259">
        <f t="shared" si="4"/>
        <v>2039</v>
      </c>
    </row>
    <row r="187" spans="1:19">
      <c r="A187" s="259" t="s">
        <v>111</v>
      </c>
      <c r="B187" s="259" t="s">
        <v>112</v>
      </c>
      <c r="C187" s="259" t="s">
        <v>155</v>
      </c>
      <c r="D187" s="259" t="s">
        <v>114</v>
      </c>
      <c r="E187" s="398">
        <v>1.1115631930000001</v>
      </c>
      <c r="G187" s="259" t="s">
        <v>115</v>
      </c>
      <c r="H187" s="259">
        <v>1</v>
      </c>
      <c r="I187" s="260">
        <v>51136</v>
      </c>
      <c r="J187" s="260"/>
      <c r="L187" s="259" t="s">
        <v>116</v>
      </c>
      <c r="O187" s="259" t="s">
        <v>191</v>
      </c>
      <c r="P187" s="259" t="s">
        <v>192</v>
      </c>
      <c r="S187" s="259">
        <f t="shared" si="4"/>
        <v>2040</v>
      </c>
    </row>
    <row r="188" spans="1:19">
      <c r="A188" s="259" t="s">
        <v>111</v>
      </c>
      <c r="B188" s="259" t="s">
        <v>112</v>
      </c>
      <c r="C188" s="259" t="s">
        <v>155</v>
      </c>
      <c r="D188" s="259" t="s">
        <v>114</v>
      </c>
      <c r="E188" s="398">
        <v>1.122602348</v>
      </c>
      <c r="G188" s="259" t="s">
        <v>115</v>
      </c>
      <c r="H188" s="259">
        <v>1</v>
      </c>
      <c r="I188" s="260">
        <v>51502</v>
      </c>
      <c r="J188" s="260"/>
      <c r="L188" s="259" t="s">
        <v>116</v>
      </c>
      <c r="O188" s="259" t="s">
        <v>191</v>
      </c>
      <c r="P188" s="259" t="s">
        <v>192</v>
      </c>
      <c r="S188" s="259">
        <f t="shared" si="4"/>
        <v>2041</v>
      </c>
    </row>
    <row r="189" spans="1:19">
      <c r="A189" s="259" t="s">
        <v>111</v>
      </c>
      <c r="B189" s="259" t="s">
        <v>112</v>
      </c>
      <c r="C189" s="259" t="s">
        <v>155</v>
      </c>
      <c r="D189" s="259" t="s">
        <v>114</v>
      </c>
      <c r="E189" s="398">
        <v>1.1335945510000001</v>
      </c>
      <c r="G189" s="259" t="s">
        <v>115</v>
      </c>
      <c r="H189" s="259">
        <v>1</v>
      </c>
      <c r="I189" s="260">
        <v>51867</v>
      </c>
      <c r="J189" s="260"/>
      <c r="L189" s="259" t="s">
        <v>116</v>
      </c>
      <c r="O189" s="259" t="s">
        <v>191</v>
      </c>
      <c r="P189" s="259" t="s">
        <v>192</v>
      </c>
      <c r="S189" s="259">
        <f t="shared" si="4"/>
        <v>2042</v>
      </c>
    </row>
    <row r="190" spans="1:19">
      <c r="A190" s="259" t="s">
        <v>111</v>
      </c>
      <c r="B190" s="259" t="s">
        <v>112</v>
      </c>
      <c r="C190" s="259" t="s">
        <v>155</v>
      </c>
      <c r="D190" s="259" t="s">
        <v>114</v>
      </c>
      <c r="E190" s="398">
        <v>1.1445325079999999</v>
      </c>
      <c r="G190" s="259" t="s">
        <v>115</v>
      </c>
      <c r="H190" s="259">
        <v>1</v>
      </c>
      <c r="I190" s="260">
        <v>52232</v>
      </c>
      <c r="J190" s="260"/>
      <c r="L190" s="259" t="s">
        <v>116</v>
      </c>
      <c r="O190" s="259" t="s">
        <v>191</v>
      </c>
      <c r="P190" s="259" t="s">
        <v>192</v>
      </c>
      <c r="S190" s="259">
        <f t="shared" si="4"/>
        <v>2043</v>
      </c>
    </row>
    <row r="191" spans="1:19">
      <c r="A191" s="259" t="s">
        <v>111</v>
      </c>
      <c r="B191" s="259" t="s">
        <v>112</v>
      </c>
      <c r="C191" s="259" t="s">
        <v>155</v>
      </c>
      <c r="D191" s="259" t="s">
        <v>114</v>
      </c>
      <c r="E191" s="398">
        <v>1.155408631</v>
      </c>
      <c r="G191" s="259" t="s">
        <v>115</v>
      </c>
      <c r="H191" s="259">
        <v>1</v>
      </c>
      <c r="I191" s="260">
        <v>52597</v>
      </c>
      <c r="J191" s="260"/>
      <c r="L191" s="259" t="s">
        <v>116</v>
      </c>
      <c r="O191" s="259" t="s">
        <v>191</v>
      </c>
      <c r="P191" s="259" t="s">
        <v>192</v>
      </c>
      <c r="S191" s="259">
        <f t="shared" si="4"/>
        <v>2044</v>
      </c>
    </row>
    <row r="192" spans="1:19">
      <c r="A192" s="259" t="s">
        <v>111</v>
      </c>
      <c r="B192" s="259" t="s">
        <v>112</v>
      </c>
      <c r="C192" s="259" t="s">
        <v>155</v>
      </c>
      <c r="D192" s="259" t="s">
        <v>114</v>
      </c>
      <c r="E192" s="398">
        <v>1.1662150259999999</v>
      </c>
      <c r="G192" s="259" t="s">
        <v>115</v>
      </c>
      <c r="H192" s="259">
        <v>1</v>
      </c>
      <c r="I192" s="260">
        <v>52963</v>
      </c>
      <c r="J192" s="260"/>
      <c r="L192" s="259" t="s">
        <v>116</v>
      </c>
      <c r="O192" s="259" t="s">
        <v>191</v>
      </c>
      <c r="P192" s="259" t="s">
        <v>192</v>
      </c>
      <c r="S192" s="259">
        <f t="shared" si="4"/>
        <v>2045</v>
      </c>
    </row>
    <row r="194" spans="1:19" s="257" customFormat="1">
      <c r="A194" s="257" t="s">
        <v>95</v>
      </c>
      <c r="B194" s="257" t="s">
        <v>96</v>
      </c>
      <c r="C194" s="257" t="s">
        <v>97</v>
      </c>
      <c r="D194" s="257" t="s">
        <v>98</v>
      </c>
      <c r="E194" s="257" t="s">
        <v>99</v>
      </c>
      <c r="F194" s="257" t="s">
        <v>100</v>
      </c>
      <c r="G194" s="257" t="s">
        <v>101</v>
      </c>
      <c r="H194" s="257" t="s">
        <v>102</v>
      </c>
      <c r="I194" s="257" t="s">
        <v>103</v>
      </c>
      <c r="J194" s="257" t="s">
        <v>104</v>
      </c>
      <c r="K194" s="257" t="s">
        <v>105</v>
      </c>
      <c r="L194" s="257" t="s">
        <v>106</v>
      </c>
      <c r="M194" s="257" t="s">
        <v>107</v>
      </c>
      <c r="N194" s="257" t="s">
        <v>108</v>
      </c>
      <c r="O194" s="257" t="s">
        <v>109</v>
      </c>
      <c r="P194" s="257" t="s">
        <v>110</v>
      </c>
      <c r="S194" s="257" t="s">
        <v>0</v>
      </c>
    </row>
    <row r="195" spans="1:19">
      <c r="A195" s="259" t="s">
        <v>111</v>
      </c>
      <c r="B195" s="259" t="s">
        <v>112</v>
      </c>
      <c r="C195" s="259" t="s">
        <v>194</v>
      </c>
      <c r="D195" s="259" t="s">
        <v>114</v>
      </c>
      <c r="E195" s="398">
        <v>1.02648937</v>
      </c>
      <c r="G195" s="259" t="s">
        <v>115</v>
      </c>
      <c r="H195" s="259">
        <v>1</v>
      </c>
      <c r="I195" s="260">
        <v>45658</v>
      </c>
      <c r="J195" s="260"/>
      <c r="L195" s="259" t="s">
        <v>116</v>
      </c>
      <c r="O195" s="259" t="s">
        <v>191</v>
      </c>
      <c r="P195" s="259" t="s">
        <v>192</v>
      </c>
      <c r="S195" s="259">
        <f>YEAR(I195)</f>
        <v>2025</v>
      </c>
    </row>
    <row r="196" spans="1:19">
      <c r="A196" s="259" t="s">
        <v>111</v>
      </c>
      <c r="B196" s="259" t="s">
        <v>112</v>
      </c>
      <c r="C196" s="259" t="s">
        <v>194</v>
      </c>
      <c r="D196" s="259" t="s">
        <v>114</v>
      </c>
      <c r="E196" s="398">
        <v>1.0185063519999999</v>
      </c>
      <c r="G196" s="259" t="s">
        <v>115</v>
      </c>
      <c r="H196" s="259">
        <v>1</v>
      </c>
      <c r="I196" s="260">
        <v>46023</v>
      </c>
      <c r="J196" s="260"/>
      <c r="L196" s="259" t="s">
        <v>116</v>
      </c>
      <c r="O196" s="259" t="s">
        <v>191</v>
      </c>
      <c r="P196" s="259" t="s">
        <v>192</v>
      </c>
      <c r="S196" s="259">
        <f t="shared" ref="S196:S215" si="5">YEAR(I196)</f>
        <v>2026</v>
      </c>
    </row>
    <row r="197" spans="1:19">
      <c r="A197" s="259" t="s">
        <v>111</v>
      </c>
      <c r="B197" s="259" t="s">
        <v>112</v>
      </c>
      <c r="C197" s="259" t="s">
        <v>194</v>
      </c>
      <c r="D197" s="259" t="s">
        <v>114</v>
      </c>
      <c r="E197" s="398">
        <v>1.009687446</v>
      </c>
      <c r="G197" s="259" t="s">
        <v>115</v>
      </c>
      <c r="H197" s="259">
        <v>1</v>
      </c>
      <c r="I197" s="260">
        <v>46388</v>
      </c>
      <c r="J197" s="260"/>
      <c r="L197" s="259" t="s">
        <v>116</v>
      </c>
      <c r="O197" s="259" t="s">
        <v>191</v>
      </c>
      <c r="P197" s="259" t="s">
        <v>192</v>
      </c>
      <c r="S197" s="259">
        <f t="shared" si="5"/>
        <v>2027</v>
      </c>
    </row>
    <row r="198" spans="1:19">
      <c r="A198" s="259" t="s">
        <v>111</v>
      </c>
      <c r="B198" s="259" t="s">
        <v>112</v>
      </c>
      <c r="C198" s="259" t="s">
        <v>194</v>
      </c>
      <c r="D198" s="259" t="s">
        <v>114</v>
      </c>
      <c r="E198" s="398">
        <v>1</v>
      </c>
      <c r="G198" s="259" t="s">
        <v>115</v>
      </c>
      <c r="H198" s="259">
        <v>1</v>
      </c>
      <c r="I198" s="260">
        <v>46753</v>
      </c>
      <c r="J198" s="260"/>
      <c r="L198" s="259" t="s">
        <v>116</v>
      </c>
      <c r="O198" s="259" t="s">
        <v>191</v>
      </c>
      <c r="P198" s="259" t="s">
        <v>192</v>
      </c>
      <c r="S198" s="259">
        <f t="shared" si="5"/>
        <v>2028</v>
      </c>
    </row>
    <row r="199" spans="1:19">
      <c r="A199" s="259" t="s">
        <v>111</v>
      </c>
      <c r="B199" s="259" t="s">
        <v>112</v>
      </c>
      <c r="C199" s="259" t="s">
        <v>194</v>
      </c>
      <c r="D199" s="259" t="s">
        <v>114</v>
      </c>
      <c r="E199" s="398">
        <v>0.989410338</v>
      </c>
      <c r="G199" s="259" t="s">
        <v>115</v>
      </c>
      <c r="H199" s="259">
        <v>1</v>
      </c>
      <c r="I199" s="260">
        <v>47119</v>
      </c>
      <c r="J199" s="260"/>
      <c r="L199" s="259" t="s">
        <v>116</v>
      </c>
      <c r="O199" s="259" t="s">
        <v>191</v>
      </c>
      <c r="P199" s="259" t="s">
        <v>192</v>
      </c>
      <c r="S199" s="259">
        <f t="shared" si="5"/>
        <v>2029</v>
      </c>
    </row>
    <row r="200" spans="1:19">
      <c r="A200" s="259" t="s">
        <v>111</v>
      </c>
      <c r="B200" s="259" t="s">
        <v>112</v>
      </c>
      <c r="C200" s="259" t="s">
        <v>194</v>
      </c>
      <c r="D200" s="259" t="s">
        <v>114</v>
      </c>
      <c r="E200" s="398">
        <v>0.97788372599999995</v>
      </c>
      <c r="G200" s="259" t="s">
        <v>115</v>
      </c>
      <c r="H200" s="259">
        <v>1</v>
      </c>
      <c r="I200" s="260">
        <v>47484</v>
      </c>
      <c r="J200" s="260"/>
      <c r="L200" s="259" t="s">
        <v>116</v>
      </c>
      <c r="O200" s="259" t="s">
        <v>191</v>
      </c>
      <c r="P200" s="259" t="s">
        <v>192</v>
      </c>
      <c r="S200" s="259">
        <f t="shared" si="5"/>
        <v>2030</v>
      </c>
    </row>
    <row r="201" spans="1:19">
      <c r="A201" s="259" t="s">
        <v>111</v>
      </c>
      <c r="B201" s="259" t="s">
        <v>112</v>
      </c>
      <c r="C201" s="259" t="s">
        <v>194</v>
      </c>
      <c r="D201" s="259" t="s">
        <v>114</v>
      </c>
      <c r="E201" s="398">
        <v>0.96538434699999998</v>
      </c>
      <c r="G201" s="259" t="s">
        <v>115</v>
      </c>
      <c r="H201" s="259">
        <v>1</v>
      </c>
      <c r="I201" s="260">
        <v>47849</v>
      </c>
      <c r="J201" s="260"/>
      <c r="L201" s="259" t="s">
        <v>116</v>
      </c>
      <c r="O201" s="259" t="s">
        <v>191</v>
      </c>
      <c r="P201" s="259" t="s">
        <v>192</v>
      </c>
      <c r="S201" s="259">
        <f t="shared" si="5"/>
        <v>2031</v>
      </c>
    </row>
    <row r="202" spans="1:19">
      <c r="A202" s="259" t="s">
        <v>111</v>
      </c>
      <c r="B202" s="259" t="s">
        <v>112</v>
      </c>
      <c r="C202" s="259" t="s">
        <v>194</v>
      </c>
      <c r="D202" s="259" t="s">
        <v>114</v>
      </c>
      <c r="E202" s="398">
        <v>0.95187526600000005</v>
      </c>
      <c r="G202" s="259" t="s">
        <v>115</v>
      </c>
      <c r="H202" s="259">
        <v>1</v>
      </c>
      <c r="I202" s="260">
        <v>48214</v>
      </c>
      <c r="J202" s="260"/>
      <c r="L202" s="259" t="s">
        <v>116</v>
      </c>
      <c r="O202" s="259" t="s">
        <v>191</v>
      </c>
      <c r="P202" s="259" t="s">
        <v>192</v>
      </c>
      <c r="S202" s="259">
        <f t="shared" si="5"/>
        <v>2032</v>
      </c>
    </row>
    <row r="203" spans="1:19">
      <c r="A203" s="259" t="s">
        <v>111</v>
      </c>
      <c r="B203" s="259" t="s">
        <v>112</v>
      </c>
      <c r="C203" s="259" t="s">
        <v>194</v>
      </c>
      <c r="D203" s="259" t="s">
        <v>114</v>
      </c>
      <c r="E203" s="398">
        <v>0.93731839900000002</v>
      </c>
      <c r="G203" s="259" t="s">
        <v>115</v>
      </c>
      <c r="H203" s="259">
        <v>1</v>
      </c>
      <c r="I203" s="260">
        <v>48580</v>
      </c>
      <c r="J203" s="260"/>
      <c r="L203" s="259" t="s">
        <v>116</v>
      </c>
      <c r="O203" s="259" t="s">
        <v>191</v>
      </c>
      <c r="P203" s="259" t="s">
        <v>192</v>
      </c>
      <c r="S203" s="259">
        <f t="shared" si="5"/>
        <v>2033</v>
      </c>
    </row>
    <row r="204" spans="1:19">
      <c r="A204" s="259" t="s">
        <v>111</v>
      </c>
      <c r="B204" s="259" t="s">
        <v>112</v>
      </c>
      <c r="C204" s="259" t="s">
        <v>194</v>
      </c>
      <c r="D204" s="259" t="s">
        <v>114</v>
      </c>
      <c r="E204" s="398">
        <v>0.92167448399999996</v>
      </c>
      <c r="G204" s="259" t="s">
        <v>115</v>
      </c>
      <c r="H204" s="259">
        <v>1</v>
      </c>
      <c r="I204" s="260">
        <v>48945</v>
      </c>
      <c r="J204" s="260"/>
      <c r="L204" s="259" t="s">
        <v>116</v>
      </c>
      <c r="O204" s="259" t="s">
        <v>191</v>
      </c>
      <c r="P204" s="259" t="s">
        <v>192</v>
      </c>
      <c r="S204" s="259">
        <f t="shared" si="5"/>
        <v>2034</v>
      </c>
    </row>
    <row r="205" spans="1:19">
      <c r="A205" s="259" t="s">
        <v>111</v>
      </c>
      <c r="B205" s="259" t="s">
        <v>112</v>
      </c>
      <c r="C205" s="259" t="s">
        <v>194</v>
      </c>
      <c r="D205" s="259" t="s">
        <v>114</v>
      </c>
      <c r="E205" s="398">
        <v>0.90490304300000002</v>
      </c>
      <c r="G205" s="259" t="s">
        <v>115</v>
      </c>
      <c r="H205" s="259">
        <v>1</v>
      </c>
      <c r="I205" s="260">
        <v>49310</v>
      </c>
      <c r="J205" s="260"/>
      <c r="L205" s="259" t="s">
        <v>116</v>
      </c>
      <c r="O205" s="259" t="s">
        <v>191</v>
      </c>
      <c r="P205" s="259" t="s">
        <v>192</v>
      </c>
      <c r="S205" s="259">
        <f t="shared" si="5"/>
        <v>2035</v>
      </c>
    </row>
    <row r="206" spans="1:19">
      <c r="A206" s="259" t="s">
        <v>111</v>
      </c>
      <c r="B206" s="259" t="s">
        <v>112</v>
      </c>
      <c r="C206" s="259" t="s">
        <v>194</v>
      </c>
      <c r="D206" s="259" t="s">
        <v>114</v>
      </c>
      <c r="E206" s="398">
        <v>0.90920414299999996</v>
      </c>
      <c r="G206" s="259" t="s">
        <v>115</v>
      </c>
      <c r="H206" s="259">
        <v>1</v>
      </c>
      <c r="I206" s="260">
        <v>49675</v>
      </c>
      <c r="J206" s="260"/>
      <c r="L206" s="259" t="s">
        <v>116</v>
      </c>
      <c r="O206" s="259" t="s">
        <v>191</v>
      </c>
      <c r="P206" s="259" t="s">
        <v>192</v>
      </c>
      <c r="S206" s="259">
        <f t="shared" si="5"/>
        <v>2036</v>
      </c>
    </row>
    <row r="207" spans="1:19">
      <c r="A207" s="259" t="s">
        <v>111</v>
      </c>
      <c r="B207" s="259" t="s">
        <v>112</v>
      </c>
      <c r="C207" s="259" t="s">
        <v>194</v>
      </c>
      <c r="D207" s="259" t="s">
        <v>114</v>
      </c>
      <c r="E207" s="398">
        <v>0.91326272500000005</v>
      </c>
      <c r="G207" s="259" t="s">
        <v>115</v>
      </c>
      <c r="H207" s="259">
        <v>1</v>
      </c>
      <c r="I207" s="260">
        <v>50041</v>
      </c>
      <c r="J207" s="260"/>
      <c r="L207" s="259" t="s">
        <v>116</v>
      </c>
      <c r="O207" s="259" t="s">
        <v>191</v>
      </c>
      <c r="P207" s="259" t="s">
        <v>192</v>
      </c>
      <c r="S207" s="259">
        <f t="shared" si="5"/>
        <v>2037</v>
      </c>
    </row>
    <row r="208" spans="1:19">
      <c r="A208" s="259" t="s">
        <v>111</v>
      </c>
      <c r="B208" s="259" t="s">
        <v>112</v>
      </c>
      <c r="C208" s="259" t="s">
        <v>194</v>
      </c>
      <c r="D208" s="259" t="s">
        <v>114</v>
      </c>
      <c r="E208" s="398">
        <v>0.91706617099999999</v>
      </c>
      <c r="G208" s="259" t="s">
        <v>115</v>
      </c>
      <c r="H208" s="259">
        <v>1</v>
      </c>
      <c r="I208" s="260">
        <v>50406</v>
      </c>
      <c r="J208" s="260"/>
      <c r="L208" s="259" t="s">
        <v>116</v>
      </c>
      <c r="O208" s="259" t="s">
        <v>191</v>
      </c>
      <c r="P208" s="259" t="s">
        <v>192</v>
      </c>
      <c r="S208" s="259">
        <f t="shared" si="5"/>
        <v>2038</v>
      </c>
    </row>
    <row r="209" spans="1:19">
      <c r="A209" s="259" t="s">
        <v>111</v>
      </c>
      <c r="B209" s="259" t="s">
        <v>112</v>
      </c>
      <c r="C209" s="259" t="s">
        <v>194</v>
      </c>
      <c r="D209" s="259" t="s">
        <v>114</v>
      </c>
      <c r="E209" s="398">
        <v>0.920601428</v>
      </c>
      <c r="G209" s="259" t="s">
        <v>115</v>
      </c>
      <c r="H209" s="259">
        <v>1</v>
      </c>
      <c r="I209" s="260">
        <v>50771</v>
      </c>
      <c r="J209" s="260"/>
      <c r="L209" s="259" t="s">
        <v>116</v>
      </c>
      <c r="O209" s="259" t="s">
        <v>191</v>
      </c>
      <c r="P209" s="259" t="s">
        <v>192</v>
      </c>
      <c r="S209" s="259">
        <f t="shared" si="5"/>
        <v>2039</v>
      </c>
    </row>
    <row r="210" spans="1:19">
      <c r="A210" s="259" t="s">
        <v>111</v>
      </c>
      <c r="B210" s="259" t="s">
        <v>112</v>
      </c>
      <c r="C210" s="259" t="s">
        <v>194</v>
      </c>
      <c r="D210" s="259" t="s">
        <v>114</v>
      </c>
      <c r="E210" s="398">
        <v>0.92385499500000001</v>
      </c>
      <c r="G210" s="259" t="s">
        <v>115</v>
      </c>
      <c r="H210" s="259">
        <v>1</v>
      </c>
      <c r="I210" s="260">
        <v>51136</v>
      </c>
      <c r="J210" s="260"/>
      <c r="L210" s="259" t="s">
        <v>116</v>
      </c>
      <c r="O210" s="259" t="s">
        <v>191</v>
      </c>
      <c r="P210" s="259" t="s">
        <v>192</v>
      </c>
      <c r="S210" s="259">
        <f t="shared" si="5"/>
        <v>2040</v>
      </c>
    </row>
    <row r="211" spans="1:19">
      <c r="A211" s="259" t="s">
        <v>111</v>
      </c>
      <c r="B211" s="259" t="s">
        <v>112</v>
      </c>
      <c r="C211" s="259" t="s">
        <v>194</v>
      </c>
      <c r="D211" s="259" t="s">
        <v>114</v>
      </c>
      <c r="E211" s="398">
        <v>0.92681291200000004</v>
      </c>
      <c r="G211" s="259" t="s">
        <v>115</v>
      </c>
      <c r="H211" s="259">
        <v>1</v>
      </c>
      <c r="I211" s="260">
        <v>51502</v>
      </c>
      <c r="J211" s="260"/>
      <c r="L211" s="259" t="s">
        <v>116</v>
      </c>
      <c r="O211" s="259" t="s">
        <v>191</v>
      </c>
      <c r="P211" s="259" t="s">
        <v>192</v>
      </c>
      <c r="S211" s="259">
        <f t="shared" si="5"/>
        <v>2041</v>
      </c>
    </row>
    <row r="212" spans="1:19">
      <c r="A212" s="259" t="s">
        <v>111</v>
      </c>
      <c r="B212" s="259" t="s">
        <v>112</v>
      </c>
      <c r="C212" s="259" t="s">
        <v>194</v>
      </c>
      <c r="D212" s="259" t="s">
        <v>114</v>
      </c>
      <c r="E212" s="398">
        <v>0.92946074099999998</v>
      </c>
      <c r="G212" s="259" t="s">
        <v>115</v>
      </c>
      <c r="H212" s="259">
        <v>1</v>
      </c>
      <c r="I212" s="260">
        <v>51867</v>
      </c>
      <c r="J212" s="260"/>
      <c r="L212" s="259" t="s">
        <v>116</v>
      </c>
      <c r="O212" s="259" t="s">
        <v>191</v>
      </c>
      <c r="P212" s="259" t="s">
        <v>192</v>
      </c>
      <c r="S212" s="259">
        <f t="shared" si="5"/>
        <v>2042</v>
      </c>
    </row>
    <row r="213" spans="1:19">
      <c r="A213" s="259" t="s">
        <v>111</v>
      </c>
      <c r="B213" s="259" t="s">
        <v>112</v>
      </c>
      <c r="C213" s="259" t="s">
        <v>194</v>
      </c>
      <c r="D213" s="259" t="s">
        <v>114</v>
      </c>
      <c r="E213" s="398">
        <v>0.93178355700000004</v>
      </c>
      <c r="G213" s="259" t="s">
        <v>115</v>
      </c>
      <c r="H213" s="259">
        <v>1</v>
      </c>
      <c r="I213" s="260">
        <v>52232</v>
      </c>
      <c r="J213" s="260"/>
      <c r="L213" s="259" t="s">
        <v>116</v>
      </c>
      <c r="O213" s="259" t="s">
        <v>191</v>
      </c>
      <c r="P213" s="259" t="s">
        <v>192</v>
      </c>
      <c r="S213" s="259">
        <f t="shared" si="5"/>
        <v>2043</v>
      </c>
    </row>
    <row r="214" spans="1:19">
      <c r="A214" s="259" t="s">
        <v>111</v>
      </c>
      <c r="B214" s="259" t="s">
        <v>112</v>
      </c>
      <c r="C214" s="259" t="s">
        <v>194</v>
      </c>
      <c r="D214" s="259" t="s">
        <v>114</v>
      </c>
      <c r="E214" s="398">
        <v>0.93376592999999997</v>
      </c>
      <c r="G214" s="259" t="s">
        <v>115</v>
      </c>
      <c r="H214" s="259">
        <v>1</v>
      </c>
      <c r="I214" s="260">
        <v>52597</v>
      </c>
      <c r="J214" s="260"/>
      <c r="L214" s="259" t="s">
        <v>116</v>
      </c>
      <c r="O214" s="259" t="s">
        <v>191</v>
      </c>
      <c r="P214" s="259" t="s">
        <v>192</v>
      </c>
      <c r="S214" s="259">
        <f t="shared" si="5"/>
        <v>2044</v>
      </c>
    </row>
    <row r="215" spans="1:19">
      <c r="A215" s="259" t="s">
        <v>111</v>
      </c>
      <c r="B215" s="259" t="s">
        <v>112</v>
      </c>
      <c r="C215" s="259" t="s">
        <v>194</v>
      </c>
      <c r="D215" s="259" t="s">
        <v>114</v>
      </c>
      <c r="E215" s="398">
        <v>0.93539191499999996</v>
      </c>
      <c r="G215" s="259" t="s">
        <v>115</v>
      </c>
      <c r="H215" s="259">
        <v>1</v>
      </c>
      <c r="I215" s="260">
        <v>52963</v>
      </c>
      <c r="J215" s="260"/>
      <c r="L215" s="259" t="s">
        <v>116</v>
      </c>
      <c r="O215" s="259" t="s">
        <v>191</v>
      </c>
      <c r="P215" s="259" t="s">
        <v>192</v>
      </c>
      <c r="S215" s="259">
        <f t="shared" si="5"/>
        <v>2045</v>
      </c>
    </row>
    <row r="217" spans="1:19">
      <c r="A217" s="259" t="s">
        <v>195</v>
      </c>
      <c r="C217" s="275">
        <v>6.3799999999999996E-2</v>
      </c>
    </row>
    <row r="219" spans="1:19" s="257" customFormat="1">
      <c r="A219" s="257" t="s">
        <v>95</v>
      </c>
      <c r="B219" s="257" t="s">
        <v>96</v>
      </c>
      <c r="C219" s="257" t="s">
        <v>97</v>
      </c>
      <c r="D219" s="257" t="s">
        <v>98</v>
      </c>
      <c r="E219" s="257" t="s">
        <v>99</v>
      </c>
      <c r="F219" s="257" t="s">
        <v>100</v>
      </c>
      <c r="G219" s="257" t="s">
        <v>101</v>
      </c>
      <c r="H219" s="257" t="s">
        <v>102</v>
      </c>
      <c r="I219" s="257" t="s">
        <v>103</v>
      </c>
      <c r="J219" s="257" t="s">
        <v>104</v>
      </c>
      <c r="K219" s="257" t="s">
        <v>105</v>
      </c>
      <c r="L219" s="257" t="s">
        <v>106</v>
      </c>
      <c r="M219" s="257" t="s">
        <v>107</v>
      </c>
      <c r="N219" s="257" t="s">
        <v>108</v>
      </c>
      <c r="O219" s="257" t="s">
        <v>109</v>
      </c>
      <c r="P219" s="257" t="s">
        <v>110</v>
      </c>
      <c r="S219" s="257" t="s">
        <v>0</v>
      </c>
    </row>
    <row r="220" spans="1:19">
      <c r="A220" s="259" t="s">
        <v>111</v>
      </c>
      <c r="B220" s="259" t="s">
        <v>112</v>
      </c>
      <c r="C220" s="259" t="s">
        <v>160</v>
      </c>
      <c r="D220" s="259" t="s">
        <v>114</v>
      </c>
      <c r="E220" s="398">
        <v>1.015349032</v>
      </c>
      <c r="G220" s="259" t="s">
        <v>115</v>
      </c>
      <c r="H220" s="259">
        <v>1</v>
      </c>
      <c r="I220" s="260">
        <v>45658</v>
      </c>
      <c r="J220" s="260"/>
      <c r="L220" s="259" t="s">
        <v>116</v>
      </c>
      <c r="O220" s="259" t="s">
        <v>191</v>
      </c>
      <c r="P220" s="259" t="s">
        <v>192</v>
      </c>
      <c r="S220" s="259">
        <f>YEAR(I220)</f>
        <v>2025</v>
      </c>
    </row>
    <row r="221" spans="1:19">
      <c r="A221" s="259" t="s">
        <v>111</v>
      </c>
      <c r="B221" s="259" t="s">
        <v>112</v>
      </c>
      <c r="C221" s="259" t="s">
        <v>160</v>
      </c>
      <c r="D221" s="259" t="s">
        <v>114</v>
      </c>
      <c r="E221" s="398">
        <v>1.0134574789999999</v>
      </c>
      <c r="G221" s="259" t="s">
        <v>115</v>
      </c>
      <c r="H221" s="259">
        <v>1</v>
      </c>
      <c r="I221" s="260">
        <v>46023</v>
      </c>
      <c r="J221" s="260"/>
      <c r="L221" s="259" t="s">
        <v>116</v>
      </c>
      <c r="O221" s="259" t="s">
        <v>191</v>
      </c>
      <c r="P221" s="259" t="s">
        <v>192</v>
      </c>
      <c r="S221" s="259">
        <f t="shared" ref="S221:S240" si="6">YEAR(I221)</f>
        <v>2026</v>
      </c>
    </row>
    <row r="222" spans="1:19">
      <c r="A222" s="259" t="s">
        <v>111</v>
      </c>
      <c r="B222" s="259" t="s">
        <v>112</v>
      </c>
      <c r="C222" s="259" t="s">
        <v>160</v>
      </c>
      <c r="D222" s="259" t="s">
        <v>114</v>
      </c>
      <c r="E222" s="398">
        <v>1.0110009200000001</v>
      </c>
      <c r="G222" s="259" t="s">
        <v>115</v>
      </c>
      <c r="H222" s="259">
        <v>1</v>
      </c>
      <c r="I222" s="260">
        <v>46388</v>
      </c>
      <c r="J222" s="260"/>
      <c r="L222" s="259" t="s">
        <v>116</v>
      </c>
      <c r="O222" s="259" t="s">
        <v>191</v>
      </c>
      <c r="P222" s="259" t="s">
        <v>192</v>
      </c>
      <c r="S222" s="259">
        <f t="shared" si="6"/>
        <v>2027</v>
      </c>
    </row>
    <row r="223" spans="1:19">
      <c r="A223" s="259" t="s">
        <v>111</v>
      </c>
      <c r="B223" s="259" t="s">
        <v>112</v>
      </c>
      <c r="C223" s="259" t="s">
        <v>160</v>
      </c>
      <c r="D223" s="259" t="s">
        <v>114</v>
      </c>
      <c r="E223" s="398">
        <v>1.0079556199999999</v>
      </c>
      <c r="G223" s="259" t="s">
        <v>115</v>
      </c>
      <c r="H223" s="259">
        <v>1</v>
      </c>
      <c r="I223" s="260">
        <v>46753</v>
      </c>
      <c r="J223" s="260"/>
      <c r="L223" s="259" t="s">
        <v>116</v>
      </c>
      <c r="O223" s="259" t="s">
        <v>191</v>
      </c>
      <c r="P223" s="259" t="s">
        <v>192</v>
      </c>
      <c r="S223" s="259">
        <f t="shared" si="6"/>
        <v>2028</v>
      </c>
    </row>
    <row r="224" spans="1:19">
      <c r="A224" s="259" t="s">
        <v>111</v>
      </c>
      <c r="B224" s="259" t="s">
        <v>112</v>
      </c>
      <c r="C224" s="259" t="s">
        <v>160</v>
      </c>
      <c r="D224" s="259" t="s">
        <v>114</v>
      </c>
      <c r="E224" s="398">
        <v>1.0042970769999999</v>
      </c>
      <c r="G224" s="259" t="s">
        <v>115</v>
      </c>
      <c r="H224" s="259">
        <v>1</v>
      </c>
      <c r="I224" s="260">
        <v>47119</v>
      </c>
      <c r="J224" s="260"/>
      <c r="L224" s="259" t="s">
        <v>116</v>
      </c>
      <c r="O224" s="259" t="s">
        <v>191</v>
      </c>
      <c r="P224" s="259" t="s">
        <v>192</v>
      </c>
      <c r="S224" s="259">
        <f t="shared" si="6"/>
        <v>2029</v>
      </c>
    </row>
    <row r="225" spans="1:19">
      <c r="A225" s="259" t="s">
        <v>111</v>
      </c>
      <c r="B225" s="259" t="s">
        <v>112</v>
      </c>
      <c r="C225" s="259" t="s">
        <v>160</v>
      </c>
      <c r="D225" s="259" t="s">
        <v>114</v>
      </c>
      <c r="E225" s="398">
        <v>1</v>
      </c>
      <c r="G225" s="259" t="s">
        <v>115</v>
      </c>
      <c r="H225" s="259">
        <v>1</v>
      </c>
      <c r="I225" s="260">
        <v>47484</v>
      </c>
      <c r="J225" s="260"/>
      <c r="L225" s="259" t="s">
        <v>116</v>
      </c>
      <c r="O225" s="259" t="s">
        <v>191</v>
      </c>
      <c r="P225" s="259" t="s">
        <v>192</v>
      </c>
      <c r="S225" s="259">
        <f t="shared" si="6"/>
        <v>2030</v>
      </c>
    </row>
    <row r="226" spans="1:19">
      <c r="A226" s="259" t="s">
        <v>111</v>
      </c>
      <c r="B226" s="259" t="s">
        <v>112</v>
      </c>
      <c r="C226" s="259" t="s">
        <v>160</v>
      </c>
      <c r="D226" s="259" t="s">
        <v>114</v>
      </c>
      <c r="E226" s="398">
        <v>0.99503828900000002</v>
      </c>
      <c r="G226" s="259" t="s">
        <v>115</v>
      </c>
      <c r="H226" s="259">
        <v>1</v>
      </c>
      <c r="I226" s="260">
        <v>47849</v>
      </c>
      <c r="J226" s="260"/>
      <c r="L226" s="259" t="s">
        <v>116</v>
      </c>
      <c r="O226" s="259" t="s">
        <v>191</v>
      </c>
      <c r="P226" s="259" t="s">
        <v>192</v>
      </c>
      <c r="S226" s="259">
        <f t="shared" si="6"/>
        <v>2031</v>
      </c>
    </row>
    <row r="227" spans="1:19">
      <c r="A227" s="259" t="s">
        <v>111</v>
      </c>
      <c r="B227" s="259" t="s">
        <v>112</v>
      </c>
      <c r="C227" s="259" t="s">
        <v>160</v>
      </c>
      <c r="D227" s="259" t="s">
        <v>114</v>
      </c>
      <c r="E227" s="398">
        <v>1.006562822</v>
      </c>
      <c r="G227" s="259" t="s">
        <v>115</v>
      </c>
      <c r="H227" s="259">
        <v>1</v>
      </c>
      <c r="I227" s="260">
        <v>48214</v>
      </c>
      <c r="J227" s="260"/>
      <c r="L227" s="259" t="s">
        <v>116</v>
      </c>
      <c r="O227" s="259" t="s">
        <v>191</v>
      </c>
      <c r="P227" s="259" t="s">
        <v>192</v>
      </c>
      <c r="S227" s="259">
        <f t="shared" si="6"/>
        <v>2032</v>
      </c>
    </row>
    <row r="228" spans="1:19">
      <c r="A228" s="259" t="s">
        <v>111</v>
      </c>
      <c r="B228" s="259" t="s">
        <v>112</v>
      </c>
      <c r="C228" s="259" t="s">
        <v>160</v>
      </c>
      <c r="D228" s="259" t="s">
        <v>114</v>
      </c>
      <c r="E228" s="398">
        <v>1.0181169430000001</v>
      </c>
      <c r="G228" s="259" t="s">
        <v>115</v>
      </c>
      <c r="H228" s="259">
        <v>1</v>
      </c>
      <c r="I228" s="260">
        <v>48580</v>
      </c>
      <c r="J228" s="260"/>
      <c r="L228" s="259" t="s">
        <v>116</v>
      </c>
      <c r="O228" s="259" t="s">
        <v>191</v>
      </c>
      <c r="P228" s="259" t="s">
        <v>192</v>
      </c>
      <c r="S228" s="259">
        <f t="shared" si="6"/>
        <v>2033</v>
      </c>
    </row>
    <row r="229" spans="1:19">
      <c r="A229" s="259" t="s">
        <v>111</v>
      </c>
      <c r="B229" s="259" t="s">
        <v>112</v>
      </c>
      <c r="C229" s="259" t="s">
        <v>160</v>
      </c>
      <c r="D229" s="259" t="s">
        <v>114</v>
      </c>
      <c r="E229" s="398">
        <v>1.029696465</v>
      </c>
      <c r="G229" s="259" t="s">
        <v>115</v>
      </c>
      <c r="H229" s="259">
        <v>1</v>
      </c>
      <c r="I229" s="260">
        <v>48945</v>
      </c>
      <c r="J229" s="260"/>
      <c r="L229" s="259" t="s">
        <v>116</v>
      </c>
      <c r="O229" s="259" t="s">
        <v>191</v>
      </c>
      <c r="P229" s="259" t="s">
        <v>192</v>
      </c>
      <c r="S229" s="259">
        <f t="shared" si="6"/>
        <v>2034</v>
      </c>
    </row>
    <row r="230" spans="1:19">
      <c r="A230" s="259" t="s">
        <v>111</v>
      </c>
      <c r="B230" s="259" t="s">
        <v>112</v>
      </c>
      <c r="C230" s="259" t="s">
        <v>160</v>
      </c>
      <c r="D230" s="259" t="s">
        <v>114</v>
      </c>
      <c r="E230" s="398">
        <v>1.041297004</v>
      </c>
      <c r="G230" s="259" t="s">
        <v>115</v>
      </c>
      <c r="H230" s="259">
        <v>1</v>
      </c>
      <c r="I230" s="260">
        <v>49310</v>
      </c>
      <c r="J230" s="260"/>
      <c r="L230" s="259" t="s">
        <v>116</v>
      </c>
      <c r="O230" s="259" t="s">
        <v>191</v>
      </c>
      <c r="P230" s="259" t="s">
        <v>192</v>
      </c>
      <c r="S230" s="259">
        <f t="shared" si="6"/>
        <v>2035</v>
      </c>
    </row>
    <row r="231" spans="1:19">
      <c r="A231" s="259" t="s">
        <v>111</v>
      </c>
      <c r="B231" s="259" t="s">
        <v>112</v>
      </c>
      <c r="C231" s="259" t="s">
        <v>160</v>
      </c>
      <c r="D231" s="259" t="s">
        <v>114</v>
      </c>
      <c r="E231" s="398">
        <v>1.052913974</v>
      </c>
      <c r="G231" s="259" t="s">
        <v>115</v>
      </c>
      <c r="H231" s="259">
        <v>1</v>
      </c>
      <c r="I231" s="260">
        <v>49675</v>
      </c>
      <c r="J231" s="260"/>
      <c r="L231" s="259" t="s">
        <v>116</v>
      </c>
      <c r="O231" s="259" t="s">
        <v>191</v>
      </c>
      <c r="P231" s="259" t="s">
        <v>192</v>
      </c>
      <c r="S231" s="259">
        <f t="shared" si="6"/>
        <v>2036</v>
      </c>
    </row>
    <row r="232" spans="1:19">
      <c r="A232" s="259" t="s">
        <v>111</v>
      </c>
      <c r="B232" s="259" t="s">
        <v>112</v>
      </c>
      <c r="C232" s="259" t="s">
        <v>160</v>
      </c>
      <c r="D232" s="259" t="s">
        <v>114</v>
      </c>
      <c r="E232" s="398">
        <v>1.064542578</v>
      </c>
      <c r="G232" s="259" t="s">
        <v>115</v>
      </c>
      <c r="H232" s="259">
        <v>1</v>
      </c>
      <c r="I232" s="260">
        <v>50041</v>
      </c>
      <c r="J232" s="260"/>
      <c r="L232" s="259" t="s">
        <v>116</v>
      </c>
      <c r="O232" s="259" t="s">
        <v>191</v>
      </c>
      <c r="P232" s="259" t="s">
        <v>192</v>
      </c>
      <c r="S232" s="259">
        <f t="shared" si="6"/>
        <v>2037</v>
      </c>
    </row>
    <row r="233" spans="1:19">
      <c r="A233" s="259" t="s">
        <v>111</v>
      </c>
      <c r="B233" s="259" t="s">
        <v>112</v>
      </c>
      <c r="C233" s="259" t="s">
        <v>160</v>
      </c>
      <c r="D233" s="259" t="s">
        <v>114</v>
      </c>
      <c r="E233" s="398">
        <v>1.076177801</v>
      </c>
      <c r="G233" s="259" t="s">
        <v>115</v>
      </c>
      <c r="H233" s="259">
        <v>1</v>
      </c>
      <c r="I233" s="260">
        <v>50406</v>
      </c>
      <c r="J233" s="260"/>
      <c r="L233" s="259" t="s">
        <v>116</v>
      </c>
      <c r="O233" s="259" t="s">
        <v>191</v>
      </c>
      <c r="P233" s="259" t="s">
        <v>192</v>
      </c>
      <c r="S233" s="259">
        <f t="shared" si="6"/>
        <v>2038</v>
      </c>
    </row>
    <row r="234" spans="1:19">
      <c r="A234" s="259" t="s">
        <v>111</v>
      </c>
      <c r="B234" s="259" t="s">
        <v>112</v>
      </c>
      <c r="C234" s="259" t="s">
        <v>160</v>
      </c>
      <c r="D234" s="259" t="s">
        <v>114</v>
      </c>
      <c r="E234" s="398">
        <v>1.0878144080000001</v>
      </c>
      <c r="G234" s="259" t="s">
        <v>115</v>
      </c>
      <c r="H234" s="259">
        <v>1</v>
      </c>
      <c r="I234" s="260">
        <v>50771</v>
      </c>
      <c r="J234" s="260"/>
      <c r="L234" s="259" t="s">
        <v>116</v>
      </c>
      <c r="O234" s="259" t="s">
        <v>191</v>
      </c>
      <c r="P234" s="259" t="s">
        <v>192</v>
      </c>
      <c r="S234" s="259">
        <f t="shared" si="6"/>
        <v>2039</v>
      </c>
    </row>
    <row r="235" spans="1:19">
      <c r="A235" s="259" t="s">
        <v>111</v>
      </c>
      <c r="B235" s="259" t="s">
        <v>112</v>
      </c>
      <c r="C235" s="259" t="s">
        <v>160</v>
      </c>
      <c r="D235" s="259" t="s">
        <v>114</v>
      </c>
      <c r="E235" s="398">
        <v>1.0994469280000001</v>
      </c>
      <c r="G235" s="259" t="s">
        <v>115</v>
      </c>
      <c r="H235" s="259">
        <v>1</v>
      </c>
      <c r="I235" s="260">
        <v>51136</v>
      </c>
      <c r="J235" s="260"/>
      <c r="L235" s="259" t="s">
        <v>116</v>
      </c>
      <c r="O235" s="259" t="s">
        <v>191</v>
      </c>
      <c r="P235" s="259" t="s">
        <v>192</v>
      </c>
      <c r="S235" s="259">
        <f t="shared" si="6"/>
        <v>2040</v>
      </c>
    </row>
    <row r="236" spans="1:19">
      <c r="A236" s="259" t="s">
        <v>111</v>
      </c>
      <c r="B236" s="259" t="s">
        <v>112</v>
      </c>
      <c r="C236" s="259" t="s">
        <v>160</v>
      </c>
      <c r="D236" s="259" t="s">
        <v>114</v>
      </c>
      <c r="E236" s="398">
        <v>1.1110696520000001</v>
      </c>
      <c r="G236" s="259" t="s">
        <v>115</v>
      </c>
      <c r="H236" s="259">
        <v>1</v>
      </c>
      <c r="I236" s="260">
        <v>51502</v>
      </c>
      <c r="J236" s="260"/>
      <c r="L236" s="259" t="s">
        <v>116</v>
      </c>
      <c r="O236" s="259" t="s">
        <v>191</v>
      </c>
      <c r="P236" s="259" t="s">
        <v>192</v>
      </c>
      <c r="S236" s="259">
        <f t="shared" si="6"/>
        <v>2041</v>
      </c>
    </row>
    <row r="237" spans="1:19">
      <c r="A237" s="259" t="s">
        <v>111</v>
      </c>
      <c r="B237" s="259" t="s">
        <v>112</v>
      </c>
      <c r="C237" s="259" t="s">
        <v>160</v>
      </c>
      <c r="D237" s="259" t="s">
        <v>114</v>
      </c>
      <c r="E237" s="398">
        <v>1.1226766260000001</v>
      </c>
      <c r="G237" s="259" t="s">
        <v>115</v>
      </c>
      <c r="H237" s="259">
        <v>1</v>
      </c>
      <c r="I237" s="260">
        <v>51867</v>
      </c>
      <c r="J237" s="260"/>
      <c r="L237" s="259" t="s">
        <v>116</v>
      </c>
      <c r="O237" s="259" t="s">
        <v>191</v>
      </c>
      <c r="P237" s="259" t="s">
        <v>192</v>
      </c>
      <c r="S237" s="259">
        <f t="shared" si="6"/>
        <v>2042</v>
      </c>
    </row>
    <row r="238" spans="1:19">
      <c r="A238" s="259" t="s">
        <v>111</v>
      </c>
      <c r="B238" s="259" t="s">
        <v>112</v>
      </c>
      <c r="C238" s="259" t="s">
        <v>160</v>
      </c>
      <c r="D238" s="259" t="s">
        <v>114</v>
      </c>
      <c r="E238" s="398">
        <v>1.1342616400000001</v>
      </c>
      <c r="G238" s="259" t="s">
        <v>115</v>
      </c>
      <c r="H238" s="259">
        <v>1</v>
      </c>
      <c r="I238" s="260">
        <v>52232</v>
      </c>
      <c r="J238" s="260"/>
      <c r="L238" s="259" t="s">
        <v>116</v>
      </c>
      <c r="O238" s="259" t="s">
        <v>191</v>
      </c>
      <c r="P238" s="259" t="s">
        <v>192</v>
      </c>
      <c r="S238" s="259">
        <f t="shared" si="6"/>
        <v>2043</v>
      </c>
    </row>
    <row r="239" spans="1:19">
      <c r="A239" s="259" t="s">
        <v>111</v>
      </c>
      <c r="B239" s="259" t="s">
        <v>112</v>
      </c>
      <c r="C239" s="259" t="s">
        <v>160</v>
      </c>
      <c r="D239" s="259" t="s">
        <v>114</v>
      </c>
      <c r="E239" s="398">
        <v>1.14581822</v>
      </c>
      <c r="G239" s="259" t="s">
        <v>115</v>
      </c>
      <c r="H239" s="259">
        <v>1</v>
      </c>
      <c r="I239" s="260">
        <v>52597</v>
      </c>
      <c r="J239" s="260"/>
      <c r="L239" s="259" t="s">
        <v>116</v>
      </c>
      <c r="O239" s="259" t="s">
        <v>191</v>
      </c>
      <c r="P239" s="259" t="s">
        <v>192</v>
      </c>
      <c r="S239" s="259">
        <f t="shared" si="6"/>
        <v>2044</v>
      </c>
    </row>
    <row r="240" spans="1:19">
      <c r="A240" s="259" t="s">
        <v>111</v>
      </c>
      <c r="B240" s="259" t="s">
        <v>112</v>
      </c>
      <c r="C240" s="259" t="s">
        <v>160</v>
      </c>
      <c r="D240" s="259" t="s">
        <v>114</v>
      </c>
      <c r="E240" s="398">
        <v>1.157339619</v>
      </c>
      <c r="G240" s="259" t="s">
        <v>115</v>
      </c>
      <c r="H240" s="259">
        <v>1</v>
      </c>
      <c r="I240" s="260">
        <v>52963</v>
      </c>
      <c r="J240" s="260"/>
      <c r="L240" s="259" t="s">
        <v>116</v>
      </c>
      <c r="O240" s="259" t="s">
        <v>191</v>
      </c>
      <c r="P240" s="259" t="s">
        <v>192</v>
      </c>
      <c r="S240" s="259">
        <f t="shared" si="6"/>
        <v>2045</v>
      </c>
    </row>
    <row r="242" spans="1:19">
      <c r="A242" s="257" t="s">
        <v>95</v>
      </c>
      <c r="B242" s="257" t="s">
        <v>96</v>
      </c>
      <c r="C242" s="257" t="s">
        <v>97</v>
      </c>
      <c r="D242" s="257" t="s">
        <v>98</v>
      </c>
      <c r="E242" s="257" t="s">
        <v>99</v>
      </c>
      <c r="F242" s="257" t="s">
        <v>100</v>
      </c>
      <c r="G242" s="257" t="s">
        <v>101</v>
      </c>
      <c r="H242" s="257" t="s">
        <v>102</v>
      </c>
      <c r="I242" s="257" t="s">
        <v>103</v>
      </c>
      <c r="J242" s="257" t="s">
        <v>104</v>
      </c>
      <c r="K242" s="257" t="s">
        <v>105</v>
      </c>
      <c r="L242" s="257" t="s">
        <v>106</v>
      </c>
      <c r="M242" s="257" t="s">
        <v>107</v>
      </c>
      <c r="N242" s="257" t="s">
        <v>108</v>
      </c>
      <c r="O242" s="257" t="s">
        <v>109</v>
      </c>
      <c r="P242" s="257" t="s">
        <v>110</v>
      </c>
      <c r="S242" s="257" t="s">
        <v>0</v>
      </c>
    </row>
    <row r="243" spans="1:19">
      <c r="A243" s="259" t="s">
        <v>111</v>
      </c>
      <c r="B243" s="259" t="s">
        <v>112</v>
      </c>
      <c r="C243" s="259" t="s">
        <v>118</v>
      </c>
      <c r="D243" s="259" t="s">
        <v>114</v>
      </c>
      <c r="E243" s="259">
        <v>39.78</v>
      </c>
      <c r="G243" s="259" t="s">
        <v>115</v>
      </c>
      <c r="H243" s="259">
        <v>1</v>
      </c>
      <c r="I243" s="260">
        <v>45658</v>
      </c>
      <c r="J243" s="260"/>
      <c r="L243" s="259" t="s">
        <v>116</v>
      </c>
      <c r="P243" s="259" t="s">
        <v>138</v>
      </c>
      <c r="S243" s="259">
        <f>YEAR(I243)</f>
        <v>2025</v>
      </c>
    </row>
    <row r="244" spans="1:19">
      <c r="A244" s="259" t="s">
        <v>111</v>
      </c>
      <c r="B244" s="259" t="s">
        <v>112</v>
      </c>
      <c r="C244" s="259" t="s">
        <v>118</v>
      </c>
      <c r="D244" s="259" t="s">
        <v>114</v>
      </c>
      <c r="E244" s="259">
        <v>39.78</v>
      </c>
      <c r="G244" s="259" t="s">
        <v>115</v>
      </c>
      <c r="H244" s="259">
        <v>1</v>
      </c>
      <c r="I244" s="260">
        <v>46023</v>
      </c>
      <c r="J244" s="260"/>
      <c r="L244" s="259" t="s">
        <v>116</v>
      </c>
      <c r="P244" s="259" t="s">
        <v>138</v>
      </c>
      <c r="S244" s="259">
        <f t="shared" ref="S244:S272" si="7">YEAR(I244)</f>
        <v>2026</v>
      </c>
    </row>
    <row r="245" spans="1:19">
      <c r="A245" s="259" t="s">
        <v>111</v>
      </c>
      <c r="B245" s="259" t="s">
        <v>112</v>
      </c>
      <c r="C245" s="259" t="s">
        <v>118</v>
      </c>
      <c r="D245" s="259" t="s">
        <v>114</v>
      </c>
      <c r="E245" s="259">
        <v>41.11</v>
      </c>
      <c r="G245" s="259" t="s">
        <v>115</v>
      </c>
      <c r="H245" s="259">
        <v>1</v>
      </c>
      <c r="I245" s="260">
        <v>46388</v>
      </c>
      <c r="J245" s="260"/>
      <c r="L245" s="259" t="s">
        <v>116</v>
      </c>
      <c r="P245" s="259" t="s">
        <v>138</v>
      </c>
      <c r="S245" s="259">
        <f t="shared" si="7"/>
        <v>2027</v>
      </c>
    </row>
    <row r="246" spans="1:19">
      <c r="A246" s="259" t="s">
        <v>111</v>
      </c>
      <c r="B246" s="259" t="s">
        <v>112</v>
      </c>
      <c r="C246" s="259" t="s">
        <v>118</v>
      </c>
      <c r="D246" s="259" t="s">
        <v>114</v>
      </c>
      <c r="E246" s="259">
        <v>42.43</v>
      </c>
      <c r="G246" s="259" t="s">
        <v>115</v>
      </c>
      <c r="H246" s="259">
        <v>1</v>
      </c>
      <c r="I246" s="260">
        <v>46753</v>
      </c>
      <c r="J246" s="260"/>
      <c r="L246" s="259" t="s">
        <v>116</v>
      </c>
      <c r="P246" s="259" t="s">
        <v>138</v>
      </c>
      <c r="S246" s="259">
        <f t="shared" si="7"/>
        <v>2028</v>
      </c>
    </row>
    <row r="247" spans="1:19">
      <c r="A247" s="259" t="s">
        <v>111</v>
      </c>
      <c r="B247" s="259" t="s">
        <v>112</v>
      </c>
      <c r="C247" s="259" t="s">
        <v>118</v>
      </c>
      <c r="D247" s="259" t="s">
        <v>114</v>
      </c>
      <c r="E247" s="259">
        <v>42.43</v>
      </c>
      <c r="G247" s="259" t="s">
        <v>115</v>
      </c>
      <c r="H247" s="259">
        <v>1</v>
      </c>
      <c r="I247" s="260">
        <v>47119</v>
      </c>
      <c r="J247" s="260"/>
      <c r="L247" s="259" t="s">
        <v>116</v>
      </c>
      <c r="P247" s="259" t="s">
        <v>138</v>
      </c>
      <c r="S247" s="259">
        <f t="shared" si="7"/>
        <v>2029</v>
      </c>
    </row>
    <row r="248" spans="1:19">
      <c r="A248" s="259" t="s">
        <v>111</v>
      </c>
      <c r="B248" s="259" t="s">
        <v>112</v>
      </c>
      <c r="C248" s="259" t="s">
        <v>118</v>
      </c>
      <c r="D248" s="259" t="s">
        <v>114</v>
      </c>
      <c r="E248" s="259">
        <v>43.76</v>
      </c>
      <c r="G248" s="259" t="s">
        <v>115</v>
      </c>
      <c r="H248" s="259">
        <v>1</v>
      </c>
      <c r="I248" s="260">
        <v>47484</v>
      </c>
      <c r="J248" s="260"/>
      <c r="L248" s="259" t="s">
        <v>116</v>
      </c>
      <c r="P248" s="259" t="s">
        <v>138</v>
      </c>
      <c r="S248" s="259">
        <f t="shared" si="7"/>
        <v>2030</v>
      </c>
    </row>
    <row r="249" spans="1:19">
      <c r="A249" s="259" t="s">
        <v>111</v>
      </c>
      <c r="B249" s="259" t="s">
        <v>112</v>
      </c>
      <c r="C249" s="259" t="s">
        <v>118</v>
      </c>
      <c r="D249" s="259" t="s">
        <v>114</v>
      </c>
      <c r="E249" s="259">
        <v>45.08</v>
      </c>
      <c r="G249" s="259" t="s">
        <v>115</v>
      </c>
      <c r="H249" s="259">
        <v>1</v>
      </c>
      <c r="I249" s="260">
        <v>47849</v>
      </c>
      <c r="J249" s="260"/>
      <c r="L249" s="259" t="s">
        <v>116</v>
      </c>
      <c r="P249" s="259" t="s">
        <v>138</v>
      </c>
      <c r="S249" s="259">
        <f t="shared" si="7"/>
        <v>2031</v>
      </c>
    </row>
    <row r="250" spans="1:19">
      <c r="A250" s="259" t="s">
        <v>111</v>
      </c>
      <c r="B250" s="259" t="s">
        <v>112</v>
      </c>
      <c r="C250" s="259" t="s">
        <v>118</v>
      </c>
      <c r="D250" s="259" t="s">
        <v>114</v>
      </c>
      <c r="E250" s="259">
        <v>45.08</v>
      </c>
      <c r="G250" s="259" t="s">
        <v>115</v>
      </c>
      <c r="H250" s="259">
        <v>1</v>
      </c>
      <c r="I250" s="260">
        <v>48214</v>
      </c>
      <c r="J250" s="260"/>
      <c r="L250" s="259" t="s">
        <v>116</v>
      </c>
      <c r="P250" s="259" t="s">
        <v>138</v>
      </c>
      <c r="S250" s="259">
        <f t="shared" si="7"/>
        <v>2032</v>
      </c>
    </row>
    <row r="251" spans="1:19">
      <c r="A251" s="259" t="s">
        <v>111</v>
      </c>
      <c r="B251" s="259" t="s">
        <v>112</v>
      </c>
      <c r="C251" s="259" t="s">
        <v>118</v>
      </c>
      <c r="D251" s="259" t="s">
        <v>114</v>
      </c>
      <c r="E251" s="259">
        <v>46.41</v>
      </c>
      <c r="G251" s="259" t="s">
        <v>115</v>
      </c>
      <c r="H251" s="259">
        <v>1</v>
      </c>
      <c r="I251" s="260">
        <v>48580</v>
      </c>
      <c r="J251" s="260"/>
      <c r="L251" s="259" t="s">
        <v>116</v>
      </c>
      <c r="P251" s="259" t="s">
        <v>138</v>
      </c>
      <c r="S251" s="259">
        <f t="shared" si="7"/>
        <v>2033</v>
      </c>
    </row>
    <row r="252" spans="1:19">
      <c r="A252" s="259" t="s">
        <v>111</v>
      </c>
      <c r="B252" s="259" t="s">
        <v>112</v>
      </c>
      <c r="C252" s="259" t="s">
        <v>118</v>
      </c>
      <c r="D252" s="259" t="s">
        <v>114</v>
      </c>
      <c r="E252" s="259">
        <v>47.74</v>
      </c>
      <c r="G252" s="259" t="s">
        <v>115</v>
      </c>
      <c r="H252" s="259">
        <v>1</v>
      </c>
      <c r="I252" s="260">
        <v>48945</v>
      </c>
      <c r="J252" s="260"/>
      <c r="L252" s="259" t="s">
        <v>116</v>
      </c>
      <c r="P252" s="259" t="s">
        <v>138</v>
      </c>
      <c r="S252" s="259">
        <f t="shared" si="7"/>
        <v>2034</v>
      </c>
    </row>
    <row r="253" spans="1:19">
      <c r="A253" s="259" t="s">
        <v>111</v>
      </c>
      <c r="B253" s="259" t="s">
        <v>112</v>
      </c>
      <c r="C253" s="259" t="s">
        <v>118</v>
      </c>
      <c r="D253" s="259" t="s">
        <v>114</v>
      </c>
      <c r="E253" s="259">
        <v>47.74</v>
      </c>
      <c r="G253" s="259" t="s">
        <v>115</v>
      </c>
      <c r="H253" s="259">
        <v>1</v>
      </c>
      <c r="I253" s="260">
        <v>49310</v>
      </c>
      <c r="J253" s="260"/>
      <c r="L253" s="259" t="s">
        <v>116</v>
      </c>
      <c r="P253" s="259" t="s">
        <v>138</v>
      </c>
      <c r="S253" s="259">
        <f t="shared" si="7"/>
        <v>2035</v>
      </c>
    </row>
    <row r="254" spans="1:19">
      <c r="A254" s="259" t="s">
        <v>111</v>
      </c>
      <c r="B254" s="259" t="s">
        <v>112</v>
      </c>
      <c r="C254" s="259" t="s">
        <v>118</v>
      </c>
      <c r="D254" s="259" t="s">
        <v>114</v>
      </c>
      <c r="E254" s="259">
        <v>49.06</v>
      </c>
      <c r="G254" s="259" t="s">
        <v>115</v>
      </c>
      <c r="H254" s="259">
        <v>1</v>
      </c>
      <c r="I254" s="260">
        <v>49675</v>
      </c>
      <c r="J254" s="260"/>
      <c r="L254" s="259" t="s">
        <v>116</v>
      </c>
      <c r="P254" s="259" t="s">
        <v>138</v>
      </c>
      <c r="S254" s="259">
        <f t="shared" si="7"/>
        <v>2036</v>
      </c>
    </row>
    <row r="255" spans="1:19">
      <c r="A255" s="259" t="s">
        <v>111</v>
      </c>
      <c r="B255" s="259" t="s">
        <v>112</v>
      </c>
      <c r="C255" s="259" t="s">
        <v>118</v>
      </c>
      <c r="D255" s="259" t="s">
        <v>114</v>
      </c>
      <c r="E255" s="259">
        <v>50.39</v>
      </c>
      <c r="G255" s="259" t="s">
        <v>115</v>
      </c>
      <c r="H255" s="259">
        <v>1</v>
      </c>
      <c r="I255" s="260">
        <v>50041</v>
      </c>
      <c r="J255" s="260"/>
      <c r="L255" s="259" t="s">
        <v>116</v>
      </c>
      <c r="P255" s="259" t="s">
        <v>138</v>
      </c>
      <c r="S255" s="259">
        <f t="shared" si="7"/>
        <v>2037</v>
      </c>
    </row>
    <row r="256" spans="1:19">
      <c r="A256" s="259" t="s">
        <v>111</v>
      </c>
      <c r="B256" s="259" t="s">
        <v>112</v>
      </c>
      <c r="C256" s="259" t="s">
        <v>118</v>
      </c>
      <c r="D256" s="259" t="s">
        <v>114</v>
      </c>
      <c r="E256" s="259">
        <v>51.71</v>
      </c>
      <c r="G256" s="259" t="s">
        <v>115</v>
      </c>
      <c r="H256" s="259">
        <v>1</v>
      </c>
      <c r="I256" s="260">
        <v>50406</v>
      </c>
      <c r="J256" s="260"/>
      <c r="L256" s="259" t="s">
        <v>116</v>
      </c>
      <c r="P256" s="259" t="s">
        <v>138</v>
      </c>
      <c r="S256" s="259">
        <f t="shared" si="7"/>
        <v>2038</v>
      </c>
    </row>
    <row r="257" spans="1:19">
      <c r="A257" s="259" t="s">
        <v>111</v>
      </c>
      <c r="B257" s="259" t="s">
        <v>112</v>
      </c>
      <c r="C257" s="259" t="s">
        <v>118</v>
      </c>
      <c r="D257" s="259" t="s">
        <v>114</v>
      </c>
      <c r="E257" s="259">
        <v>51.71</v>
      </c>
      <c r="G257" s="259" t="s">
        <v>115</v>
      </c>
      <c r="H257" s="259">
        <v>1</v>
      </c>
      <c r="I257" s="260">
        <v>50771</v>
      </c>
      <c r="J257" s="260"/>
      <c r="L257" s="259" t="s">
        <v>116</v>
      </c>
      <c r="P257" s="259" t="s">
        <v>138</v>
      </c>
      <c r="S257" s="259">
        <f t="shared" si="7"/>
        <v>2039</v>
      </c>
    </row>
    <row r="258" spans="1:19">
      <c r="A258" s="259" t="s">
        <v>111</v>
      </c>
      <c r="B258" s="259" t="s">
        <v>112</v>
      </c>
      <c r="C258" s="259" t="s">
        <v>118</v>
      </c>
      <c r="D258" s="259" t="s">
        <v>114</v>
      </c>
      <c r="E258" s="259">
        <v>53.04</v>
      </c>
      <c r="G258" s="259" t="s">
        <v>115</v>
      </c>
      <c r="H258" s="259">
        <v>1</v>
      </c>
      <c r="I258" s="260">
        <v>51136</v>
      </c>
      <c r="J258" s="260"/>
      <c r="L258" s="259" t="s">
        <v>116</v>
      </c>
      <c r="P258" s="259" t="s">
        <v>138</v>
      </c>
      <c r="S258" s="259">
        <f t="shared" si="7"/>
        <v>2040</v>
      </c>
    </row>
    <row r="259" spans="1:19">
      <c r="A259" s="259" t="s">
        <v>111</v>
      </c>
      <c r="B259" s="259" t="s">
        <v>112</v>
      </c>
      <c r="C259" s="259" t="s">
        <v>118</v>
      </c>
      <c r="D259" s="259" t="s">
        <v>114</v>
      </c>
      <c r="E259" s="259">
        <v>54.37</v>
      </c>
      <c r="G259" s="259" t="s">
        <v>115</v>
      </c>
      <c r="H259" s="259">
        <v>1</v>
      </c>
      <c r="I259" s="260">
        <v>51502</v>
      </c>
      <c r="J259" s="260"/>
      <c r="L259" s="259" t="s">
        <v>116</v>
      </c>
      <c r="P259" s="259" t="s">
        <v>138</v>
      </c>
      <c r="S259" s="259">
        <f t="shared" si="7"/>
        <v>2041</v>
      </c>
    </row>
    <row r="260" spans="1:19">
      <c r="A260" s="259" t="s">
        <v>111</v>
      </c>
      <c r="B260" s="259" t="s">
        <v>112</v>
      </c>
      <c r="C260" s="259" t="s">
        <v>118</v>
      </c>
      <c r="D260" s="259" t="s">
        <v>114</v>
      </c>
      <c r="E260" s="259">
        <v>55.69</v>
      </c>
      <c r="G260" s="259" t="s">
        <v>115</v>
      </c>
      <c r="H260" s="259">
        <v>1</v>
      </c>
      <c r="I260" s="260">
        <v>51867</v>
      </c>
      <c r="J260" s="260"/>
      <c r="L260" s="259" t="s">
        <v>116</v>
      </c>
      <c r="P260" s="259" t="s">
        <v>138</v>
      </c>
      <c r="S260" s="259">
        <f t="shared" si="7"/>
        <v>2042</v>
      </c>
    </row>
    <row r="261" spans="1:19">
      <c r="A261" s="259" t="s">
        <v>111</v>
      </c>
      <c r="B261" s="259" t="s">
        <v>112</v>
      </c>
      <c r="C261" s="259" t="s">
        <v>118</v>
      </c>
      <c r="D261" s="259" t="s">
        <v>114</v>
      </c>
      <c r="E261" s="259">
        <v>57.02</v>
      </c>
      <c r="G261" s="259" t="s">
        <v>115</v>
      </c>
      <c r="H261" s="259">
        <v>1</v>
      </c>
      <c r="I261" s="260">
        <v>52232</v>
      </c>
      <c r="J261" s="260"/>
      <c r="L261" s="259" t="s">
        <v>116</v>
      </c>
      <c r="P261" s="259" t="s">
        <v>138</v>
      </c>
      <c r="S261" s="259">
        <f t="shared" si="7"/>
        <v>2043</v>
      </c>
    </row>
    <row r="262" spans="1:19">
      <c r="A262" s="259" t="s">
        <v>111</v>
      </c>
      <c r="B262" s="259" t="s">
        <v>112</v>
      </c>
      <c r="C262" s="259" t="s">
        <v>118</v>
      </c>
      <c r="D262" s="259" t="s">
        <v>114</v>
      </c>
      <c r="E262" s="259">
        <v>57.02</v>
      </c>
      <c r="G262" s="259" t="s">
        <v>115</v>
      </c>
      <c r="H262" s="259">
        <v>1</v>
      </c>
      <c r="I262" s="260">
        <v>52597</v>
      </c>
      <c r="J262" s="260"/>
      <c r="L262" s="259" t="s">
        <v>116</v>
      </c>
      <c r="P262" s="259" t="s">
        <v>138</v>
      </c>
      <c r="S262" s="259">
        <f t="shared" si="7"/>
        <v>2044</v>
      </c>
    </row>
    <row r="263" spans="1:19">
      <c r="A263" s="259" t="s">
        <v>111</v>
      </c>
      <c r="B263" s="259" t="s">
        <v>112</v>
      </c>
      <c r="C263" s="259" t="s">
        <v>118</v>
      </c>
      <c r="D263" s="259" t="s">
        <v>114</v>
      </c>
      <c r="E263" s="259">
        <v>58.35</v>
      </c>
      <c r="G263" s="259" t="s">
        <v>115</v>
      </c>
      <c r="H263" s="259">
        <v>1</v>
      </c>
      <c r="I263" s="260">
        <v>52963</v>
      </c>
      <c r="J263" s="260"/>
      <c r="L263" s="259" t="s">
        <v>116</v>
      </c>
      <c r="P263" s="259" t="s">
        <v>138</v>
      </c>
      <c r="S263" s="259">
        <f t="shared" si="7"/>
        <v>2045</v>
      </c>
    </row>
    <row r="264" spans="1:19">
      <c r="A264" s="259" t="s">
        <v>111</v>
      </c>
      <c r="B264" s="259" t="s">
        <v>112</v>
      </c>
      <c r="C264" s="259" t="s">
        <v>118</v>
      </c>
      <c r="D264" s="259" t="s">
        <v>114</v>
      </c>
      <c r="E264" s="259">
        <v>59.67</v>
      </c>
      <c r="G264" s="259" t="s">
        <v>115</v>
      </c>
      <c r="H264" s="259">
        <v>1</v>
      </c>
      <c r="I264" s="260">
        <v>53328</v>
      </c>
      <c r="J264" s="260"/>
      <c r="L264" s="259" t="s">
        <v>116</v>
      </c>
      <c r="P264" s="259" t="s">
        <v>138</v>
      </c>
      <c r="S264" s="259">
        <f t="shared" si="7"/>
        <v>2046</v>
      </c>
    </row>
    <row r="265" spans="1:19">
      <c r="A265" s="259" t="s">
        <v>111</v>
      </c>
      <c r="B265" s="259" t="s">
        <v>112</v>
      </c>
      <c r="C265" s="259" t="s">
        <v>118</v>
      </c>
      <c r="D265" s="259" t="s">
        <v>114</v>
      </c>
      <c r="E265" s="259">
        <v>61</v>
      </c>
      <c r="G265" s="259" t="s">
        <v>115</v>
      </c>
      <c r="H265" s="259">
        <v>1</v>
      </c>
      <c r="I265" s="260">
        <v>53693</v>
      </c>
      <c r="J265" s="260"/>
      <c r="L265" s="259" t="s">
        <v>116</v>
      </c>
      <c r="P265" s="259" t="s">
        <v>138</v>
      </c>
      <c r="S265" s="259">
        <f t="shared" si="7"/>
        <v>2047</v>
      </c>
    </row>
    <row r="266" spans="1:19">
      <c r="A266" s="259" t="s">
        <v>111</v>
      </c>
      <c r="B266" s="259" t="s">
        <v>112</v>
      </c>
      <c r="C266" s="259" t="s">
        <v>118</v>
      </c>
      <c r="D266" s="259" t="s">
        <v>114</v>
      </c>
      <c r="E266" s="259">
        <v>61</v>
      </c>
      <c r="G266" s="259" t="s">
        <v>115</v>
      </c>
      <c r="H266" s="259">
        <v>1</v>
      </c>
      <c r="I266" s="260">
        <v>54058</v>
      </c>
      <c r="J266" s="260"/>
      <c r="L266" s="259" t="s">
        <v>116</v>
      </c>
      <c r="P266" s="259" t="s">
        <v>138</v>
      </c>
      <c r="S266" s="259">
        <f t="shared" si="7"/>
        <v>2048</v>
      </c>
    </row>
    <row r="267" spans="1:19">
      <c r="A267" s="259" t="s">
        <v>111</v>
      </c>
      <c r="B267" s="259" t="s">
        <v>112</v>
      </c>
      <c r="C267" s="259" t="s">
        <v>118</v>
      </c>
      <c r="D267" s="259" t="s">
        <v>114</v>
      </c>
      <c r="E267" s="259">
        <v>62.32</v>
      </c>
      <c r="G267" s="259" t="s">
        <v>115</v>
      </c>
      <c r="H267" s="259">
        <v>1</v>
      </c>
      <c r="I267" s="260">
        <v>54424</v>
      </c>
      <c r="J267" s="260"/>
      <c r="L267" s="259" t="s">
        <v>116</v>
      </c>
      <c r="P267" s="259" t="s">
        <v>138</v>
      </c>
      <c r="S267" s="259">
        <f t="shared" si="7"/>
        <v>2049</v>
      </c>
    </row>
    <row r="268" spans="1:19">
      <c r="A268" s="259" t="s">
        <v>111</v>
      </c>
      <c r="B268" s="259" t="s">
        <v>112</v>
      </c>
      <c r="C268" s="259" t="s">
        <v>118</v>
      </c>
      <c r="D268" s="259" t="s">
        <v>114</v>
      </c>
      <c r="E268" s="259">
        <v>63.65</v>
      </c>
      <c r="G268" s="259" t="s">
        <v>115</v>
      </c>
      <c r="H268" s="259">
        <v>1</v>
      </c>
      <c r="I268" s="260">
        <v>54789</v>
      </c>
      <c r="J268" s="260"/>
      <c r="L268" s="259" t="s">
        <v>116</v>
      </c>
      <c r="P268" s="259" t="s">
        <v>138</v>
      </c>
      <c r="S268" s="259">
        <f t="shared" si="7"/>
        <v>2050</v>
      </c>
    </row>
    <row r="269" spans="1:19">
      <c r="A269" s="259" t="s">
        <v>111</v>
      </c>
      <c r="B269" s="259" t="s">
        <v>112</v>
      </c>
      <c r="C269" s="259" t="s">
        <v>118</v>
      </c>
      <c r="D269" s="259" t="s">
        <v>114</v>
      </c>
      <c r="E269" s="259">
        <v>63.65</v>
      </c>
      <c r="G269" s="259" t="s">
        <v>115</v>
      </c>
      <c r="H269" s="259">
        <v>1</v>
      </c>
      <c r="I269" s="260">
        <v>55154</v>
      </c>
      <c r="J269" s="260"/>
      <c r="L269" s="259" t="s">
        <v>116</v>
      </c>
      <c r="P269" s="259" t="s">
        <v>138</v>
      </c>
      <c r="S269" s="259">
        <f t="shared" si="7"/>
        <v>2051</v>
      </c>
    </row>
    <row r="270" spans="1:19">
      <c r="A270" s="259" t="s">
        <v>111</v>
      </c>
      <c r="B270" s="259" t="s">
        <v>112</v>
      </c>
      <c r="C270" s="259" t="s">
        <v>118</v>
      </c>
      <c r="D270" s="259" t="s">
        <v>114</v>
      </c>
      <c r="E270" s="259">
        <v>64.98</v>
      </c>
      <c r="G270" s="259" t="s">
        <v>115</v>
      </c>
      <c r="H270" s="259">
        <v>1</v>
      </c>
      <c r="I270" s="260">
        <v>55519</v>
      </c>
      <c r="J270" s="260"/>
      <c r="L270" s="259" t="s">
        <v>116</v>
      </c>
      <c r="P270" s="259" t="s">
        <v>138</v>
      </c>
      <c r="S270" s="259">
        <f t="shared" si="7"/>
        <v>2052</v>
      </c>
    </row>
    <row r="271" spans="1:19">
      <c r="A271" s="259" t="s">
        <v>111</v>
      </c>
      <c r="B271" s="259" t="s">
        <v>112</v>
      </c>
      <c r="C271" s="259" t="s">
        <v>118</v>
      </c>
      <c r="D271" s="259" t="s">
        <v>114</v>
      </c>
      <c r="E271" s="259">
        <v>66.3</v>
      </c>
      <c r="G271" s="259" t="s">
        <v>115</v>
      </c>
      <c r="H271" s="259">
        <v>1</v>
      </c>
      <c r="I271" s="260">
        <v>55885</v>
      </c>
      <c r="J271" s="260"/>
      <c r="L271" s="259" t="s">
        <v>116</v>
      </c>
      <c r="P271" s="259" t="s">
        <v>138</v>
      </c>
      <c r="S271" s="259">
        <f t="shared" si="7"/>
        <v>2053</v>
      </c>
    </row>
    <row r="272" spans="1:19">
      <c r="A272" s="259" t="s">
        <v>111</v>
      </c>
      <c r="B272" s="259" t="s">
        <v>112</v>
      </c>
      <c r="C272" s="259" t="s">
        <v>118</v>
      </c>
      <c r="D272" s="259" t="s">
        <v>114</v>
      </c>
      <c r="E272" s="259">
        <v>67.63</v>
      </c>
      <c r="G272" s="259" t="s">
        <v>115</v>
      </c>
      <c r="H272" s="259">
        <v>1</v>
      </c>
      <c r="I272" s="260">
        <v>56250</v>
      </c>
      <c r="J272" s="260"/>
      <c r="L272" s="259" t="s">
        <v>116</v>
      </c>
      <c r="P272" s="259" t="s">
        <v>138</v>
      </c>
      <c r="S272" s="259">
        <f t="shared" si="7"/>
        <v>2054</v>
      </c>
    </row>
    <row r="274" spans="1:22" s="257" customFormat="1">
      <c r="A274" s="257" t="s">
        <v>95</v>
      </c>
      <c r="B274" s="257" t="s">
        <v>96</v>
      </c>
      <c r="C274" s="257" t="s">
        <v>97</v>
      </c>
      <c r="D274" s="257" t="s">
        <v>98</v>
      </c>
      <c r="E274" s="257" t="s">
        <v>99</v>
      </c>
      <c r="F274" s="257" t="s">
        <v>100</v>
      </c>
      <c r="G274" s="257" t="s">
        <v>101</v>
      </c>
      <c r="H274" s="257" t="s">
        <v>102</v>
      </c>
      <c r="I274" s="257" t="s">
        <v>103</v>
      </c>
      <c r="J274" s="257" t="s">
        <v>104</v>
      </c>
      <c r="K274" s="257" t="s">
        <v>105</v>
      </c>
      <c r="L274" s="257" t="s">
        <v>106</v>
      </c>
      <c r="M274" s="257" t="s">
        <v>107</v>
      </c>
      <c r="N274" s="257" t="s">
        <v>108</v>
      </c>
      <c r="O274" s="257" t="s">
        <v>109</v>
      </c>
      <c r="P274" s="257" t="s">
        <v>110</v>
      </c>
      <c r="S274" s="257" t="s">
        <v>0</v>
      </c>
    </row>
    <row r="275" spans="1:22">
      <c r="A275" s="259" t="s">
        <v>111</v>
      </c>
      <c r="B275" s="259" t="s">
        <v>112</v>
      </c>
      <c r="C275" s="259" t="s">
        <v>113</v>
      </c>
      <c r="D275" s="259" t="s">
        <v>114</v>
      </c>
      <c r="E275" s="259">
        <v>1</v>
      </c>
      <c r="G275" s="259" t="s">
        <v>115</v>
      </c>
      <c r="H275" s="259">
        <v>1</v>
      </c>
      <c r="I275" s="260">
        <v>45292</v>
      </c>
      <c r="J275" s="260"/>
      <c r="L275" s="259" t="s">
        <v>116</v>
      </c>
      <c r="O275" s="259" t="s">
        <v>193</v>
      </c>
      <c r="P275" s="259" t="s">
        <v>115</v>
      </c>
      <c r="S275" s="259">
        <f>YEAR(I275)</f>
        <v>2024</v>
      </c>
    </row>
    <row r="276" spans="1:22">
      <c r="A276" s="259" t="s">
        <v>111</v>
      </c>
      <c r="B276" s="259" t="s">
        <v>112</v>
      </c>
      <c r="C276" s="259" t="s">
        <v>113</v>
      </c>
      <c r="D276" s="259" t="s">
        <v>114</v>
      </c>
      <c r="E276" s="259">
        <v>1.0218</v>
      </c>
      <c r="G276" s="259" t="s">
        <v>115</v>
      </c>
      <c r="H276" s="259">
        <v>1</v>
      </c>
      <c r="I276" s="260">
        <v>45658</v>
      </c>
      <c r="J276" s="260"/>
      <c r="L276" s="259" t="s">
        <v>116</v>
      </c>
      <c r="O276" s="259" t="s">
        <v>193</v>
      </c>
      <c r="P276" s="259" t="s">
        <v>115</v>
      </c>
      <c r="S276" s="259">
        <f t="shared" ref="S276:S298" si="8">YEAR(I276)</f>
        <v>2025</v>
      </c>
      <c r="V276" s="259">
        <f>E276/E275-1</f>
        <v>2.1800000000000042E-2</v>
      </c>
    </row>
    <row r="277" spans="1:22">
      <c r="A277" s="259" t="s">
        <v>111</v>
      </c>
      <c r="B277" s="259" t="s">
        <v>112</v>
      </c>
      <c r="C277" s="259" t="s">
        <v>113</v>
      </c>
      <c r="D277" s="259" t="s">
        <v>114</v>
      </c>
      <c r="E277" s="259">
        <v>1.04407524</v>
      </c>
      <c r="G277" s="259" t="s">
        <v>115</v>
      </c>
      <c r="H277" s="259">
        <v>1</v>
      </c>
      <c r="I277" s="260">
        <v>46023</v>
      </c>
      <c r="J277" s="260"/>
      <c r="L277" s="259" t="s">
        <v>116</v>
      </c>
      <c r="O277" s="259" t="s">
        <v>193</v>
      </c>
      <c r="P277" s="259" t="s">
        <v>115</v>
      </c>
      <c r="S277" s="259">
        <f t="shared" si="8"/>
        <v>2026</v>
      </c>
      <c r="V277" s="259">
        <f>E277/E276-1</f>
        <v>2.179999999999982E-2</v>
      </c>
    </row>
    <row r="278" spans="1:22">
      <c r="A278" s="259" t="s">
        <v>111</v>
      </c>
      <c r="B278" s="259" t="s">
        <v>112</v>
      </c>
      <c r="C278" s="259" t="s">
        <v>113</v>
      </c>
      <c r="D278" s="259" t="s">
        <v>114</v>
      </c>
      <c r="E278" s="259">
        <v>1.0668360800000001</v>
      </c>
      <c r="G278" s="259" t="s">
        <v>115</v>
      </c>
      <c r="H278" s="259">
        <v>1</v>
      </c>
      <c r="I278" s="260">
        <v>46388</v>
      </c>
      <c r="J278" s="260"/>
      <c r="L278" s="259" t="s">
        <v>116</v>
      </c>
      <c r="O278" s="259" t="s">
        <v>193</v>
      </c>
      <c r="P278" s="259" t="s">
        <v>115</v>
      </c>
      <c r="S278" s="259">
        <f t="shared" si="8"/>
        <v>2027</v>
      </c>
      <c r="V278" s="259">
        <f t="shared" ref="V278:V298" si="9">E278/E277-1</f>
        <v>2.179999977779401E-2</v>
      </c>
    </row>
    <row r="279" spans="1:22">
      <c r="A279" s="259" t="s">
        <v>111</v>
      </c>
      <c r="B279" s="259" t="s">
        <v>112</v>
      </c>
      <c r="C279" s="259" t="s">
        <v>113</v>
      </c>
      <c r="D279" s="259" t="s">
        <v>114</v>
      </c>
      <c r="E279" s="259">
        <v>1.090093107</v>
      </c>
      <c r="G279" s="259" t="s">
        <v>115</v>
      </c>
      <c r="H279" s="259">
        <v>1</v>
      </c>
      <c r="I279" s="260">
        <v>46753</v>
      </c>
      <c r="J279" s="260"/>
      <c r="L279" s="259" t="s">
        <v>116</v>
      </c>
      <c r="O279" s="259" t="s">
        <v>193</v>
      </c>
      <c r="P279" s="259" t="s">
        <v>115</v>
      </c>
      <c r="S279" s="259">
        <f t="shared" si="8"/>
        <v>2028</v>
      </c>
      <c r="V279" s="259">
        <f t="shared" si="9"/>
        <v>2.1800000427431909E-2</v>
      </c>
    </row>
    <row r="280" spans="1:22">
      <c r="A280" s="259" t="s">
        <v>111</v>
      </c>
      <c r="B280" s="259" t="s">
        <v>112</v>
      </c>
      <c r="C280" s="259" t="s">
        <v>113</v>
      </c>
      <c r="D280" s="259" t="s">
        <v>114</v>
      </c>
      <c r="E280" s="259">
        <v>1.1138571370000001</v>
      </c>
      <c r="G280" s="259" t="s">
        <v>115</v>
      </c>
      <c r="H280" s="259">
        <v>1</v>
      </c>
      <c r="I280" s="260">
        <v>47119</v>
      </c>
      <c r="J280" s="260"/>
      <c r="L280" s="259" t="s">
        <v>116</v>
      </c>
      <c r="O280" s="259" t="s">
        <v>193</v>
      </c>
      <c r="P280" s="259" t="s">
        <v>115</v>
      </c>
      <c r="S280" s="259">
        <f t="shared" si="8"/>
        <v>2029</v>
      </c>
      <c r="V280" s="259">
        <f t="shared" si="9"/>
        <v>2.1800000245300266E-2</v>
      </c>
    </row>
    <row r="281" spans="1:22">
      <c r="A281" s="259" t="s">
        <v>111</v>
      </c>
      <c r="B281" s="259" t="s">
        <v>112</v>
      </c>
      <c r="C281" s="259" t="s">
        <v>113</v>
      </c>
      <c r="D281" s="259" t="s">
        <v>114</v>
      </c>
      <c r="E281" s="259">
        <v>1.138139222</v>
      </c>
      <c r="G281" s="259" t="s">
        <v>115</v>
      </c>
      <c r="H281" s="259">
        <v>1</v>
      </c>
      <c r="I281" s="260">
        <v>47484</v>
      </c>
      <c r="J281" s="260"/>
      <c r="L281" s="259" t="s">
        <v>116</v>
      </c>
      <c r="O281" s="259" t="s">
        <v>193</v>
      </c>
      <c r="P281" s="259" t="s">
        <v>115</v>
      </c>
      <c r="S281" s="259">
        <f t="shared" si="8"/>
        <v>2030</v>
      </c>
      <c r="V281" s="259">
        <f t="shared" si="9"/>
        <v>2.1799999473361309E-2</v>
      </c>
    </row>
    <row r="282" spans="1:22">
      <c r="A282" s="259" t="s">
        <v>111</v>
      </c>
      <c r="B282" s="259" t="s">
        <v>112</v>
      </c>
      <c r="C282" s="259" t="s">
        <v>113</v>
      </c>
      <c r="D282" s="259" t="s">
        <v>114</v>
      </c>
      <c r="E282" s="259">
        <v>1.1629506570000001</v>
      </c>
      <c r="G282" s="259" t="s">
        <v>115</v>
      </c>
      <c r="H282" s="259">
        <v>1</v>
      </c>
      <c r="I282" s="260">
        <v>47849</v>
      </c>
      <c r="J282" s="260"/>
      <c r="L282" s="259" t="s">
        <v>116</v>
      </c>
      <c r="O282" s="259" t="s">
        <v>193</v>
      </c>
      <c r="P282" s="259" t="s">
        <v>115</v>
      </c>
      <c r="S282" s="259">
        <f t="shared" si="8"/>
        <v>2031</v>
      </c>
      <c r="V282" s="259">
        <f t="shared" si="9"/>
        <v>2.179999996520654E-2</v>
      </c>
    </row>
    <row r="283" spans="1:22">
      <c r="A283" s="259" t="s">
        <v>111</v>
      </c>
      <c r="B283" s="259" t="s">
        <v>112</v>
      </c>
      <c r="C283" s="259" t="s">
        <v>113</v>
      </c>
      <c r="D283" s="259" t="s">
        <v>114</v>
      </c>
      <c r="E283" s="259">
        <v>1.1883029810000001</v>
      </c>
      <c r="G283" s="259" t="s">
        <v>115</v>
      </c>
      <c r="H283" s="259">
        <v>1</v>
      </c>
      <c r="I283" s="260">
        <v>48214</v>
      </c>
      <c r="J283" s="260"/>
      <c r="L283" s="259" t="s">
        <v>116</v>
      </c>
      <c r="O283" s="259" t="s">
        <v>193</v>
      </c>
      <c r="P283" s="259" t="s">
        <v>115</v>
      </c>
      <c r="S283" s="259">
        <f t="shared" si="8"/>
        <v>2032</v>
      </c>
      <c r="V283" s="259">
        <f t="shared" si="9"/>
        <v>2.1799999722602159E-2</v>
      </c>
    </row>
    <row r="284" spans="1:22">
      <c r="A284" s="259" t="s">
        <v>111</v>
      </c>
      <c r="B284" s="259" t="s">
        <v>112</v>
      </c>
      <c r="C284" s="259" t="s">
        <v>113</v>
      </c>
      <c r="D284" s="259" t="s">
        <v>114</v>
      </c>
      <c r="E284" s="259">
        <v>1.2142079859999999</v>
      </c>
      <c r="G284" s="259" t="s">
        <v>115</v>
      </c>
      <c r="H284" s="259">
        <v>1</v>
      </c>
      <c r="I284" s="260">
        <v>48580</v>
      </c>
      <c r="J284" s="260"/>
      <c r="L284" s="259" t="s">
        <v>116</v>
      </c>
      <c r="O284" s="259" t="s">
        <v>193</v>
      </c>
      <c r="P284" s="259" t="s">
        <v>115</v>
      </c>
      <c r="S284" s="259">
        <f t="shared" si="8"/>
        <v>2033</v>
      </c>
      <c r="V284" s="259">
        <f t="shared" si="9"/>
        <v>2.1800000011949594E-2</v>
      </c>
    </row>
    <row r="285" spans="1:22">
      <c r="A285" s="259" t="s">
        <v>111</v>
      </c>
      <c r="B285" s="259" t="s">
        <v>112</v>
      </c>
      <c r="C285" s="259" t="s">
        <v>113</v>
      </c>
      <c r="D285" s="259" t="s">
        <v>114</v>
      </c>
      <c r="E285" s="259">
        <v>1.240677721</v>
      </c>
      <c r="G285" s="259" t="s">
        <v>115</v>
      </c>
      <c r="H285" s="259">
        <v>1</v>
      </c>
      <c r="I285" s="260">
        <v>48945</v>
      </c>
      <c r="J285" s="260"/>
      <c r="L285" s="259" t="s">
        <v>116</v>
      </c>
      <c r="O285" s="259" t="s">
        <v>193</v>
      </c>
      <c r="P285" s="259" t="s">
        <v>115</v>
      </c>
      <c r="S285" s="259">
        <f t="shared" si="8"/>
        <v>2034</v>
      </c>
      <c r="V285" s="259">
        <f t="shared" si="9"/>
        <v>2.1800000745506587E-2</v>
      </c>
    </row>
    <row r="286" spans="1:22">
      <c r="A286" s="259" t="s">
        <v>111</v>
      </c>
      <c r="B286" s="259" t="s">
        <v>112</v>
      </c>
      <c r="C286" s="259" t="s">
        <v>113</v>
      </c>
      <c r="D286" s="259" t="s">
        <v>114</v>
      </c>
      <c r="E286" s="259">
        <v>1.267724495</v>
      </c>
      <c r="G286" s="259" t="s">
        <v>115</v>
      </c>
      <c r="H286" s="259">
        <v>1</v>
      </c>
      <c r="I286" s="260">
        <v>49310</v>
      </c>
      <c r="J286" s="260"/>
      <c r="L286" s="259" t="s">
        <v>116</v>
      </c>
      <c r="O286" s="259" t="s">
        <v>193</v>
      </c>
      <c r="P286" s="259" t="s">
        <v>115</v>
      </c>
      <c r="S286" s="259">
        <f t="shared" si="8"/>
        <v>2035</v>
      </c>
      <c r="V286" s="259">
        <f t="shared" si="9"/>
        <v>2.1799999743849607E-2</v>
      </c>
    </row>
    <row r="287" spans="1:22">
      <c r="A287" s="259" t="s">
        <v>111</v>
      </c>
      <c r="B287" s="259" t="s">
        <v>112</v>
      </c>
      <c r="C287" s="259" t="s">
        <v>113</v>
      </c>
      <c r="D287" s="259" t="s">
        <v>114</v>
      </c>
      <c r="E287" s="259">
        <v>1.2953608889999999</v>
      </c>
      <c r="G287" s="259" t="s">
        <v>115</v>
      </c>
      <c r="H287" s="259">
        <v>1</v>
      </c>
      <c r="I287" s="260">
        <v>49675</v>
      </c>
      <c r="J287" s="260"/>
      <c r="L287" s="259" t="s">
        <v>116</v>
      </c>
      <c r="O287" s="259" t="s">
        <v>193</v>
      </c>
      <c r="P287" s="259" t="s">
        <v>115</v>
      </c>
      <c r="S287" s="259">
        <f t="shared" si="8"/>
        <v>2036</v>
      </c>
      <c r="V287" s="259">
        <f t="shared" si="9"/>
        <v>2.1800000007099252E-2</v>
      </c>
    </row>
    <row r="288" spans="1:22">
      <c r="A288" s="259" t="s">
        <v>111</v>
      </c>
      <c r="B288" s="259" t="s">
        <v>112</v>
      </c>
      <c r="C288" s="259" t="s">
        <v>113</v>
      </c>
      <c r="D288" s="259" t="s">
        <v>114</v>
      </c>
      <c r="E288" s="259">
        <v>1.3235997559999999</v>
      </c>
      <c r="G288" s="259" t="s">
        <v>115</v>
      </c>
      <c r="H288" s="259">
        <v>1</v>
      </c>
      <c r="I288" s="260">
        <v>50041</v>
      </c>
      <c r="J288" s="260"/>
      <c r="L288" s="259" t="s">
        <v>116</v>
      </c>
      <c r="O288" s="259" t="s">
        <v>193</v>
      </c>
      <c r="P288" s="259" t="s">
        <v>115</v>
      </c>
      <c r="S288" s="259">
        <f t="shared" si="8"/>
        <v>2037</v>
      </c>
      <c r="V288" s="259">
        <f t="shared" si="9"/>
        <v>2.1799999706491047E-2</v>
      </c>
    </row>
    <row r="289" spans="1:22">
      <c r="A289" s="259" t="s">
        <v>111</v>
      </c>
      <c r="B289" s="259" t="s">
        <v>112</v>
      </c>
      <c r="C289" s="259" t="s">
        <v>113</v>
      </c>
      <c r="D289" s="259" t="s">
        <v>114</v>
      </c>
      <c r="E289" s="259">
        <v>1.3524542310000001</v>
      </c>
      <c r="G289" s="259" t="s">
        <v>115</v>
      </c>
      <c r="H289" s="259">
        <v>1</v>
      </c>
      <c r="I289" s="260">
        <v>50406</v>
      </c>
      <c r="J289" s="260"/>
      <c r="L289" s="259" t="s">
        <v>116</v>
      </c>
      <c r="O289" s="259" t="s">
        <v>193</v>
      </c>
      <c r="P289" s="259" t="s">
        <v>115</v>
      </c>
      <c r="S289" s="259">
        <f t="shared" si="8"/>
        <v>2038</v>
      </c>
      <c r="V289" s="259">
        <f t="shared" si="9"/>
        <v>2.1800000241160689E-2</v>
      </c>
    </row>
    <row r="290" spans="1:22">
      <c r="A290" s="259" t="s">
        <v>111</v>
      </c>
      <c r="B290" s="259" t="s">
        <v>112</v>
      </c>
      <c r="C290" s="259" t="s">
        <v>113</v>
      </c>
      <c r="D290" s="259" t="s">
        <v>114</v>
      </c>
      <c r="E290" s="259">
        <v>1.381937733</v>
      </c>
      <c r="G290" s="259" t="s">
        <v>115</v>
      </c>
      <c r="H290" s="259">
        <v>1</v>
      </c>
      <c r="I290" s="260">
        <v>50771</v>
      </c>
      <c r="J290" s="260"/>
      <c r="L290" s="259" t="s">
        <v>116</v>
      </c>
      <c r="O290" s="259" t="s">
        <v>193</v>
      </c>
      <c r="P290" s="259" t="s">
        <v>115</v>
      </c>
      <c r="S290" s="259">
        <f t="shared" si="8"/>
        <v>2039</v>
      </c>
      <c r="V290" s="259">
        <f t="shared" si="9"/>
        <v>2.1799999825650174E-2</v>
      </c>
    </row>
    <row r="291" spans="1:22">
      <c r="A291" s="259" t="s">
        <v>111</v>
      </c>
      <c r="B291" s="259" t="s">
        <v>112</v>
      </c>
      <c r="C291" s="259" t="s">
        <v>113</v>
      </c>
      <c r="D291" s="259" t="s">
        <v>114</v>
      </c>
      <c r="E291" s="259">
        <v>1.412063976</v>
      </c>
      <c r="G291" s="259" t="s">
        <v>115</v>
      </c>
      <c r="H291" s="259">
        <v>1</v>
      </c>
      <c r="I291" s="260">
        <v>51136</v>
      </c>
      <c r="J291" s="260"/>
      <c r="L291" s="259" t="s">
        <v>116</v>
      </c>
      <c r="O291" s="259" t="s">
        <v>193</v>
      </c>
      <c r="P291" s="259" t="s">
        <v>115</v>
      </c>
      <c r="S291" s="259">
        <f t="shared" si="8"/>
        <v>2040</v>
      </c>
      <c r="V291" s="259">
        <f t="shared" si="9"/>
        <v>2.1800000304355249E-2</v>
      </c>
    </row>
    <row r="292" spans="1:22">
      <c r="A292" s="259" t="s">
        <v>111</v>
      </c>
      <c r="B292" s="259" t="s">
        <v>112</v>
      </c>
      <c r="C292" s="259" t="s">
        <v>113</v>
      </c>
      <c r="D292" s="259" t="s">
        <v>114</v>
      </c>
      <c r="E292" s="259">
        <v>1.44284697</v>
      </c>
      <c r="G292" s="259" t="s">
        <v>115</v>
      </c>
      <c r="H292" s="259">
        <v>1</v>
      </c>
      <c r="I292" s="260">
        <v>51502</v>
      </c>
      <c r="J292" s="260"/>
      <c r="L292" s="259" t="s">
        <v>116</v>
      </c>
      <c r="O292" s="259" t="s">
        <v>193</v>
      </c>
      <c r="P292" s="259" t="s">
        <v>115</v>
      </c>
      <c r="S292" s="259">
        <f t="shared" si="8"/>
        <v>2041</v>
      </c>
      <c r="V292" s="259">
        <f t="shared" si="9"/>
        <v>2.1799999520701663E-2</v>
      </c>
    </row>
    <row r="293" spans="1:22">
      <c r="A293" s="259" t="s">
        <v>111</v>
      </c>
      <c r="B293" s="259" t="s">
        <v>112</v>
      </c>
      <c r="C293" s="259" t="s">
        <v>113</v>
      </c>
      <c r="D293" s="259" t="s">
        <v>114</v>
      </c>
      <c r="E293" s="259">
        <v>1.474301034</v>
      </c>
      <c r="G293" s="259" t="s">
        <v>115</v>
      </c>
      <c r="H293" s="259">
        <v>1</v>
      </c>
      <c r="I293" s="260">
        <v>51867</v>
      </c>
      <c r="J293" s="260"/>
      <c r="L293" s="259" t="s">
        <v>116</v>
      </c>
      <c r="O293" s="259" t="s">
        <v>193</v>
      </c>
      <c r="P293" s="259" t="s">
        <v>115</v>
      </c>
      <c r="S293" s="259">
        <f t="shared" si="8"/>
        <v>2042</v>
      </c>
      <c r="V293" s="259">
        <f t="shared" si="9"/>
        <v>2.1800000037426104E-2</v>
      </c>
    </row>
    <row r="294" spans="1:22">
      <c r="A294" s="259" t="s">
        <v>111</v>
      </c>
      <c r="B294" s="259" t="s">
        <v>112</v>
      </c>
      <c r="C294" s="259" t="s">
        <v>113</v>
      </c>
      <c r="D294" s="259" t="s">
        <v>114</v>
      </c>
      <c r="E294" s="259">
        <v>1.506440797</v>
      </c>
      <c r="G294" s="259" t="s">
        <v>115</v>
      </c>
      <c r="H294" s="259">
        <v>1</v>
      </c>
      <c r="I294" s="260">
        <v>52232</v>
      </c>
      <c r="J294" s="260"/>
      <c r="L294" s="259" t="s">
        <v>116</v>
      </c>
      <c r="O294" s="259" t="s">
        <v>193</v>
      </c>
      <c r="P294" s="259" t="s">
        <v>115</v>
      </c>
      <c r="S294" s="259">
        <f t="shared" si="8"/>
        <v>2043</v>
      </c>
      <c r="V294" s="259">
        <f t="shared" si="9"/>
        <v>2.180000031119822E-2</v>
      </c>
    </row>
    <row r="295" spans="1:22">
      <c r="A295" s="259" t="s">
        <v>111</v>
      </c>
      <c r="B295" s="259" t="s">
        <v>112</v>
      </c>
      <c r="C295" s="259" t="s">
        <v>113</v>
      </c>
      <c r="D295" s="259" t="s">
        <v>114</v>
      </c>
      <c r="E295" s="259">
        <v>1.5392812060000001</v>
      </c>
      <c r="G295" s="259" t="s">
        <v>115</v>
      </c>
      <c r="H295" s="259">
        <v>1</v>
      </c>
      <c r="I295" s="260">
        <v>52597</v>
      </c>
      <c r="J295" s="260"/>
      <c r="L295" s="259" t="s">
        <v>116</v>
      </c>
      <c r="O295" s="259" t="s">
        <v>193</v>
      </c>
      <c r="P295" s="259" t="s">
        <v>115</v>
      </c>
      <c r="S295" s="259">
        <f t="shared" si="8"/>
        <v>2044</v>
      </c>
      <c r="V295" s="259">
        <f t="shared" si="9"/>
        <v>2.1799999751334509E-2</v>
      </c>
    </row>
    <row r="296" spans="1:22">
      <c r="A296" s="259" t="s">
        <v>111</v>
      </c>
      <c r="B296" s="259" t="s">
        <v>112</v>
      </c>
      <c r="C296" s="259" t="s">
        <v>113</v>
      </c>
      <c r="D296" s="259" t="s">
        <v>114</v>
      </c>
      <c r="E296" s="259">
        <v>1.5728375370000001</v>
      </c>
      <c r="G296" s="259" t="s">
        <v>115</v>
      </c>
      <c r="H296" s="259">
        <v>1</v>
      </c>
      <c r="I296" s="260">
        <v>52963</v>
      </c>
      <c r="J296" s="260"/>
      <c r="L296" s="259" t="s">
        <v>116</v>
      </c>
      <c r="O296" s="259" t="s">
        <v>193</v>
      </c>
      <c r="P296" s="259" t="s">
        <v>115</v>
      </c>
      <c r="S296" s="259">
        <f t="shared" si="8"/>
        <v>2045</v>
      </c>
      <c r="V296" s="259">
        <f t="shared" si="9"/>
        <v>2.1800000460734603E-2</v>
      </c>
    </row>
    <row r="297" spans="1:22">
      <c r="A297" s="259" t="s">
        <v>111</v>
      </c>
      <c r="B297" s="259" t="s">
        <v>112</v>
      </c>
      <c r="C297" s="259" t="s">
        <v>113</v>
      </c>
      <c r="D297" s="259" t="s">
        <v>114</v>
      </c>
      <c r="E297" s="259">
        <v>1.607125395</v>
      </c>
      <c r="G297" s="259" t="s">
        <v>115</v>
      </c>
      <c r="H297" s="259">
        <v>1</v>
      </c>
      <c r="I297" s="260">
        <v>53328</v>
      </c>
      <c r="J297" s="260"/>
      <c r="L297" s="259" t="s">
        <v>116</v>
      </c>
      <c r="O297" s="259" t="s">
        <v>193</v>
      </c>
      <c r="P297" s="259" t="s">
        <v>115</v>
      </c>
      <c r="S297" s="259">
        <f t="shared" si="8"/>
        <v>2046</v>
      </c>
      <c r="V297" s="259">
        <f t="shared" si="9"/>
        <v>2.1799999805065529E-2</v>
      </c>
    </row>
    <row r="298" spans="1:22">
      <c r="A298" s="259" t="s">
        <v>111</v>
      </c>
      <c r="B298" s="259" t="s">
        <v>112</v>
      </c>
      <c r="C298" s="259" t="s">
        <v>113</v>
      </c>
      <c r="D298" s="259" t="s">
        <v>114</v>
      </c>
      <c r="E298" s="259">
        <v>1.6421607279999999</v>
      </c>
      <c r="G298" s="259" t="s">
        <v>115</v>
      </c>
      <c r="H298" s="259">
        <v>1</v>
      </c>
      <c r="I298" s="260">
        <v>53693</v>
      </c>
      <c r="J298" s="260"/>
      <c r="L298" s="259" t="s">
        <v>116</v>
      </c>
      <c r="O298" s="259" t="s">
        <v>193</v>
      </c>
      <c r="P298" s="259" t="s">
        <v>115</v>
      </c>
      <c r="S298" s="259">
        <f t="shared" si="8"/>
        <v>2047</v>
      </c>
      <c r="V298" s="259">
        <f t="shared" si="9"/>
        <v>2.1799999619818156E-2</v>
      </c>
    </row>
    <row r="301" spans="1:22">
      <c r="A301" t="s">
        <v>195</v>
      </c>
      <c r="B301"/>
      <c r="C301" s="280">
        <v>6.3799999999999996E-2</v>
      </c>
    </row>
    <row r="303" spans="1:22" s="257" customFormat="1">
      <c r="A303" s="257" t="s">
        <v>95</v>
      </c>
      <c r="B303" s="257" t="s">
        <v>96</v>
      </c>
      <c r="C303" s="257" t="s">
        <v>97</v>
      </c>
      <c r="D303" s="257" t="s">
        <v>98</v>
      </c>
      <c r="E303" s="257" t="s">
        <v>99</v>
      </c>
      <c r="F303" s="257" t="s">
        <v>100</v>
      </c>
      <c r="G303" s="257" t="s">
        <v>101</v>
      </c>
      <c r="H303" s="257" t="s">
        <v>102</v>
      </c>
      <c r="I303" s="257" t="s">
        <v>103</v>
      </c>
      <c r="J303" s="257" t="s">
        <v>104</v>
      </c>
      <c r="K303" s="257" t="s">
        <v>105</v>
      </c>
      <c r="L303" s="257" t="s">
        <v>106</v>
      </c>
      <c r="M303" s="257" t="s">
        <v>107</v>
      </c>
      <c r="N303" s="257" t="s">
        <v>108</v>
      </c>
      <c r="O303" s="257" t="s">
        <v>109</v>
      </c>
      <c r="P303" s="257" t="s">
        <v>110</v>
      </c>
    </row>
    <row r="304" spans="1:22">
      <c r="A304" s="259" t="s">
        <v>143</v>
      </c>
      <c r="B304" s="259" t="s">
        <v>112</v>
      </c>
      <c r="C304" s="259" t="s">
        <v>198</v>
      </c>
      <c r="D304" s="259" t="s">
        <v>199</v>
      </c>
      <c r="E304" s="259">
        <v>0</v>
      </c>
      <c r="G304" s="259" t="s">
        <v>31</v>
      </c>
      <c r="H304" s="259">
        <v>1</v>
      </c>
      <c r="L304" s="259" t="s">
        <v>146</v>
      </c>
      <c r="M304" s="259" t="s">
        <v>113</v>
      </c>
      <c r="P304" s="259" t="s">
        <v>200</v>
      </c>
    </row>
    <row r="305" spans="1:16">
      <c r="A305" s="259" t="s">
        <v>143</v>
      </c>
      <c r="B305" s="259" t="s">
        <v>112</v>
      </c>
      <c r="C305" s="259" t="s">
        <v>201</v>
      </c>
      <c r="D305" s="259" t="s">
        <v>199</v>
      </c>
      <c r="E305" s="259">
        <v>0</v>
      </c>
      <c r="G305" s="259" t="s">
        <v>31</v>
      </c>
      <c r="H305" s="259">
        <v>1</v>
      </c>
      <c r="L305" s="259" t="s">
        <v>115</v>
      </c>
      <c r="M305" s="259" t="s">
        <v>119</v>
      </c>
      <c r="P305" s="259" t="s">
        <v>200</v>
      </c>
    </row>
    <row r="306" spans="1:16">
      <c r="A306" s="259" t="s">
        <v>143</v>
      </c>
      <c r="B306" s="259" t="s">
        <v>112</v>
      </c>
      <c r="C306" s="259" t="s">
        <v>202</v>
      </c>
      <c r="D306" s="259" t="s">
        <v>199</v>
      </c>
      <c r="E306" s="259">
        <v>0</v>
      </c>
      <c r="G306" s="259" t="s">
        <v>31</v>
      </c>
      <c r="H306" s="259">
        <v>1</v>
      </c>
      <c r="L306" s="259" t="s">
        <v>146</v>
      </c>
      <c r="M306" s="259" t="s">
        <v>113</v>
      </c>
      <c r="P306" s="259" t="s">
        <v>148</v>
      </c>
    </row>
    <row r="307" spans="1:16">
      <c r="A307" s="259" t="s">
        <v>143</v>
      </c>
      <c r="B307" s="259" t="s">
        <v>112</v>
      </c>
      <c r="C307" s="259" t="s">
        <v>144</v>
      </c>
      <c r="D307" s="259" t="s">
        <v>199</v>
      </c>
      <c r="E307" s="259">
        <v>0</v>
      </c>
      <c r="G307" s="259" t="s">
        <v>31</v>
      </c>
      <c r="H307" s="259">
        <v>1</v>
      </c>
      <c r="L307" s="259" t="s">
        <v>115</v>
      </c>
      <c r="M307" s="259" t="s">
        <v>118</v>
      </c>
      <c r="P307" s="259" t="s">
        <v>148</v>
      </c>
    </row>
    <row r="308" spans="1:16">
      <c r="A308" s="259" t="s">
        <v>143</v>
      </c>
      <c r="B308" s="259" t="s">
        <v>112</v>
      </c>
      <c r="C308" s="259" t="s">
        <v>149</v>
      </c>
      <c r="D308" s="259" t="s">
        <v>199</v>
      </c>
      <c r="E308" s="259">
        <v>0</v>
      </c>
      <c r="G308" s="259" t="s">
        <v>31</v>
      </c>
      <c r="H308" s="259">
        <v>1</v>
      </c>
      <c r="L308" s="259" t="s">
        <v>115</v>
      </c>
      <c r="M308" s="259" t="s">
        <v>118</v>
      </c>
      <c r="P308" s="259" t="s">
        <v>148</v>
      </c>
    </row>
    <row r="309" spans="1:16">
      <c r="A309" s="259" t="s">
        <v>143</v>
      </c>
      <c r="B309" s="259" t="s">
        <v>112</v>
      </c>
      <c r="C309" s="259" t="s">
        <v>203</v>
      </c>
      <c r="D309" s="259" t="s">
        <v>199</v>
      </c>
      <c r="E309" s="259">
        <v>0</v>
      </c>
      <c r="G309" s="259" t="s">
        <v>31</v>
      </c>
      <c r="H309" s="259">
        <v>1</v>
      </c>
      <c r="L309" s="259" t="s">
        <v>146</v>
      </c>
      <c r="M309" s="259" t="s">
        <v>113</v>
      </c>
      <c r="P309" s="259" t="s">
        <v>148</v>
      </c>
    </row>
    <row r="310" spans="1:16">
      <c r="A310" s="259" t="s">
        <v>143</v>
      </c>
      <c r="B310" s="259" t="s">
        <v>112</v>
      </c>
      <c r="C310" s="259" t="s">
        <v>150</v>
      </c>
      <c r="D310" s="259" t="s">
        <v>199</v>
      </c>
      <c r="E310" s="259">
        <v>0</v>
      </c>
      <c r="G310" s="259" t="s">
        <v>31</v>
      </c>
      <c r="H310" s="259">
        <v>1</v>
      </c>
      <c r="L310" s="259" t="s">
        <v>115</v>
      </c>
      <c r="M310" s="259" t="s">
        <v>118</v>
      </c>
      <c r="P310" s="259" t="s">
        <v>148</v>
      </c>
    </row>
    <row r="311" spans="1:16">
      <c r="A311" s="259" t="s">
        <v>143</v>
      </c>
      <c r="B311" s="259" t="s">
        <v>112</v>
      </c>
      <c r="C311" s="259" t="s">
        <v>151</v>
      </c>
      <c r="D311" s="259" t="s">
        <v>199</v>
      </c>
      <c r="E311" s="259">
        <v>0</v>
      </c>
      <c r="G311" s="259" t="s">
        <v>31</v>
      </c>
      <c r="H311" s="259">
        <v>1</v>
      </c>
      <c r="L311" s="259" t="s">
        <v>115</v>
      </c>
      <c r="M311" s="259" t="s">
        <v>119</v>
      </c>
      <c r="P311" s="259" t="s">
        <v>148</v>
      </c>
    </row>
    <row r="312" spans="1:16">
      <c r="A312" s="259" t="s">
        <v>143</v>
      </c>
      <c r="B312" s="259" t="s">
        <v>112</v>
      </c>
      <c r="C312" s="259" t="s">
        <v>204</v>
      </c>
      <c r="D312" s="259" t="s">
        <v>199</v>
      </c>
      <c r="E312" s="259">
        <v>0</v>
      </c>
      <c r="G312" s="259" t="s">
        <v>31</v>
      </c>
      <c r="H312" s="259">
        <v>1</v>
      </c>
      <c r="L312" s="259" t="s">
        <v>146</v>
      </c>
      <c r="M312" s="259" t="s">
        <v>113</v>
      </c>
      <c r="P312" s="259" t="s">
        <v>148</v>
      </c>
    </row>
    <row r="313" spans="1:16">
      <c r="A313" s="259" t="s">
        <v>143</v>
      </c>
      <c r="B313" s="259" t="s">
        <v>112</v>
      </c>
      <c r="C313" s="259" t="s">
        <v>152</v>
      </c>
      <c r="D313" s="259" t="s">
        <v>199</v>
      </c>
      <c r="E313" s="259">
        <v>0</v>
      </c>
      <c r="G313" s="259" t="s">
        <v>31</v>
      </c>
      <c r="H313" s="259">
        <v>1</v>
      </c>
      <c r="L313" s="259" t="s">
        <v>115</v>
      </c>
      <c r="M313" s="259" t="s">
        <v>118</v>
      </c>
      <c r="P313" s="259" t="s">
        <v>148</v>
      </c>
    </row>
    <row r="314" spans="1:16">
      <c r="A314" s="259" t="s">
        <v>143</v>
      </c>
      <c r="B314" s="259" t="s">
        <v>112</v>
      </c>
      <c r="C314" s="259" t="s">
        <v>205</v>
      </c>
      <c r="D314" s="259" t="s">
        <v>199</v>
      </c>
      <c r="E314" s="259">
        <v>0</v>
      </c>
      <c r="G314" s="259" t="s">
        <v>31</v>
      </c>
      <c r="H314" s="259">
        <v>1</v>
      </c>
      <c r="L314" s="259" t="s">
        <v>146</v>
      </c>
      <c r="M314" s="259" t="s">
        <v>113</v>
      </c>
      <c r="P314" s="259" t="s">
        <v>148</v>
      </c>
    </row>
    <row r="315" spans="1:16">
      <c r="A315" s="259" t="s">
        <v>143</v>
      </c>
      <c r="B315" s="259" t="s">
        <v>112</v>
      </c>
      <c r="C315" s="259" t="s">
        <v>206</v>
      </c>
      <c r="D315" s="259" t="s">
        <v>199</v>
      </c>
      <c r="E315" s="259">
        <v>0</v>
      </c>
      <c r="G315" s="259" t="s">
        <v>31</v>
      </c>
      <c r="H315" s="259">
        <v>1</v>
      </c>
      <c r="L315" s="259" t="s">
        <v>115</v>
      </c>
      <c r="M315" s="259" t="s">
        <v>118</v>
      </c>
      <c r="P315" s="259" t="s">
        <v>148</v>
      </c>
    </row>
    <row r="316" spans="1:16">
      <c r="A316" s="259" t="s">
        <v>143</v>
      </c>
      <c r="B316" s="259" t="s">
        <v>112</v>
      </c>
      <c r="C316" s="259" t="s">
        <v>207</v>
      </c>
      <c r="D316" s="259" t="s">
        <v>199</v>
      </c>
      <c r="E316" s="259">
        <v>0</v>
      </c>
      <c r="G316" s="259" t="s">
        <v>31</v>
      </c>
      <c r="H316" s="259">
        <v>1</v>
      </c>
      <c r="L316" s="259" t="s">
        <v>146</v>
      </c>
      <c r="M316" s="259" t="s">
        <v>113</v>
      </c>
      <c r="P316" s="259" t="s">
        <v>148</v>
      </c>
    </row>
    <row r="317" spans="1:16">
      <c r="A317" s="259" t="s">
        <v>143</v>
      </c>
      <c r="B317" s="259" t="s">
        <v>112</v>
      </c>
      <c r="C317" s="259" t="s">
        <v>153</v>
      </c>
      <c r="D317" s="259" t="s">
        <v>199</v>
      </c>
      <c r="E317" s="259">
        <v>0</v>
      </c>
      <c r="G317" s="259" t="s">
        <v>31</v>
      </c>
      <c r="H317" s="259">
        <v>1</v>
      </c>
      <c r="L317" s="259" t="s">
        <v>115</v>
      </c>
      <c r="M317" s="259" t="s">
        <v>118</v>
      </c>
      <c r="P317" s="259" t="s">
        <v>148</v>
      </c>
    </row>
    <row r="318" spans="1:16">
      <c r="A318" s="259" t="s">
        <v>143</v>
      </c>
      <c r="B318" s="259" t="s">
        <v>112</v>
      </c>
      <c r="C318" s="259" t="s">
        <v>154</v>
      </c>
      <c r="D318" s="259" t="s">
        <v>199</v>
      </c>
      <c r="E318" s="259">
        <v>1</v>
      </c>
      <c r="G318" s="259" t="s">
        <v>31</v>
      </c>
      <c r="H318" s="259">
        <v>1</v>
      </c>
      <c r="L318" s="259" t="s">
        <v>115</v>
      </c>
      <c r="M318" s="259" t="s">
        <v>119</v>
      </c>
      <c r="P318" s="259" t="s">
        <v>156</v>
      </c>
    </row>
    <row r="319" spans="1:16">
      <c r="A319" s="259" t="s">
        <v>143</v>
      </c>
      <c r="B319" s="259" t="s">
        <v>112</v>
      </c>
      <c r="C319" s="259" t="s">
        <v>208</v>
      </c>
      <c r="D319" s="259" t="s">
        <v>199</v>
      </c>
      <c r="E319" s="259">
        <v>0</v>
      </c>
      <c r="G319" s="259" t="s">
        <v>31</v>
      </c>
      <c r="H319" s="259">
        <v>1</v>
      </c>
      <c r="L319" s="259" t="s">
        <v>146</v>
      </c>
      <c r="M319" s="259" t="s">
        <v>113</v>
      </c>
      <c r="P319" s="259" t="s">
        <v>156</v>
      </c>
    </row>
    <row r="320" spans="1:16">
      <c r="A320" s="259" t="s">
        <v>143</v>
      </c>
      <c r="B320" s="259" t="s">
        <v>112</v>
      </c>
      <c r="C320" s="259" t="s">
        <v>157</v>
      </c>
      <c r="D320" s="259" t="s">
        <v>199</v>
      </c>
      <c r="E320" s="259">
        <v>0</v>
      </c>
      <c r="G320" s="259" t="s">
        <v>31</v>
      </c>
      <c r="H320" s="259">
        <v>1</v>
      </c>
      <c r="L320" s="259" t="s">
        <v>115</v>
      </c>
      <c r="M320" s="259" t="s">
        <v>119</v>
      </c>
      <c r="P320" s="259" t="s">
        <v>156</v>
      </c>
    </row>
    <row r="321" spans="1:16">
      <c r="A321" s="259" t="s">
        <v>143</v>
      </c>
      <c r="B321" s="259" t="s">
        <v>112</v>
      </c>
      <c r="C321" s="259" t="s">
        <v>209</v>
      </c>
      <c r="D321" s="259" t="s">
        <v>199</v>
      </c>
      <c r="E321" s="259">
        <v>0</v>
      </c>
      <c r="G321" s="259" t="s">
        <v>31</v>
      </c>
      <c r="H321" s="259">
        <v>1</v>
      </c>
      <c r="L321" s="259" t="s">
        <v>146</v>
      </c>
      <c r="M321" s="259" t="s">
        <v>113</v>
      </c>
      <c r="P321" s="259" t="s">
        <v>156</v>
      </c>
    </row>
    <row r="322" spans="1:16">
      <c r="A322" s="259" t="s">
        <v>143</v>
      </c>
      <c r="B322" s="259" t="s">
        <v>112</v>
      </c>
      <c r="C322" s="259" t="s">
        <v>158</v>
      </c>
      <c r="D322" s="259" t="s">
        <v>199</v>
      </c>
      <c r="E322" s="259">
        <v>0</v>
      </c>
      <c r="G322" s="259" t="s">
        <v>31</v>
      </c>
      <c r="H322" s="259">
        <v>1</v>
      </c>
      <c r="L322" s="259" t="s">
        <v>115</v>
      </c>
      <c r="M322" s="259" t="s">
        <v>118</v>
      </c>
      <c r="P322" s="259" t="s">
        <v>156</v>
      </c>
    </row>
    <row r="323" spans="1:16">
      <c r="A323" s="259" t="s">
        <v>143</v>
      </c>
      <c r="B323" s="259" t="s">
        <v>112</v>
      </c>
      <c r="C323" s="259" t="s">
        <v>210</v>
      </c>
      <c r="D323" s="259" t="s">
        <v>199</v>
      </c>
      <c r="E323" s="259">
        <v>1</v>
      </c>
      <c r="G323" s="259" t="s">
        <v>31</v>
      </c>
      <c r="H323" s="259">
        <v>1</v>
      </c>
      <c r="L323" s="259" t="s">
        <v>146</v>
      </c>
      <c r="M323" s="259" t="s">
        <v>113</v>
      </c>
      <c r="P323" s="259" t="s">
        <v>156</v>
      </c>
    </row>
    <row r="324" spans="1:16">
      <c r="A324" s="259" t="s">
        <v>143</v>
      </c>
      <c r="B324" s="259" t="s">
        <v>112</v>
      </c>
      <c r="C324" s="259" t="s">
        <v>159</v>
      </c>
      <c r="D324" s="259" t="s">
        <v>199</v>
      </c>
      <c r="E324" s="259">
        <v>1</v>
      </c>
      <c r="G324" s="259" t="s">
        <v>31</v>
      </c>
      <c r="H324" s="259">
        <v>1</v>
      </c>
      <c r="L324" s="259" t="s">
        <v>115</v>
      </c>
      <c r="M324" s="259" t="s">
        <v>118</v>
      </c>
      <c r="P324" s="259" t="s">
        <v>156</v>
      </c>
    </row>
    <row r="325" spans="1:16">
      <c r="A325" s="259" t="s">
        <v>143</v>
      </c>
      <c r="B325" s="259" t="s">
        <v>112</v>
      </c>
      <c r="C325" s="259" t="s">
        <v>211</v>
      </c>
      <c r="D325" s="259" t="s">
        <v>199</v>
      </c>
      <c r="E325" s="259">
        <v>1</v>
      </c>
      <c r="G325" s="259" t="s">
        <v>31</v>
      </c>
      <c r="H325" s="259">
        <v>1</v>
      </c>
      <c r="L325" s="259" t="s">
        <v>116</v>
      </c>
      <c r="P325" s="259" t="s">
        <v>156</v>
      </c>
    </row>
    <row r="326" spans="1:16">
      <c r="A326" s="259" t="s">
        <v>143</v>
      </c>
      <c r="B326" s="259" t="s">
        <v>112</v>
      </c>
      <c r="C326" s="259" t="s">
        <v>212</v>
      </c>
      <c r="D326" s="259" t="s">
        <v>199</v>
      </c>
      <c r="E326" s="259">
        <v>1</v>
      </c>
      <c r="G326" s="259" t="s">
        <v>31</v>
      </c>
      <c r="H326" s="259">
        <v>1</v>
      </c>
      <c r="L326" s="259" t="s">
        <v>146</v>
      </c>
      <c r="M326" s="259" t="s">
        <v>113</v>
      </c>
      <c r="P326" s="259" t="s">
        <v>156</v>
      </c>
    </row>
    <row r="327" spans="1:16">
      <c r="A327" s="259" t="s">
        <v>143</v>
      </c>
      <c r="B327" s="259" t="s">
        <v>112</v>
      </c>
      <c r="C327" s="259" t="s">
        <v>161</v>
      </c>
      <c r="D327" s="259" t="s">
        <v>199</v>
      </c>
      <c r="E327" s="259">
        <v>1</v>
      </c>
      <c r="G327" s="259" t="s">
        <v>31</v>
      </c>
      <c r="H327" s="259">
        <v>1</v>
      </c>
      <c r="L327" s="259" t="s">
        <v>115</v>
      </c>
      <c r="M327" s="259" t="s">
        <v>119</v>
      </c>
      <c r="P327" s="259" t="s">
        <v>156</v>
      </c>
    </row>
    <row r="328" spans="1:16">
      <c r="A328" s="259" t="s">
        <v>143</v>
      </c>
      <c r="B328" s="259" t="s">
        <v>112</v>
      </c>
      <c r="C328" s="259" t="s">
        <v>162</v>
      </c>
      <c r="D328" s="259" t="s">
        <v>199</v>
      </c>
      <c r="E328" s="259">
        <v>1</v>
      </c>
      <c r="G328" s="259" t="s">
        <v>31</v>
      </c>
      <c r="H328" s="259">
        <v>1</v>
      </c>
      <c r="L328" s="259" t="s">
        <v>115</v>
      </c>
      <c r="M328" s="259" t="s">
        <v>119</v>
      </c>
      <c r="P328" s="259" t="s">
        <v>156</v>
      </c>
    </row>
    <row r="329" spans="1:16">
      <c r="A329" s="259" t="s">
        <v>163</v>
      </c>
      <c r="B329" s="259" t="s">
        <v>112</v>
      </c>
      <c r="C329" s="259" t="s">
        <v>167</v>
      </c>
      <c r="D329" s="259" t="s">
        <v>199</v>
      </c>
      <c r="E329" s="259">
        <v>0</v>
      </c>
      <c r="G329" s="259" t="s">
        <v>31</v>
      </c>
      <c r="H329" s="259">
        <v>1</v>
      </c>
      <c r="L329" s="259" t="s">
        <v>146</v>
      </c>
      <c r="M329" s="259" t="s">
        <v>113</v>
      </c>
      <c r="P329" s="259" t="s">
        <v>166</v>
      </c>
    </row>
    <row r="330" spans="1:16">
      <c r="A330" s="259" t="s">
        <v>163</v>
      </c>
      <c r="B330" s="259" t="s">
        <v>112</v>
      </c>
      <c r="C330" s="259" t="s">
        <v>168</v>
      </c>
      <c r="D330" s="259" t="s">
        <v>199</v>
      </c>
      <c r="E330" s="259">
        <v>0</v>
      </c>
      <c r="G330" s="259" t="s">
        <v>31</v>
      </c>
      <c r="H330" s="259">
        <v>1</v>
      </c>
      <c r="L330" s="259" t="s">
        <v>146</v>
      </c>
      <c r="M330" s="259" t="s">
        <v>113</v>
      </c>
      <c r="P330" s="259" t="s">
        <v>166</v>
      </c>
    </row>
    <row r="331" spans="1:16">
      <c r="A331" s="259" t="s">
        <v>163</v>
      </c>
      <c r="B331" s="259" t="s">
        <v>112</v>
      </c>
      <c r="C331" s="259" t="s">
        <v>169</v>
      </c>
      <c r="D331" s="259" t="s">
        <v>199</v>
      </c>
      <c r="E331" s="259">
        <v>0</v>
      </c>
      <c r="G331" s="259" t="s">
        <v>31</v>
      </c>
      <c r="H331" s="259">
        <v>1</v>
      </c>
      <c r="L331" s="259" t="s">
        <v>146</v>
      </c>
      <c r="M331" s="259" t="s">
        <v>113</v>
      </c>
      <c r="P331" s="259" t="s">
        <v>166</v>
      </c>
    </row>
    <row r="332" spans="1:16">
      <c r="A332" s="259" t="s">
        <v>163</v>
      </c>
      <c r="B332" s="259" t="s">
        <v>112</v>
      </c>
      <c r="C332" s="259" t="s">
        <v>170</v>
      </c>
      <c r="D332" s="259" t="s">
        <v>199</v>
      </c>
      <c r="E332" s="259">
        <v>0</v>
      </c>
      <c r="G332" s="259" t="s">
        <v>31</v>
      </c>
      <c r="H332" s="259">
        <v>1</v>
      </c>
      <c r="L332" s="259" t="s">
        <v>146</v>
      </c>
      <c r="M332" s="259" t="s">
        <v>113</v>
      </c>
      <c r="P332" s="259" t="s">
        <v>166</v>
      </c>
    </row>
    <row r="333" spans="1:16">
      <c r="A333" s="259" t="s">
        <v>163</v>
      </c>
      <c r="B333" s="259" t="s">
        <v>112</v>
      </c>
      <c r="C333" s="259" t="s">
        <v>171</v>
      </c>
      <c r="D333" s="259" t="s">
        <v>199</v>
      </c>
      <c r="E333" s="259">
        <v>0</v>
      </c>
      <c r="G333" s="259" t="s">
        <v>31</v>
      </c>
      <c r="H333" s="259">
        <v>1</v>
      </c>
      <c r="L333" s="259" t="s">
        <v>146</v>
      </c>
      <c r="M333" s="259" t="s">
        <v>113</v>
      </c>
      <c r="P333" s="259" t="s">
        <v>166</v>
      </c>
    </row>
    <row r="334" spans="1:16">
      <c r="A334" s="259" t="s">
        <v>163</v>
      </c>
      <c r="B334" s="259" t="s">
        <v>112</v>
      </c>
      <c r="C334" s="259" t="s">
        <v>172</v>
      </c>
      <c r="D334" s="259" t="s">
        <v>199</v>
      </c>
      <c r="E334" s="259">
        <v>0</v>
      </c>
      <c r="G334" s="259" t="s">
        <v>31</v>
      </c>
      <c r="H334" s="259">
        <v>1</v>
      </c>
      <c r="L334" s="259" t="s">
        <v>146</v>
      </c>
      <c r="M334" s="259" t="s">
        <v>113</v>
      </c>
      <c r="P334" s="259" t="s">
        <v>166</v>
      </c>
    </row>
    <row r="335" spans="1:16">
      <c r="A335" s="259" t="s">
        <v>163</v>
      </c>
      <c r="B335" s="259" t="s">
        <v>112</v>
      </c>
      <c r="C335" s="259" t="s">
        <v>164</v>
      </c>
      <c r="D335" s="259" t="s">
        <v>199</v>
      </c>
      <c r="E335" s="259">
        <v>0</v>
      </c>
      <c r="G335" s="259" t="s">
        <v>31</v>
      </c>
      <c r="H335" s="259">
        <v>1</v>
      </c>
      <c r="L335" s="259" t="s">
        <v>146</v>
      </c>
      <c r="M335" s="259" t="s">
        <v>113</v>
      </c>
      <c r="P335" s="259" t="s">
        <v>166</v>
      </c>
    </row>
    <row r="336" spans="1:16">
      <c r="A336" s="259" t="s">
        <v>163</v>
      </c>
      <c r="B336" s="259" t="s">
        <v>112</v>
      </c>
      <c r="C336" s="259" t="s">
        <v>173</v>
      </c>
      <c r="D336" s="259" t="s">
        <v>199</v>
      </c>
      <c r="E336" s="259">
        <v>0</v>
      </c>
      <c r="G336" s="259" t="s">
        <v>31</v>
      </c>
      <c r="H336" s="259">
        <v>1</v>
      </c>
      <c r="L336" s="259" t="s">
        <v>146</v>
      </c>
      <c r="M336" s="259" t="s">
        <v>113</v>
      </c>
      <c r="P336" s="259" t="s">
        <v>166</v>
      </c>
    </row>
    <row r="337" spans="1:16">
      <c r="A337" s="259" t="s">
        <v>163</v>
      </c>
      <c r="B337" s="259" t="s">
        <v>112</v>
      </c>
      <c r="C337" s="259" t="s">
        <v>174</v>
      </c>
      <c r="D337" s="259" t="s">
        <v>199</v>
      </c>
      <c r="E337" s="259">
        <v>0</v>
      </c>
      <c r="G337" s="259" t="s">
        <v>31</v>
      </c>
      <c r="H337" s="259">
        <v>1</v>
      </c>
      <c r="L337" s="259" t="s">
        <v>146</v>
      </c>
      <c r="M337" s="259" t="s">
        <v>113</v>
      </c>
      <c r="P337" s="259" t="s">
        <v>166</v>
      </c>
    </row>
    <row r="338" spans="1:16">
      <c r="A338" s="259" t="s">
        <v>163</v>
      </c>
      <c r="B338" s="259" t="s">
        <v>112</v>
      </c>
      <c r="C338" s="259" t="s">
        <v>175</v>
      </c>
      <c r="D338" s="259" t="s">
        <v>199</v>
      </c>
      <c r="E338" s="259">
        <v>0</v>
      </c>
      <c r="G338" s="259" t="s">
        <v>31</v>
      </c>
      <c r="H338" s="259">
        <v>1</v>
      </c>
      <c r="L338" s="259" t="s">
        <v>146</v>
      </c>
      <c r="M338" s="259" t="s">
        <v>113</v>
      </c>
      <c r="P338" s="259" t="s">
        <v>166</v>
      </c>
    </row>
    <row r="339" spans="1:16">
      <c r="A339" s="259" t="s">
        <v>163</v>
      </c>
      <c r="B339" s="259" t="s">
        <v>112</v>
      </c>
      <c r="C339" s="259" t="s">
        <v>176</v>
      </c>
      <c r="D339" s="259" t="s">
        <v>199</v>
      </c>
      <c r="E339" s="259">
        <v>0</v>
      </c>
      <c r="G339" s="259" t="s">
        <v>31</v>
      </c>
      <c r="H339" s="259">
        <v>1</v>
      </c>
      <c r="L339" s="259" t="s">
        <v>146</v>
      </c>
      <c r="M339" s="259" t="s">
        <v>113</v>
      </c>
      <c r="P339" s="259" t="s">
        <v>166</v>
      </c>
    </row>
    <row r="340" spans="1:16">
      <c r="A340" s="259" t="s">
        <v>163</v>
      </c>
      <c r="B340" s="259" t="s">
        <v>112</v>
      </c>
      <c r="C340" s="259" t="s">
        <v>177</v>
      </c>
      <c r="D340" s="259" t="s">
        <v>199</v>
      </c>
      <c r="E340" s="259">
        <v>0</v>
      </c>
      <c r="G340" s="259" t="s">
        <v>31</v>
      </c>
      <c r="H340" s="259">
        <v>1</v>
      </c>
      <c r="L340" s="259" t="s">
        <v>146</v>
      </c>
      <c r="M340" s="259" t="s">
        <v>113</v>
      </c>
      <c r="P340" s="259" t="s">
        <v>166</v>
      </c>
    </row>
    <row r="341" spans="1:16">
      <c r="A341" s="259" t="s">
        <v>163</v>
      </c>
      <c r="B341" s="259" t="s">
        <v>112</v>
      </c>
      <c r="C341" s="259" t="s">
        <v>178</v>
      </c>
      <c r="D341" s="259" t="s">
        <v>199</v>
      </c>
      <c r="E341" s="259">
        <v>0</v>
      </c>
      <c r="G341" s="259" t="s">
        <v>31</v>
      </c>
      <c r="H341" s="259">
        <v>1</v>
      </c>
      <c r="L341" s="259" t="s">
        <v>146</v>
      </c>
      <c r="M341" s="259" t="s">
        <v>113</v>
      </c>
      <c r="P341" s="259" t="s">
        <v>179</v>
      </c>
    </row>
    <row r="342" spans="1:16">
      <c r="A342" s="259" t="s">
        <v>163</v>
      </c>
      <c r="B342" s="259" t="s">
        <v>112</v>
      </c>
      <c r="C342" s="259" t="s">
        <v>180</v>
      </c>
      <c r="D342" s="259" t="s">
        <v>199</v>
      </c>
      <c r="E342" s="259">
        <v>0</v>
      </c>
      <c r="G342" s="259" t="s">
        <v>31</v>
      </c>
      <c r="H342" s="259">
        <v>1</v>
      </c>
      <c r="L342" s="259" t="s">
        <v>146</v>
      </c>
      <c r="M342" s="259" t="s">
        <v>113</v>
      </c>
      <c r="P342" s="259" t="s">
        <v>179</v>
      </c>
    </row>
    <row r="343" spans="1:16">
      <c r="A343" s="259" t="s">
        <v>163</v>
      </c>
      <c r="B343" s="259" t="s">
        <v>112</v>
      </c>
      <c r="C343" s="259" t="s">
        <v>213</v>
      </c>
      <c r="D343" s="259" t="s">
        <v>199</v>
      </c>
      <c r="E343" s="259">
        <v>0</v>
      </c>
      <c r="G343" s="259" t="s">
        <v>31</v>
      </c>
      <c r="H343" s="259">
        <v>1</v>
      </c>
      <c r="L343" s="259" t="s">
        <v>146</v>
      </c>
      <c r="M343" s="259" t="s">
        <v>113</v>
      </c>
      <c r="P343" s="259" t="s">
        <v>214</v>
      </c>
    </row>
    <row r="346" spans="1:16" s="257" customFormat="1">
      <c r="A346" s="257" t="s">
        <v>95</v>
      </c>
      <c r="B346" s="257" t="s">
        <v>96</v>
      </c>
      <c r="C346" s="257" t="s">
        <v>97</v>
      </c>
      <c r="D346" s="257" t="s">
        <v>98</v>
      </c>
      <c r="E346" s="257" t="s">
        <v>99</v>
      </c>
      <c r="F346" s="257" t="s">
        <v>100</v>
      </c>
      <c r="G346" s="257" t="s">
        <v>101</v>
      </c>
      <c r="H346" s="257" t="s">
        <v>102</v>
      </c>
      <c r="I346" s="257" t="s">
        <v>103</v>
      </c>
      <c r="J346" s="257" t="s">
        <v>104</v>
      </c>
      <c r="K346" s="257" t="s">
        <v>105</v>
      </c>
      <c r="L346" s="257" t="s">
        <v>106</v>
      </c>
      <c r="M346" s="257" t="s">
        <v>107</v>
      </c>
      <c r="N346" s="257" t="s">
        <v>108</v>
      </c>
      <c r="O346" s="257" t="s">
        <v>109</v>
      </c>
      <c r="P346" s="257" t="s">
        <v>110</v>
      </c>
    </row>
    <row r="347" spans="1:16">
      <c r="A347" s="259" t="s">
        <v>217</v>
      </c>
      <c r="B347" s="259" t="s">
        <v>112</v>
      </c>
      <c r="C347" s="259" t="s">
        <v>220</v>
      </c>
      <c r="D347" s="259" t="s">
        <v>139</v>
      </c>
      <c r="E347" s="259">
        <v>136.00324119999999</v>
      </c>
      <c r="G347" s="259">
        <v>0</v>
      </c>
      <c r="H347" s="259">
        <v>1</v>
      </c>
      <c r="L347" s="259" t="s">
        <v>146</v>
      </c>
      <c r="M347" s="259" t="s">
        <v>113</v>
      </c>
      <c r="O347" s="259" t="s">
        <v>218</v>
      </c>
      <c r="P347" s="259" t="s">
        <v>219</v>
      </c>
    </row>
    <row r="348" spans="1:16">
      <c r="A348" s="259" t="s">
        <v>217</v>
      </c>
      <c r="B348" s="259" t="s">
        <v>112</v>
      </c>
      <c r="C348" s="259" t="s">
        <v>221</v>
      </c>
      <c r="D348" s="259" t="s">
        <v>139</v>
      </c>
      <c r="E348" s="259">
        <v>12763.36414</v>
      </c>
      <c r="G348" s="259">
        <v>0</v>
      </c>
      <c r="H348" s="259">
        <v>1</v>
      </c>
      <c r="L348" s="259" t="s">
        <v>146</v>
      </c>
      <c r="M348" s="259" t="s">
        <v>113</v>
      </c>
      <c r="O348" s="259" t="s">
        <v>218</v>
      </c>
      <c r="P348" s="259" t="s">
        <v>219</v>
      </c>
    </row>
    <row r="349" spans="1:16">
      <c r="A349" s="259" t="s">
        <v>217</v>
      </c>
      <c r="B349" s="259" t="s">
        <v>112</v>
      </c>
      <c r="C349" s="259" t="s">
        <v>222</v>
      </c>
      <c r="D349" s="259" t="s">
        <v>139</v>
      </c>
      <c r="E349" s="259">
        <v>3438.6520989999999</v>
      </c>
      <c r="G349" s="259">
        <v>0</v>
      </c>
      <c r="H349" s="259">
        <v>1</v>
      </c>
      <c r="L349" s="259" t="s">
        <v>146</v>
      </c>
      <c r="M349" s="259" t="s">
        <v>113</v>
      </c>
      <c r="O349" s="259" t="s">
        <v>218</v>
      </c>
      <c r="P349" s="259" t="s">
        <v>219</v>
      </c>
    </row>
    <row r="350" spans="1:16">
      <c r="A350" s="259" t="s">
        <v>217</v>
      </c>
      <c r="B350" s="259" t="s">
        <v>112</v>
      </c>
      <c r="C350" s="259" t="s">
        <v>223</v>
      </c>
      <c r="D350" s="259" t="s">
        <v>139</v>
      </c>
      <c r="E350" s="259">
        <v>27914.641329999999</v>
      </c>
      <c r="G350" s="259">
        <v>0</v>
      </c>
      <c r="H350" s="259">
        <v>1</v>
      </c>
      <c r="L350" s="259" t="s">
        <v>146</v>
      </c>
      <c r="M350" s="259" t="s">
        <v>113</v>
      </c>
      <c r="O350" s="259" t="s">
        <v>218</v>
      </c>
      <c r="P350" s="259" t="s">
        <v>219</v>
      </c>
    </row>
    <row r="351" spans="1:16">
      <c r="A351" s="259" t="s">
        <v>217</v>
      </c>
      <c r="B351" s="259" t="s">
        <v>112</v>
      </c>
      <c r="C351" s="259" t="s">
        <v>224</v>
      </c>
      <c r="D351" s="259" t="s">
        <v>139</v>
      </c>
      <c r="E351" s="259">
        <v>10609.05229</v>
      </c>
      <c r="G351" s="259">
        <v>0</v>
      </c>
      <c r="H351" s="259">
        <v>1</v>
      </c>
      <c r="L351" s="259" t="s">
        <v>146</v>
      </c>
      <c r="M351" s="259" t="s">
        <v>113</v>
      </c>
      <c r="O351" s="259" t="s">
        <v>218</v>
      </c>
      <c r="P351" s="259" t="s">
        <v>219</v>
      </c>
    </row>
    <row r="352" spans="1:16">
      <c r="A352" s="259" t="s">
        <v>217</v>
      </c>
      <c r="B352" s="259" t="s">
        <v>112</v>
      </c>
      <c r="C352" s="259" t="s">
        <v>225</v>
      </c>
      <c r="D352" s="259" t="s">
        <v>139</v>
      </c>
      <c r="E352" s="259">
        <v>1503.4898229999999</v>
      </c>
      <c r="G352" s="259">
        <v>0</v>
      </c>
      <c r="H352" s="259">
        <v>1</v>
      </c>
      <c r="L352" s="259" t="s">
        <v>146</v>
      </c>
      <c r="M352" s="259" t="s">
        <v>113</v>
      </c>
      <c r="O352" s="259" t="s">
        <v>218</v>
      </c>
      <c r="P352" s="259" t="s">
        <v>219</v>
      </c>
    </row>
    <row r="353" spans="1:16">
      <c r="A353" s="259" t="s">
        <v>217</v>
      </c>
      <c r="B353" s="259" t="s">
        <v>112</v>
      </c>
      <c r="C353" s="259" t="s">
        <v>226</v>
      </c>
      <c r="D353" s="259" t="s">
        <v>139</v>
      </c>
      <c r="E353" s="259">
        <v>78833.74437</v>
      </c>
      <c r="G353" s="259">
        <v>0</v>
      </c>
      <c r="H353" s="259">
        <v>1</v>
      </c>
      <c r="L353" s="259" t="s">
        <v>146</v>
      </c>
      <c r="M353" s="259" t="s">
        <v>113</v>
      </c>
      <c r="O353" s="259" t="s">
        <v>218</v>
      </c>
      <c r="P353" s="259" t="s">
        <v>219</v>
      </c>
    </row>
    <row r="354" spans="1:16">
      <c r="A354" s="259" t="s">
        <v>217</v>
      </c>
      <c r="B354" s="259" t="s">
        <v>112</v>
      </c>
      <c r="C354" s="259" t="s">
        <v>227</v>
      </c>
      <c r="D354" s="259" t="s">
        <v>139</v>
      </c>
      <c r="E354" s="259">
        <v>60939.694660000001</v>
      </c>
      <c r="G354" s="259">
        <v>0</v>
      </c>
      <c r="H354" s="259">
        <v>1</v>
      </c>
      <c r="L354" s="259" t="s">
        <v>146</v>
      </c>
      <c r="M354" s="259" t="s">
        <v>113</v>
      </c>
      <c r="O354" s="259" t="s">
        <v>218</v>
      </c>
      <c r="P354" s="259" t="s">
        <v>219</v>
      </c>
    </row>
    <row r="355" spans="1:16">
      <c r="A355" s="259" t="s">
        <v>217</v>
      </c>
      <c r="B355" s="259" t="s">
        <v>112</v>
      </c>
      <c r="C355" s="259" t="s">
        <v>228</v>
      </c>
      <c r="D355" s="259" t="s">
        <v>139</v>
      </c>
      <c r="E355" s="259">
        <v>12477.61988</v>
      </c>
      <c r="G355" s="259">
        <v>0</v>
      </c>
      <c r="H355" s="259">
        <v>1</v>
      </c>
      <c r="L355" s="259" t="s">
        <v>146</v>
      </c>
      <c r="M355" s="259" t="s">
        <v>113</v>
      </c>
      <c r="O355" s="259" t="s">
        <v>218</v>
      </c>
      <c r="P355" s="259" t="s">
        <v>219</v>
      </c>
    </row>
    <row r="356" spans="1:16">
      <c r="A356" s="259" t="s">
        <v>217</v>
      </c>
      <c r="B356" s="259" t="s">
        <v>112</v>
      </c>
      <c r="C356" s="259" t="s">
        <v>216</v>
      </c>
      <c r="D356" s="259" t="s">
        <v>139</v>
      </c>
      <c r="E356" s="259">
        <v>519.81201610000005</v>
      </c>
      <c r="G356" s="259">
        <v>0</v>
      </c>
      <c r="H356" s="259">
        <v>1</v>
      </c>
      <c r="L356" s="259" t="s">
        <v>146</v>
      </c>
      <c r="M356" s="259" t="s">
        <v>113</v>
      </c>
      <c r="O356" s="259" t="s">
        <v>218</v>
      </c>
      <c r="P356" s="259" t="s">
        <v>219</v>
      </c>
    </row>
    <row r="357" spans="1:16">
      <c r="A357" s="259" t="s">
        <v>217</v>
      </c>
      <c r="B357" s="259" t="s">
        <v>112</v>
      </c>
      <c r="C357" s="259" t="s">
        <v>229</v>
      </c>
      <c r="D357" s="259" t="s">
        <v>139</v>
      </c>
      <c r="E357" s="259">
        <v>82.695050910000006</v>
      </c>
      <c r="G357" s="259">
        <v>0</v>
      </c>
      <c r="H357" s="259">
        <v>1</v>
      </c>
      <c r="L357" s="259" t="s">
        <v>146</v>
      </c>
      <c r="M357" s="259" t="s">
        <v>113</v>
      </c>
      <c r="O357" s="259" t="s">
        <v>218</v>
      </c>
      <c r="P357" s="259" t="s">
        <v>219</v>
      </c>
    </row>
    <row r="358" spans="1:16">
      <c r="A358" s="259" t="s">
        <v>217</v>
      </c>
      <c r="B358" s="259" t="s">
        <v>112</v>
      </c>
      <c r="C358" s="259" t="s">
        <v>230</v>
      </c>
      <c r="D358" s="259" t="s">
        <v>139</v>
      </c>
      <c r="E358" s="259">
        <v>27914.641339999998</v>
      </c>
      <c r="G358" s="259">
        <v>0</v>
      </c>
      <c r="H358" s="259">
        <v>1</v>
      </c>
      <c r="L358" s="259" t="s">
        <v>146</v>
      </c>
      <c r="M358" s="259" t="s">
        <v>113</v>
      </c>
      <c r="O358" s="259" t="s">
        <v>218</v>
      </c>
      <c r="P358" s="259" t="s">
        <v>219</v>
      </c>
    </row>
    <row r="359" spans="1:16">
      <c r="A359" s="259" t="s">
        <v>217</v>
      </c>
      <c r="B359" s="259" t="s">
        <v>112</v>
      </c>
      <c r="C359" s="259" t="s">
        <v>231</v>
      </c>
      <c r="D359" s="259" t="s">
        <v>139</v>
      </c>
      <c r="E359" s="259">
        <v>2435.5018089999999</v>
      </c>
      <c r="G359" s="259">
        <v>0</v>
      </c>
      <c r="H359" s="259">
        <v>1</v>
      </c>
      <c r="L359" s="259" t="s">
        <v>146</v>
      </c>
      <c r="M359" s="259" t="s">
        <v>113</v>
      </c>
      <c r="O359" s="259" t="s">
        <v>218</v>
      </c>
      <c r="P359" s="259" t="s">
        <v>219</v>
      </c>
    </row>
    <row r="360" spans="1:16">
      <c r="A360" s="259" t="s">
        <v>217</v>
      </c>
      <c r="B360" s="259" t="s">
        <v>112</v>
      </c>
      <c r="C360" s="259" t="s">
        <v>232</v>
      </c>
      <c r="D360" s="259" t="s">
        <v>139</v>
      </c>
      <c r="E360" s="259">
        <v>115635.45699999999</v>
      </c>
      <c r="G360" s="259">
        <v>0</v>
      </c>
      <c r="H360" s="259">
        <v>1</v>
      </c>
      <c r="L360" s="259" t="s">
        <v>146</v>
      </c>
      <c r="M360" s="259" t="s">
        <v>113</v>
      </c>
      <c r="O360" s="259" t="s">
        <v>218</v>
      </c>
      <c r="P360" s="259" t="s">
        <v>219</v>
      </c>
    </row>
    <row r="361" spans="1:16">
      <c r="A361" s="259" t="s">
        <v>217</v>
      </c>
      <c r="B361" s="259" t="s">
        <v>112</v>
      </c>
      <c r="C361" s="259" t="s">
        <v>234</v>
      </c>
      <c r="D361" s="259" t="s">
        <v>139</v>
      </c>
      <c r="E361" s="259">
        <v>680548</v>
      </c>
      <c r="G361" s="259">
        <v>0</v>
      </c>
      <c r="H361" s="259">
        <v>1</v>
      </c>
      <c r="L361" s="259" t="s">
        <v>146</v>
      </c>
      <c r="M361" s="259" t="s">
        <v>113</v>
      </c>
      <c r="P361" s="259" t="s">
        <v>233</v>
      </c>
    </row>
    <row r="362" spans="1:16">
      <c r="A362" s="259" t="s">
        <v>217</v>
      </c>
      <c r="B362" s="259" t="s">
        <v>112</v>
      </c>
      <c r="C362" s="259" t="s">
        <v>235</v>
      </c>
      <c r="D362" s="259" t="s">
        <v>139</v>
      </c>
      <c r="E362" s="259">
        <v>64803.034099999997</v>
      </c>
      <c r="G362" s="259">
        <v>0</v>
      </c>
      <c r="H362" s="259">
        <v>1</v>
      </c>
      <c r="L362" s="259" t="s">
        <v>146</v>
      </c>
      <c r="M362" s="259" t="s">
        <v>113</v>
      </c>
      <c r="O362" s="259" t="s">
        <v>218</v>
      </c>
      <c r="P362" s="259" t="s">
        <v>233</v>
      </c>
    </row>
    <row r="363" spans="1:16">
      <c r="A363" s="259" t="s">
        <v>217</v>
      </c>
      <c r="B363" s="259" t="s">
        <v>112</v>
      </c>
      <c r="C363" s="259" t="s">
        <v>236</v>
      </c>
      <c r="D363" s="259" t="s">
        <v>139</v>
      </c>
      <c r="E363" s="259">
        <v>45344.59188</v>
      </c>
      <c r="G363" s="259">
        <v>0</v>
      </c>
      <c r="H363" s="259">
        <v>1</v>
      </c>
      <c r="L363" s="259" t="s">
        <v>146</v>
      </c>
      <c r="M363" s="259" t="s">
        <v>113</v>
      </c>
      <c r="O363" s="259" t="s">
        <v>218</v>
      </c>
      <c r="P363" s="259" t="s">
        <v>233</v>
      </c>
    </row>
    <row r="364" spans="1:16">
      <c r="A364" s="259" t="s">
        <v>217</v>
      </c>
      <c r="B364" s="259" t="s">
        <v>112</v>
      </c>
      <c r="C364" s="259" t="s">
        <v>237</v>
      </c>
      <c r="D364" s="259" t="s">
        <v>139</v>
      </c>
      <c r="E364" s="259">
        <v>76531.999209999994</v>
      </c>
      <c r="G364" s="259">
        <v>0</v>
      </c>
      <c r="H364" s="259">
        <v>1</v>
      </c>
      <c r="L364" s="259" t="s">
        <v>146</v>
      </c>
      <c r="M364" s="259" t="s">
        <v>113</v>
      </c>
      <c r="O364" s="259" t="s">
        <v>218</v>
      </c>
      <c r="P364" s="259" t="s">
        <v>233</v>
      </c>
    </row>
    <row r="365" spans="1:16">
      <c r="A365" s="259" t="s">
        <v>217</v>
      </c>
      <c r="B365" s="259" t="s">
        <v>112</v>
      </c>
      <c r="C365" s="259" t="s">
        <v>238</v>
      </c>
      <c r="D365" s="259" t="s">
        <v>139</v>
      </c>
      <c r="E365" s="259">
        <v>23876.148000000001</v>
      </c>
      <c r="G365" s="259">
        <v>0</v>
      </c>
      <c r="H365" s="259">
        <v>1</v>
      </c>
      <c r="L365" s="259" t="s">
        <v>146</v>
      </c>
      <c r="M365" s="259" t="s">
        <v>113</v>
      </c>
      <c r="O365" s="259" t="s">
        <v>218</v>
      </c>
      <c r="P365" s="259" t="s">
        <v>233</v>
      </c>
    </row>
    <row r="366" spans="1:16">
      <c r="A366" s="259" t="s">
        <v>217</v>
      </c>
      <c r="B366" s="259" t="s">
        <v>112</v>
      </c>
      <c r="C366" s="259" t="s">
        <v>239</v>
      </c>
      <c r="D366" s="259" t="s">
        <v>139</v>
      </c>
      <c r="E366" s="259">
        <v>82890.406780000005</v>
      </c>
      <c r="G366" s="259">
        <v>0</v>
      </c>
      <c r="H366" s="259">
        <v>1</v>
      </c>
      <c r="L366" s="259" t="s">
        <v>146</v>
      </c>
      <c r="M366" s="259" t="s">
        <v>113</v>
      </c>
      <c r="O366" s="259" t="s">
        <v>218</v>
      </c>
      <c r="P366" s="259" t="s">
        <v>233</v>
      </c>
    </row>
    <row r="367" spans="1:16">
      <c r="A367" s="259" t="s">
        <v>217</v>
      </c>
      <c r="B367" s="259" t="s">
        <v>112</v>
      </c>
      <c r="C367" s="259" t="s">
        <v>240</v>
      </c>
      <c r="D367" s="259" t="s">
        <v>139</v>
      </c>
      <c r="E367" s="259">
        <v>1412.1109240000001</v>
      </c>
      <c r="G367" s="259">
        <v>0</v>
      </c>
      <c r="H367" s="259">
        <v>1</v>
      </c>
      <c r="L367" s="259" t="s">
        <v>146</v>
      </c>
      <c r="M367" s="259" t="s">
        <v>113</v>
      </c>
      <c r="O367" s="259" t="s">
        <v>218</v>
      </c>
      <c r="P367" s="259" t="s">
        <v>233</v>
      </c>
    </row>
    <row r="368" spans="1:16">
      <c r="A368" s="259" t="s">
        <v>217</v>
      </c>
      <c r="B368" s="259" t="s">
        <v>112</v>
      </c>
      <c r="C368" s="259" t="s">
        <v>241</v>
      </c>
      <c r="D368" s="259" t="s">
        <v>139</v>
      </c>
      <c r="E368" s="259">
        <v>41848.54666</v>
      </c>
      <c r="G368" s="259">
        <v>0</v>
      </c>
      <c r="H368" s="259">
        <v>1</v>
      </c>
      <c r="L368" s="259" t="s">
        <v>146</v>
      </c>
      <c r="M368" s="259" t="s">
        <v>113</v>
      </c>
      <c r="O368" s="259" t="s">
        <v>218</v>
      </c>
      <c r="P368" s="259" t="s">
        <v>233</v>
      </c>
    </row>
    <row r="369" spans="1:16">
      <c r="A369" s="259" t="s">
        <v>217</v>
      </c>
      <c r="B369" s="259" t="s">
        <v>112</v>
      </c>
      <c r="C369" s="259" t="s">
        <v>242</v>
      </c>
      <c r="D369" s="259" t="s">
        <v>139</v>
      </c>
      <c r="E369" s="259">
        <v>6554.9731840000004</v>
      </c>
      <c r="G369" s="259">
        <v>0</v>
      </c>
      <c r="H369" s="259">
        <v>1</v>
      </c>
      <c r="L369" s="259" t="s">
        <v>146</v>
      </c>
      <c r="M369" s="259" t="s">
        <v>113</v>
      </c>
      <c r="O369" s="259" t="s">
        <v>218</v>
      </c>
      <c r="P369" s="259" t="s">
        <v>233</v>
      </c>
    </row>
    <row r="370" spans="1:16">
      <c r="A370" s="259" t="s">
        <v>217</v>
      </c>
      <c r="B370" s="259" t="s">
        <v>112</v>
      </c>
      <c r="C370" s="259" t="s">
        <v>243</v>
      </c>
      <c r="D370" s="259" t="s">
        <v>139</v>
      </c>
      <c r="E370" s="259">
        <v>2268.9974830000001</v>
      </c>
      <c r="G370" s="259">
        <v>0</v>
      </c>
      <c r="H370" s="259">
        <v>1</v>
      </c>
      <c r="L370" s="259" t="s">
        <v>146</v>
      </c>
      <c r="M370" s="259" t="s">
        <v>113</v>
      </c>
      <c r="O370" s="259" t="s">
        <v>218</v>
      </c>
      <c r="P370" s="259" t="s">
        <v>233</v>
      </c>
    </row>
    <row r="371" spans="1:16">
      <c r="A371" s="259" t="s">
        <v>217</v>
      </c>
      <c r="B371" s="259" t="s">
        <v>112</v>
      </c>
      <c r="C371" s="259" t="s">
        <v>244</v>
      </c>
      <c r="D371" s="259" t="s">
        <v>139</v>
      </c>
      <c r="E371" s="259">
        <v>22147.919170000001</v>
      </c>
      <c r="G371" s="259">
        <v>0</v>
      </c>
      <c r="H371" s="259">
        <v>1</v>
      </c>
      <c r="L371" s="259" t="s">
        <v>146</v>
      </c>
      <c r="M371" s="259" t="s">
        <v>113</v>
      </c>
      <c r="O371" s="259" t="s">
        <v>218</v>
      </c>
      <c r="P371" s="259" t="s">
        <v>233</v>
      </c>
    </row>
    <row r="372" spans="1:16">
      <c r="A372" s="259" t="s">
        <v>217</v>
      </c>
      <c r="B372" s="259" t="s">
        <v>112</v>
      </c>
      <c r="C372" s="259" t="s">
        <v>245</v>
      </c>
      <c r="D372" s="259" t="s">
        <v>139</v>
      </c>
      <c r="E372" s="259">
        <v>75967.362739999997</v>
      </c>
      <c r="G372" s="259">
        <v>0</v>
      </c>
      <c r="H372" s="259">
        <v>1</v>
      </c>
      <c r="L372" s="259" t="s">
        <v>146</v>
      </c>
      <c r="M372" s="259" t="s">
        <v>113</v>
      </c>
      <c r="O372" s="259" t="s">
        <v>218</v>
      </c>
      <c r="P372" s="259" t="s">
        <v>233</v>
      </c>
    </row>
    <row r="373" spans="1:16">
      <c r="A373" s="259" t="s">
        <v>217</v>
      </c>
      <c r="B373" s="259" t="s">
        <v>112</v>
      </c>
      <c r="C373" s="259" t="s">
        <v>246</v>
      </c>
      <c r="D373" s="259" t="s">
        <v>139</v>
      </c>
      <c r="E373" s="259">
        <v>19341.712009999999</v>
      </c>
      <c r="G373" s="259">
        <v>0</v>
      </c>
      <c r="H373" s="259">
        <v>1</v>
      </c>
      <c r="L373" s="259" t="s">
        <v>146</v>
      </c>
      <c r="M373" s="259" t="s">
        <v>113</v>
      </c>
      <c r="O373" s="259" t="s">
        <v>218</v>
      </c>
      <c r="P373" s="259" t="s">
        <v>233</v>
      </c>
    </row>
    <row r="374" spans="1:16">
      <c r="A374" s="259" t="s">
        <v>217</v>
      </c>
      <c r="B374" s="259" t="s">
        <v>112</v>
      </c>
      <c r="C374" s="259" t="s">
        <v>247</v>
      </c>
      <c r="D374" s="259" t="s">
        <v>139</v>
      </c>
      <c r="E374" s="259">
        <v>44040.87831</v>
      </c>
      <c r="G374" s="259">
        <v>0</v>
      </c>
      <c r="H374" s="259">
        <v>1</v>
      </c>
      <c r="L374" s="259" t="s">
        <v>146</v>
      </c>
      <c r="M374" s="259" t="s">
        <v>113</v>
      </c>
      <c r="O374" s="259" t="s">
        <v>218</v>
      </c>
      <c r="P374" s="259" t="s">
        <v>233</v>
      </c>
    </row>
    <row r="375" spans="1:16">
      <c r="A375" s="259" t="s">
        <v>217</v>
      </c>
      <c r="B375" s="259" t="s">
        <v>112</v>
      </c>
      <c r="C375" s="259" t="s">
        <v>248</v>
      </c>
      <c r="D375" s="259" t="s">
        <v>139</v>
      </c>
      <c r="E375" s="259">
        <v>25227.520260000001</v>
      </c>
      <c r="G375" s="259">
        <v>0</v>
      </c>
      <c r="H375" s="259">
        <v>1</v>
      </c>
      <c r="L375" s="259" t="s">
        <v>146</v>
      </c>
      <c r="M375" s="259" t="s">
        <v>113</v>
      </c>
      <c r="O375" s="259" t="s">
        <v>218</v>
      </c>
      <c r="P375" s="259" t="s">
        <v>233</v>
      </c>
    </row>
    <row r="376" spans="1:16">
      <c r="A376" s="259" t="s">
        <v>217</v>
      </c>
      <c r="B376" s="259" t="s">
        <v>112</v>
      </c>
      <c r="C376" s="259" t="s">
        <v>249</v>
      </c>
      <c r="D376" s="259" t="s">
        <v>139</v>
      </c>
      <c r="E376" s="259">
        <v>56418.58597</v>
      </c>
      <c r="G376" s="259">
        <v>0</v>
      </c>
      <c r="H376" s="259">
        <v>1</v>
      </c>
      <c r="L376" s="259" t="s">
        <v>146</v>
      </c>
      <c r="M376" s="259" t="s">
        <v>113</v>
      </c>
      <c r="O376" s="259" t="s">
        <v>218</v>
      </c>
      <c r="P376" s="259" t="s">
        <v>233</v>
      </c>
    </row>
    <row r="377" spans="1:16">
      <c r="A377" s="259" t="s">
        <v>217</v>
      </c>
      <c r="B377" s="259" t="s">
        <v>112</v>
      </c>
      <c r="C377" s="259" t="s">
        <v>250</v>
      </c>
      <c r="D377" s="259" t="s">
        <v>139</v>
      </c>
      <c r="E377" s="259">
        <v>46996.524319999997</v>
      </c>
      <c r="G377" s="259">
        <v>0</v>
      </c>
      <c r="H377" s="259">
        <v>1</v>
      </c>
      <c r="L377" s="259" t="s">
        <v>146</v>
      </c>
      <c r="M377" s="259" t="s">
        <v>113</v>
      </c>
      <c r="O377" s="259" t="s">
        <v>218</v>
      </c>
      <c r="P377" s="259" t="s">
        <v>233</v>
      </c>
    </row>
    <row r="378" spans="1:16">
      <c r="A378" s="259" t="s">
        <v>217</v>
      </c>
      <c r="B378" s="259" t="s">
        <v>112</v>
      </c>
      <c r="C378" s="259" t="s">
        <v>251</v>
      </c>
      <c r="D378" s="259" t="s">
        <v>139</v>
      </c>
      <c r="E378" s="259">
        <v>4210.3949590000002</v>
      </c>
      <c r="G378" s="259">
        <v>0</v>
      </c>
      <c r="H378" s="259">
        <v>1</v>
      </c>
      <c r="L378" s="259" t="s">
        <v>146</v>
      </c>
      <c r="M378" s="259" t="s">
        <v>113</v>
      </c>
      <c r="O378" s="259" t="s">
        <v>218</v>
      </c>
      <c r="P378" s="259" t="s">
        <v>233</v>
      </c>
    </row>
    <row r="379" spans="1:16">
      <c r="A379" s="259" t="s">
        <v>217</v>
      </c>
      <c r="B379" s="259" t="s">
        <v>112</v>
      </c>
      <c r="C379" s="259" t="s">
        <v>252</v>
      </c>
      <c r="D379" s="259" t="s">
        <v>139</v>
      </c>
      <c r="E379" s="259">
        <v>1173.4492680000001</v>
      </c>
      <c r="G379" s="259">
        <v>0</v>
      </c>
      <c r="H379" s="259">
        <v>1</v>
      </c>
      <c r="L379" s="259" t="s">
        <v>146</v>
      </c>
      <c r="M379" s="259" t="s">
        <v>113</v>
      </c>
      <c r="O379" s="259" t="s">
        <v>218</v>
      </c>
      <c r="P379" s="259" t="s">
        <v>233</v>
      </c>
    </row>
    <row r="380" spans="1:16">
      <c r="A380" s="259" t="s">
        <v>217</v>
      </c>
      <c r="B380" s="259" t="s">
        <v>112</v>
      </c>
      <c r="C380" s="259" t="s">
        <v>253</v>
      </c>
      <c r="D380" s="259" t="s">
        <v>139</v>
      </c>
      <c r="E380" s="259">
        <v>458.50308769999998</v>
      </c>
      <c r="G380" s="259">
        <v>0</v>
      </c>
      <c r="H380" s="259">
        <v>1</v>
      </c>
      <c r="L380" s="259" t="s">
        <v>146</v>
      </c>
      <c r="M380" s="259" t="s">
        <v>113</v>
      </c>
      <c r="O380" s="259" t="s">
        <v>218</v>
      </c>
      <c r="P380" s="259" t="s">
        <v>233</v>
      </c>
    </row>
    <row r="381" spans="1:16">
      <c r="A381" s="259" t="s">
        <v>217</v>
      </c>
      <c r="B381" s="259" t="s">
        <v>112</v>
      </c>
      <c r="C381" s="259" t="s">
        <v>254</v>
      </c>
      <c r="D381" s="259" t="s">
        <v>139</v>
      </c>
      <c r="E381" s="259">
        <v>4909.7807409999996</v>
      </c>
      <c r="G381" s="259">
        <v>0</v>
      </c>
      <c r="H381" s="259">
        <v>1</v>
      </c>
      <c r="L381" s="259" t="s">
        <v>146</v>
      </c>
      <c r="M381" s="259" t="s">
        <v>113</v>
      </c>
      <c r="O381" s="259" t="s">
        <v>218</v>
      </c>
      <c r="P381" s="259" t="s">
        <v>233</v>
      </c>
    </row>
    <row r="382" spans="1:16">
      <c r="A382" s="259" t="s">
        <v>217</v>
      </c>
      <c r="B382" s="259" t="s">
        <v>112</v>
      </c>
      <c r="C382" s="259" t="s">
        <v>255</v>
      </c>
      <c r="D382" s="259" t="s">
        <v>139</v>
      </c>
      <c r="E382" s="259">
        <v>12161.910190000001</v>
      </c>
      <c r="G382" s="259">
        <v>0</v>
      </c>
      <c r="H382" s="259">
        <v>1</v>
      </c>
      <c r="L382" s="259" t="s">
        <v>146</v>
      </c>
      <c r="M382" s="259" t="s">
        <v>113</v>
      </c>
      <c r="O382" s="259" t="s">
        <v>218</v>
      </c>
      <c r="P382" s="259" t="s">
        <v>233</v>
      </c>
    </row>
    <row r="383" spans="1:16">
      <c r="A383" s="259" t="s">
        <v>217</v>
      </c>
      <c r="B383" s="259" t="s">
        <v>112</v>
      </c>
      <c r="C383" s="259" t="s">
        <v>256</v>
      </c>
      <c r="D383" s="259" t="s">
        <v>139</v>
      </c>
      <c r="E383" s="259">
        <v>8477.1225149999991</v>
      </c>
      <c r="G383" s="259">
        <v>0</v>
      </c>
      <c r="H383" s="259">
        <v>1</v>
      </c>
      <c r="L383" s="259" t="s">
        <v>146</v>
      </c>
      <c r="M383" s="259" t="s">
        <v>113</v>
      </c>
      <c r="O383" s="259" t="s">
        <v>218</v>
      </c>
      <c r="P383" s="259" t="s">
        <v>233</v>
      </c>
    </row>
    <row r="384" spans="1:16">
      <c r="A384" s="259" t="s">
        <v>217</v>
      </c>
      <c r="B384" s="259" t="s">
        <v>112</v>
      </c>
      <c r="C384" s="259" t="s">
        <v>257</v>
      </c>
      <c r="D384" s="259" t="s">
        <v>139</v>
      </c>
      <c r="E384" s="259">
        <v>44151.632810000003</v>
      </c>
      <c r="G384" s="259">
        <v>0</v>
      </c>
      <c r="H384" s="259">
        <v>1</v>
      </c>
      <c r="L384" s="259" t="s">
        <v>146</v>
      </c>
      <c r="M384" s="259" t="s">
        <v>113</v>
      </c>
      <c r="O384" s="259" t="s">
        <v>218</v>
      </c>
      <c r="P384" s="259" t="s">
        <v>233</v>
      </c>
    </row>
    <row r="385" spans="1:16">
      <c r="A385" s="259" t="s">
        <v>217</v>
      </c>
      <c r="B385" s="259" t="s">
        <v>112</v>
      </c>
      <c r="C385" s="259" t="s">
        <v>140</v>
      </c>
      <c r="D385" s="259" t="s">
        <v>139</v>
      </c>
      <c r="E385" s="259">
        <v>5183.9126459999998</v>
      </c>
      <c r="G385" s="259">
        <v>0</v>
      </c>
      <c r="H385" s="259">
        <v>1</v>
      </c>
      <c r="L385" s="259" t="s">
        <v>146</v>
      </c>
      <c r="M385" s="259" t="s">
        <v>113</v>
      </c>
      <c r="O385" s="259" t="s">
        <v>218</v>
      </c>
      <c r="P385" s="259" t="s">
        <v>233</v>
      </c>
    </row>
    <row r="386" spans="1:16">
      <c r="A386" s="259" t="s">
        <v>217</v>
      </c>
      <c r="B386" s="259" t="s">
        <v>112</v>
      </c>
      <c r="C386" s="259" t="s">
        <v>258</v>
      </c>
      <c r="D386" s="259" t="s">
        <v>139</v>
      </c>
      <c r="E386" s="259">
        <v>14427.87175</v>
      </c>
      <c r="G386" s="259">
        <v>0</v>
      </c>
      <c r="H386" s="259">
        <v>1</v>
      </c>
      <c r="L386" s="259" t="s">
        <v>146</v>
      </c>
      <c r="M386" s="259" t="s">
        <v>113</v>
      </c>
      <c r="O386" s="259" t="s">
        <v>218</v>
      </c>
      <c r="P386" s="259" t="s">
        <v>233</v>
      </c>
    </row>
    <row r="387" spans="1:16">
      <c r="A387" s="259" t="s">
        <v>217</v>
      </c>
      <c r="B387" s="259" t="s">
        <v>112</v>
      </c>
      <c r="C387" s="259" t="s">
        <v>259</v>
      </c>
      <c r="D387" s="259" t="s">
        <v>139</v>
      </c>
      <c r="E387" s="259">
        <v>35836.700320000004</v>
      </c>
      <c r="G387" s="259">
        <v>0</v>
      </c>
      <c r="H387" s="259">
        <v>1</v>
      </c>
      <c r="L387" s="259" t="s">
        <v>146</v>
      </c>
      <c r="M387" s="259" t="s">
        <v>113</v>
      </c>
      <c r="O387" s="259" t="s">
        <v>218</v>
      </c>
      <c r="P387" s="259" t="s">
        <v>233</v>
      </c>
    </row>
    <row r="388" spans="1:16">
      <c r="A388" s="259" t="s">
        <v>217</v>
      </c>
      <c r="B388" s="259" t="s">
        <v>112</v>
      </c>
      <c r="C388" s="259" t="s">
        <v>260</v>
      </c>
      <c r="D388" s="259" t="s">
        <v>139</v>
      </c>
      <c r="E388" s="259">
        <v>105011.4648</v>
      </c>
      <c r="G388" s="259">
        <v>0</v>
      </c>
      <c r="H388" s="259">
        <v>1</v>
      </c>
      <c r="L388" s="259" t="s">
        <v>146</v>
      </c>
      <c r="M388" s="259" t="s">
        <v>113</v>
      </c>
      <c r="O388" s="259" t="s">
        <v>218</v>
      </c>
      <c r="P388" s="259" t="s">
        <v>233</v>
      </c>
    </row>
    <row r="389" spans="1:16">
      <c r="A389" s="259" t="s">
        <v>217</v>
      </c>
      <c r="B389" s="259" t="s">
        <v>112</v>
      </c>
      <c r="C389" s="259" t="s">
        <v>261</v>
      </c>
      <c r="D389" s="259" t="s">
        <v>139</v>
      </c>
      <c r="E389" s="259">
        <v>1257.4950980000001</v>
      </c>
      <c r="G389" s="259">
        <v>0</v>
      </c>
      <c r="H389" s="259">
        <v>1</v>
      </c>
      <c r="L389" s="259" t="s">
        <v>146</v>
      </c>
      <c r="M389" s="259" t="s">
        <v>113</v>
      </c>
      <c r="O389" s="259" t="s">
        <v>218</v>
      </c>
      <c r="P389" s="259" t="s">
        <v>233</v>
      </c>
    </row>
    <row r="390" spans="1:16">
      <c r="A390" s="259" t="s">
        <v>217</v>
      </c>
      <c r="B390" s="259" t="s">
        <v>112</v>
      </c>
      <c r="C390" s="259" t="s">
        <v>262</v>
      </c>
      <c r="D390" s="259" t="s">
        <v>139</v>
      </c>
      <c r="E390" s="259">
        <v>58116.396180000003</v>
      </c>
      <c r="G390" s="259">
        <v>0</v>
      </c>
      <c r="H390" s="259">
        <v>1</v>
      </c>
      <c r="L390" s="259" t="s">
        <v>146</v>
      </c>
      <c r="M390" s="259" t="s">
        <v>113</v>
      </c>
      <c r="O390" s="259" t="s">
        <v>218</v>
      </c>
      <c r="P390" s="259" t="s">
        <v>233</v>
      </c>
    </row>
    <row r="391" spans="1:16">
      <c r="A391" s="259" t="s">
        <v>217</v>
      </c>
      <c r="B391" s="259" t="s">
        <v>112</v>
      </c>
      <c r="C391" s="259" t="s">
        <v>263</v>
      </c>
      <c r="D391" s="259" t="s">
        <v>139</v>
      </c>
      <c r="E391" s="259">
        <v>48614.912040000003</v>
      </c>
      <c r="G391" s="259">
        <v>0</v>
      </c>
      <c r="H391" s="259">
        <v>1</v>
      </c>
      <c r="L391" s="259" t="s">
        <v>146</v>
      </c>
      <c r="M391" s="259" t="s">
        <v>113</v>
      </c>
      <c r="O391" s="259" t="s">
        <v>218</v>
      </c>
      <c r="P391" s="259" t="s">
        <v>233</v>
      </c>
    </row>
    <row r="394" spans="1:16">
      <c r="A394"/>
      <c r="B394"/>
      <c r="C394"/>
      <c r="D394"/>
      <c r="E394"/>
      <c r="F394"/>
      <c r="G394"/>
      <c r="H394"/>
      <c r="I394"/>
    </row>
    <row r="395" spans="1:16">
      <c r="A395"/>
      <c r="B395"/>
      <c r="C395"/>
      <c r="D395"/>
      <c r="E395"/>
      <c r="F395"/>
      <c r="G395"/>
      <c r="H395" s="286"/>
      <c r="I395" s="286"/>
    </row>
    <row r="396" spans="1:16" ht="51.75">
      <c r="A396"/>
      <c r="B396"/>
      <c r="C396" s="196" t="s">
        <v>339</v>
      </c>
      <c r="D396" s="196" t="s">
        <v>340</v>
      </c>
      <c r="E396" s="196" t="s">
        <v>141</v>
      </c>
      <c r="F396" s="196" t="s">
        <v>341</v>
      </c>
      <c r="G396" s="196" t="s">
        <v>342</v>
      </c>
      <c r="H396" s="287" t="s">
        <v>266</v>
      </c>
      <c r="I396" s="287" t="s">
        <v>267</v>
      </c>
      <c r="J396" s="196" t="s">
        <v>268</v>
      </c>
      <c r="K396" s="196" t="s">
        <v>272</v>
      </c>
    </row>
    <row r="397" spans="1:16">
      <c r="A397" s="158">
        <v>2026</v>
      </c>
      <c r="B397" s="299" t="s">
        <v>343</v>
      </c>
      <c r="C397">
        <v>250</v>
      </c>
      <c r="D397">
        <v>250</v>
      </c>
      <c r="E397" s="299">
        <v>250</v>
      </c>
      <c r="F397" s="299">
        <v>29.5</v>
      </c>
      <c r="G397">
        <v>1</v>
      </c>
      <c r="H397" t="s">
        <v>344</v>
      </c>
      <c r="I397" t="s">
        <v>345</v>
      </c>
      <c r="J397" s="302">
        <v>4.921083799999999</v>
      </c>
      <c r="K397" s="303">
        <v>1230.2709499999999</v>
      </c>
    </row>
    <row r="398" spans="1:16">
      <c r="A398" s="158">
        <v>2027</v>
      </c>
      <c r="B398" s="163" t="s">
        <v>346</v>
      </c>
      <c r="C398">
        <v>0</v>
      </c>
      <c r="D398">
        <v>0</v>
      </c>
      <c r="E398" s="163">
        <v>199</v>
      </c>
      <c r="F398" s="163">
        <v>13.36</v>
      </c>
      <c r="G398">
        <v>1</v>
      </c>
      <c r="H398" t="s">
        <v>347</v>
      </c>
      <c r="I398" t="s">
        <v>347</v>
      </c>
      <c r="J398" s="304">
        <v>2.7998330452261304</v>
      </c>
      <c r="K398" s="305">
        <v>557.16677599999991</v>
      </c>
    </row>
    <row r="399" spans="1:16">
      <c r="A399" s="158">
        <v>0</v>
      </c>
      <c r="B399" s="297" t="s">
        <v>348</v>
      </c>
      <c r="C399">
        <v>0</v>
      </c>
      <c r="D399">
        <v>0</v>
      </c>
      <c r="E399" s="297">
        <v>152</v>
      </c>
      <c r="F399" s="297">
        <v>3.48</v>
      </c>
      <c r="G399">
        <v>1</v>
      </c>
      <c r="H399" t="s">
        <v>347</v>
      </c>
      <c r="I399" t="s">
        <v>347</v>
      </c>
      <c r="J399" s="321">
        <v>0.95480439473684209</v>
      </c>
      <c r="K399" s="322">
        <v>145.130268</v>
      </c>
    </row>
    <row r="400" spans="1:16">
      <c r="A400" s="158">
        <v>2028</v>
      </c>
      <c r="B400" t="s">
        <v>349</v>
      </c>
      <c r="C400">
        <v>818</v>
      </c>
      <c r="D400">
        <v>300</v>
      </c>
      <c r="E400">
        <v>0</v>
      </c>
      <c r="F400">
        <v>0</v>
      </c>
      <c r="G400">
        <v>1</v>
      </c>
      <c r="H400" t="s">
        <v>350</v>
      </c>
      <c r="I400" t="s">
        <v>351</v>
      </c>
      <c r="J400" s="292">
        <v>0</v>
      </c>
      <c r="K400" s="294">
        <v>0</v>
      </c>
    </row>
    <row r="401" spans="1:11">
      <c r="A401" s="158">
        <v>0</v>
      </c>
      <c r="B401" t="s">
        <v>352</v>
      </c>
      <c r="C401">
        <v>600</v>
      </c>
      <c r="D401">
        <v>300</v>
      </c>
      <c r="E401">
        <v>0</v>
      </c>
      <c r="F401">
        <v>0</v>
      </c>
      <c r="G401">
        <v>1</v>
      </c>
      <c r="H401" t="s">
        <v>353</v>
      </c>
      <c r="I401" t="s">
        <v>350</v>
      </c>
      <c r="J401" s="292">
        <v>0</v>
      </c>
      <c r="K401" s="294">
        <v>0</v>
      </c>
    </row>
    <row r="402" spans="1:11">
      <c r="A402" s="158">
        <v>0</v>
      </c>
      <c r="B402" t="s">
        <v>354</v>
      </c>
      <c r="C402">
        <v>200</v>
      </c>
      <c r="D402">
        <v>200</v>
      </c>
      <c r="E402">
        <v>0</v>
      </c>
      <c r="F402">
        <v>0</v>
      </c>
      <c r="G402">
        <v>1</v>
      </c>
      <c r="H402" t="s">
        <v>355</v>
      </c>
      <c r="I402" t="s">
        <v>353</v>
      </c>
      <c r="J402" s="292">
        <v>0</v>
      </c>
      <c r="K402" s="294">
        <v>0</v>
      </c>
    </row>
    <row r="403" spans="1:11">
      <c r="A403" s="158">
        <v>0</v>
      </c>
      <c r="B403" t="s">
        <v>356</v>
      </c>
      <c r="C403">
        <v>300</v>
      </c>
      <c r="D403">
        <v>300</v>
      </c>
      <c r="E403">
        <v>0</v>
      </c>
      <c r="F403">
        <v>0</v>
      </c>
      <c r="G403">
        <v>1</v>
      </c>
      <c r="H403" t="s">
        <v>357</v>
      </c>
      <c r="I403" t="s">
        <v>358</v>
      </c>
      <c r="J403" s="292">
        <v>0</v>
      </c>
      <c r="K403" s="294">
        <v>0</v>
      </c>
    </row>
    <row r="404" spans="1:11">
      <c r="A404" s="158">
        <v>0</v>
      </c>
      <c r="B404" s="163" t="s">
        <v>359</v>
      </c>
      <c r="C404">
        <v>0</v>
      </c>
      <c r="D404">
        <v>0</v>
      </c>
      <c r="E404" s="163">
        <v>393</v>
      </c>
      <c r="F404" s="163">
        <v>2.17</v>
      </c>
      <c r="G404">
        <v>1</v>
      </c>
      <c r="H404" t="s">
        <v>347</v>
      </c>
      <c r="I404" t="s">
        <v>347</v>
      </c>
      <c r="J404" s="304">
        <v>0.23027454707379136</v>
      </c>
      <c r="K404" s="305">
        <v>90.497897000000009</v>
      </c>
    </row>
    <row r="405" spans="1:11">
      <c r="A405" s="158">
        <v>2030</v>
      </c>
      <c r="B405" s="298" t="s">
        <v>360</v>
      </c>
      <c r="C405">
        <v>0</v>
      </c>
      <c r="D405">
        <v>0</v>
      </c>
      <c r="E405" s="298">
        <v>628</v>
      </c>
      <c r="F405" s="298">
        <v>66.47</v>
      </c>
      <c r="G405">
        <v>1</v>
      </c>
      <c r="H405" t="s">
        <v>347</v>
      </c>
      <c r="I405" t="s">
        <v>347</v>
      </c>
      <c r="J405" s="309">
        <v>4.4141266353503186</v>
      </c>
      <c r="K405" s="310">
        <v>2772.0715270000001</v>
      </c>
    </row>
    <row r="406" spans="1:11">
      <c r="A406" s="158">
        <v>2031</v>
      </c>
      <c r="B406" s="296" t="s">
        <v>360</v>
      </c>
      <c r="C406">
        <v>0</v>
      </c>
      <c r="D406">
        <v>0</v>
      </c>
      <c r="E406" s="296">
        <v>393</v>
      </c>
      <c r="F406" s="296">
        <v>347.95</v>
      </c>
      <c r="G406">
        <v>1</v>
      </c>
      <c r="H406" t="s">
        <v>347</v>
      </c>
      <c r="I406" t="s">
        <v>347</v>
      </c>
      <c r="J406" s="311">
        <v>36.923515508905851</v>
      </c>
      <c r="K406" s="312">
        <v>14510.941594999998</v>
      </c>
    </row>
    <row r="407" spans="1:11">
      <c r="A407" s="158">
        <v>0</v>
      </c>
      <c r="B407" s="296" t="s">
        <v>361</v>
      </c>
      <c r="C407">
        <v>400</v>
      </c>
      <c r="D407">
        <v>400</v>
      </c>
      <c r="E407" s="296">
        <v>400</v>
      </c>
      <c r="F407" s="296">
        <v>144.56</v>
      </c>
      <c r="G407">
        <v>1</v>
      </c>
      <c r="H407" t="s">
        <v>347</v>
      </c>
      <c r="I407" t="s">
        <v>347</v>
      </c>
      <c r="J407" s="311">
        <v>15.071861739999999</v>
      </c>
      <c r="K407" s="312">
        <v>6028.7446959999997</v>
      </c>
    </row>
    <row r="408" spans="1:11">
      <c r="A408" s="158">
        <v>2032</v>
      </c>
      <c r="B408" s="308" t="s">
        <v>362</v>
      </c>
      <c r="C408">
        <v>400</v>
      </c>
      <c r="D408">
        <v>400</v>
      </c>
      <c r="E408" s="308">
        <v>400</v>
      </c>
      <c r="F408" s="308">
        <v>120.3</v>
      </c>
      <c r="G408">
        <v>1</v>
      </c>
      <c r="H408" t="s">
        <v>363</v>
      </c>
      <c r="I408" t="s">
        <v>350</v>
      </c>
      <c r="J408" s="306">
        <v>12.542508075000001</v>
      </c>
      <c r="K408" s="307">
        <v>5017.0032300000003</v>
      </c>
    </row>
    <row r="409" spans="1:11">
      <c r="A409" s="158">
        <v>0</v>
      </c>
      <c r="B409" s="163" t="s">
        <v>335</v>
      </c>
      <c r="C409">
        <v>450</v>
      </c>
      <c r="D409">
        <v>450</v>
      </c>
      <c r="E409" s="163">
        <v>450</v>
      </c>
      <c r="F409" s="163">
        <v>413.15</v>
      </c>
      <c r="G409">
        <v>1</v>
      </c>
      <c r="H409" t="s">
        <v>364</v>
      </c>
      <c r="I409" t="s">
        <v>365</v>
      </c>
      <c r="J409" s="304">
        <v>38.28899758888889</v>
      </c>
      <c r="K409" s="305">
        <v>17230.048914999999</v>
      </c>
    </row>
    <row r="410" spans="1:11">
      <c r="A410" s="158">
        <v>2036</v>
      </c>
      <c r="B410" t="s">
        <v>366</v>
      </c>
      <c r="C410">
        <v>1500</v>
      </c>
      <c r="D410">
        <v>1500</v>
      </c>
      <c r="E410">
        <v>1990</v>
      </c>
      <c r="F410">
        <v>1810.09</v>
      </c>
      <c r="G410">
        <v>1</v>
      </c>
      <c r="H410" t="s">
        <v>367</v>
      </c>
      <c r="I410" t="s">
        <v>368</v>
      </c>
      <c r="J410" s="292">
        <v>37.933755964321605</v>
      </c>
      <c r="K410" s="294">
        <v>75488.174369</v>
      </c>
    </row>
    <row r="411" spans="1:11">
      <c r="A411" s="158">
        <v>0</v>
      </c>
      <c r="B411" s="299" t="s">
        <v>369</v>
      </c>
      <c r="C411">
        <v>800</v>
      </c>
      <c r="D411">
        <v>800</v>
      </c>
      <c r="E411" s="299">
        <v>800</v>
      </c>
      <c r="F411" s="299">
        <v>264.02999999999997</v>
      </c>
      <c r="G411">
        <v>1</v>
      </c>
      <c r="H411" t="s">
        <v>344</v>
      </c>
      <c r="I411" t="s">
        <v>345</v>
      </c>
      <c r="J411" s="302">
        <v>13.763916903749998</v>
      </c>
      <c r="K411" s="303">
        <v>11011.133522999999</v>
      </c>
    </row>
    <row r="412" spans="1:11">
      <c r="A412" s="158">
        <v>0</v>
      </c>
      <c r="B412" s="163" t="s">
        <v>370</v>
      </c>
      <c r="C412">
        <v>1500</v>
      </c>
      <c r="D412">
        <v>1500</v>
      </c>
      <c r="E412" s="163">
        <v>665</v>
      </c>
      <c r="F412" s="163">
        <v>1116.9100000000001</v>
      </c>
      <c r="G412">
        <v>1</v>
      </c>
      <c r="H412" t="s">
        <v>364</v>
      </c>
      <c r="I412" t="s">
        <v>371</v>
      </c>
      <c r="J412" s="304">
        <v>70.044701249624055</v>
      </c>
      <c r="K412" s="305">
        <v>46579.726330999998</v>
      </c>
    </row>
    <row r="413" spans="1:11">
      <c r="A413" s="158">
        <v>0</v>
      </c>
      <c r="B413" s="299" t="s">
        <v>372</v>
      </c>
      <c r="C413">
        <v>300</v>
      </c>
      <c r="D413">
        <v>300</v>
      </c>
      <c r="E413" s="299">
        <v>300</v>
      </c>
      <c r="F413" s="299">
        <v>152.91999999999999</v>
      </c>
      <c r="G413">
        <v>1</v>
      </c>
      <c r="H413" t="s">
        <v>344</v>
      </c>
      <c r="I413" t="s">
        <v>345</v>
      </c>
      <c r="J413" s="302">
        <v>21.257969906666666</v>
      </c>
      <c r="K413" s="303">
        <v>6377.3909720000001</v>
      </c>
    </row>
    <row r="414" spans="1:11">
      <c r="A414" s="158">
        <v>0</v>
      </c>
      <c r="B414" s="299" t="s">
        <v>373</v>
      </c>
      <c r="C414">
        <v>200</v>
      </c>
      <c r="D414">
        <v>200</v>
      </c>
      <c r="E414" s="299">
        <v>200</v>
      </c>
      <c r="F414" s="299">
        <v>14.28</v>
      </c>
      <c r="G414">
        <v>1</v>
      </c>
      <c r="H414" t="s">
        <v>344</v>
      </c>
      <c r="I414" t="s">
        <v>345</v>
      </c>
      <c r="J414" s="302">
        <v>2.97767274</v>
      </c>
      <c r="K414" s="303">
        <v>595.53454799999997</v>
      </c>
    </row>
    <row r="415" spans="1:11">
      <c r="A415" s="158">
        <v>2041</v>
      </c>
      <c r="B415" t="s">
        <v>374</v>
      </c>
      <c r="C415">
        <v>0</v>
      </c>
      <c r="D415">
        <v>0</v>
      </c>
      <c r="E415">
        <v>231</v>
      </c>
      <c r="F415">
        <v>52.02</v>
      </c>
      <c r="G415">
        <v>1</v>
      </c>
      <c r="H415" t="s">
        <v>347</v>
      </c>
      <c r="I415" t="s">
        <v>347</v>
      </c>
      <c r="J415" s="292">
        <v>9.3915466753246761</v>
      </c>
      <c r="K415" s="294">
        <v>2169.4472820000001</v>
      </c>
    </row>
    <row r="416" spans="1:11">
      <c r="A416" t="s">
        <v>375</v>
      </c>
      <c r="B416">
        <v>0</v>
      </c>
      <c r="C416">
        <v>7718</v>
      </c>
      <c r="D416">
        <v>6900</v>
      </c>
      <c r="E416">
        <v>7451</v>
      </c>
      <c r="F416">
        <v>4551.1899999999996</v>
      </c>
      <c r="G416">
        <v>19</v>
      </c>
      <c r="H416" t="s">
        <v>376</v>
      </c>
      <c r="I416" t="s">
        <v>376</v>
      </c>
      <c r="J416" s="292">
        <v>25.473531456046167</v>
      </c>
    </row>
    <row r="417" spans="1:9">
      <c r="A417"/>
      <c r="B417"/>
      <c r="C417" s="288"/>
      <c r="D417" s="288"/>
      <c r="E417" s="288"/>
      <c r="F417" s="289"/>
      <c r="G417" s="290"/>
      <c r="H417" s="191"/>
      <c r="I417" s="191"/>
    </row>
    <row r="418" spans="1:9">
      <c r="A418"/>
      <c r="B418"/>
      <c r="C418" s="288"/>
      <c r="D418" s="288"/>
      <c r="E418" s="288"/>
      <c r="F418" s="289"/>
      <c r="G418" s="291"/>
      <c r="H418" s="191"/>
      <c r="I418" s="191"/>
    </row>
  </sheetData>
  <conditionalFormatting sqref="H397:I418">
    <cfRule type="notContainsBlanks" dxfId="0" priority="1">
      <formula>LEN(TRIM(H397))&gt;0</formula>
    </cfRule>
  </conditionalFormatting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972F6-696C-41A6-819E-86FF0E686BD4}">
  <sheetPr>
    <tabColor rgb="FFFFFF00"/>
    <pageSetUpPr fitToPage="1"/>
  </sheetPr>
  <dimension ref="B1:AC89"/>
  <sheetViews>
    <sheetView view="pageBreakPreview" zoomScale="60" zoomScaleNormal="70" workbookViewId="0"/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  <c r="Q4" s="283"/>
      <c r="R4" s="283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283"/>
      <c r="R5" s="28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50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Assumptions'!$E$275:$E$298,'PV_.PX.WMV._.PTC.2032'!$B11-2023,1)</f>
        <v>20.967336</v>
      </c>
      <c r="F11" s="71"/>
      <c r="G11" s="72"/>
      <c r="H11" s="71"/>
      <c r="I11" s="71"/>
      <c r="J11" s="72"/>
      <c r="K11" s="72"/>
      <c r="L11" s="71"/>
      <c r="Q11" s="71"/>
      <c r="R11" s="71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Assumptions'!$E$275:$E$298,'PV_.PX.WMV._.PTC.2032'!$B12-2023,1)</f>
        <v>21.424423924799999</v>
      </c>
      <c r="F12" s="71"/>
      <c r="G12" s="72"/>
      <c r="H12" s="71"/>
      <c r="I12" s="71"/>
      <c r="J12" s="72"/>
      <c r="K12" s="72"/>
      <c r="L12" s="71"/>
      <c r="Q12" s="71"/>
      <c r="R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Q13" s="71"/>
      <c r="R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Assumptions'!$E$275:$E$298,'PV_.PX.WMV._.PTC.2032'!$B14-2023,1)</f>
        <v>22.36871055564</v>
      </c>
      <c r="F14" s="284"/>
      <c r="G14" s="72"/>
      <c r="H14" s="71"/>
      <c r="I14" s="71"/>
      <c r="J14" s="72"/>
      <c r="K14" s="72"/>
      <c r="L14" s="71"/>
      <c r="P14" s="88"/>
      <c r="Q14" s="71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Q15" s="71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Q16" s="71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Q17" s="71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250">
        <f>C18*$C$60</f>
        <v>78.922512291318895</v>
      </c>
      <c r="E18" s="71" cm="1">
        <f t="array" ref="E18">$E$10*INDEX('2025 IRP Assumptions'!$E$275:$E$298,'PV_.PX.WMV._.PTC.2032'!$B18-2023,1)</f>
        <v>24.383977170120001</v>
      </c>
      <c r="F18" s="71">
        <f>'Table 3 TransCost'!T17</f>
        <v>19.102049794900221</v>
      </c>
      <c r="G18" s="72">
        <f t="shared" ref="G18:G36" si="1">(D18+E18+F18)/(8.76*$C$61)</f>
        <v>57.06203224002688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11.982032240026882</v>
      </c>
      <c r="K18" s="72">
        <f t="shared" ref="K18:K36" si="3">ROUND(J18*$C$61*8.76,2)</f>
        <v>25.7</v>
      </c>
      <c r="L18" s="71">
        <f t="shared" ref="L18:L36" si="4">(D18+E18+F18)</f>
        <v>122.40853925633913</v>
      </c>
      <c r="P18" s="88"/>
      <c r="Q18" s="71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Assumptions'!$E$275:$E$298,'PV_.PX.WMV._.PTC.2032'!$B19-2023,1)/INDEX('2025 IRP Assumptions'!$E$275:$E$298,'PV_.PX.WMV._.PTC.2032'!$B19-2023-1,1)</f>
        <v>80.643023060212741</v>
      </c>
      <c r="E19" s="71" cm="1">
        <f t="array" ref="E19">$E$10*INDEX('2025 IRP Assumptions'!$E$275:$E$298,'PV_.PX.WMV._.PTC.2032'!$B19-2023,1)</f>
        <v>24.915547872719998</v>
      </c>
      <c r="F19" s="71" cm="1">
        <f t="array" ref="F19">F18*INDEX('2025 IRP Assumptions'!$E$275:$E$298,'PV_.PX.WMV._.PTC.2032'!$B19-2023,1)/INDEX('2025 IRP Assumptions'!$E$275:$E$298,'PV_.PX.WMV._.PTC.2032'!$B19-2023-1,1)</f>
        <v>19.518474480657307</v>
      </c>
      <c r="G19" s="72">
        <f t="shared" si="1"/>
        <v>58.305984543541335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11.895984543541338</v>
      </c>
      <c r="K19" s="72">
        <f t="shared" si="3"/>
        <v>25.52</v>
      </c>
      <c r="L19" s="71">
        <f t="shared" si="4"/>
        <v>125.07704541359004</v>
      </c>
      <c r="P19" s="88"/>
      <c r="Q19" s="71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Assumptions'!$E$275:$E$298,'PV_.PX.WMV._.PTC.2032'!$B20-2023,1)/INDEX('2025 IRP Assumptions'!$E$275:$E$298,'PV_.PX.WMV._.PTC.2032'!$B20-2023-1,1)</f>
        <v>82.401041023045295</v>
      </c>
      <c r="E20" s="71" cm="1">
        <f t="array" ref="E20">$E$10*INDEX('2025 IRP Assumptions'!$E$275:$E$298,'PV_.PX.WMV._.PTC.2032'!$B20-2023,1)</f>
        <v>25.458706834919997</v>
      </c>
      <c r="F20" s="71" cm="1">
        <f t="array" ref="F20">F19*INDEX('2025 IRP Assumptions'!$E$275:$E$298,'PV_.PX.WMV._.PTC.2032'!$B20-2023,1)/INDEX('2025 IRP Assumptions'!$E$275:$E$298,'PV_.PX.WMV._.PTC.2032'!$B20-2023-1,1)</f>
        <v>19.943977238886788</v>
      </c>
      <c r="G20" s="72">
        <f t="shared" si="1"/>
        <v>59.577055050058036</v>
      </c>
      <c r="H20" s="71"/>
      <c r="I20" s="71">
        <f>-INDEX('2025 IRP Assumptions'!$E$243:$E$272,MATCH(B20,'2025 IRP Assumptions'!$S$243:$S$272,0),1)</f>
        <v>-47.74</v>
      </c>
      <c r="J20" s="72">
        <f t="shared" si="2"/>
        <v>11.837055050058034</v>
      </c>
      <c r="K20" s="72">
        <f t="shared" si="3"/>
        <v>25.39</v>
      </c>
      <c r="L20" s="71">
        <f t="shared" si="4"/>
        <v>127.80372509685208</v>
      </c>
      <c r="P20" s="88"/>
      <c r="Q20" s="71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Assumptions'!$E$275:$E$298,'PV_.PX.WMV._.PTC.2032'!$B21-2023,1)/INDEX('2025 IRP Assumptions'!$E$275:$E$298,'PV_.PX.WMV._.PTC.2032'!$B21-2023-1,1)</f>
        <v>84.197383696240621</v>
      </c>
      <c r="E21" s="71" cm="1">
        <f t="array" ref="E21">$E$10*INDEX('2025 IRP Assumptions'!$E$275:$E$298,'PV_.PX.WMV._.PTC.2032'!$B21-2023,1)</f>
        <v>26.013706637399999</v>
      </c>
      <c r="F21" s="71" cm="1">
        <f t="array" ref="F21">F20*INDEX('2025 IRP Assumptions'!$E$275:$E$298,'PV_.PX.WMV._.PTC.2032'!$B21-2023,1)/INDEX('2025 IRP Assumptions'!$E$275:$E$298,'PV_.PX.WMV._.PTC.2032'!$B21-2023-1,1)</f>
        <v>20.378755937585865</v>
      </c>
      <c r="G21" s="72">
        <f t="shared" si="1"/>
        <v>60.875834834888607</v>
      </c>
      <c r="H21" s="71"/>
      <c r="I21" s="71">
        <f>-INDEX('2025 IRP Assumptions'!$E$243:$E$272,MATCH(B21,'2025 IRP Assumptions'!$S$243:$S$272,0),1)</f>
        <v>-47.74</v>
      </c>
      <c r="J21" s="72">
        <f t="shared" si="2"/>
        <v>13.135834834888605</v>
      </c>
      <c r="K21" s="72">
        <f t="shared" si="3"/>
        <v>28.18</v>
      </c>
      <c r="L21" s="71">
        <f t="shared" si="4"/>
        <v>130.58984627122646</v>
      </c>
      <c r="P21" s="88"/>
      <c r="Q21" s="71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Assumptions'!$E$275:$E$298,'PV_.PX.WMV._.PTC.2032'!$B22-2023,1)/INDEX('2025 IRP Assumptions'!$E$275:$E$298,'PV_.PX.WMV._.PTC.2032'!$B22-2023-1,1)</f>
        <v>86.032886661416413</v>
      </c>
      <c r="E22" s="71" cm="1">
        <f t="array" ref="E22">$E$10*INDEX('2025 IRP Assumptions'!$E$275:$E$298,'PV_.PX.WMV._.PTC.2032'!$B22-2023,1)</f>
        <v>26.580805442279999</v>
      </c>
      <c r="F22" s="71" cm="1">
        <f t="array" ref="F22">F21*INDEX('2025 IRP Assumptions'!$E$275:$E$298,'PV_.PX.WMV._.PTC.2032'!$B22-2023,1)/INDEX('2025 IRP Assumptions'!$E$275:$E$298,'PV_.PX.WMV._.PTC.2032'!$B22-2023-1,1)</f>
        <v>20.823012817169911</v>
      </c>
      <c r="G22" s="72">
        <f t="shared" si="1"/>
        <v>62.20292803472136</v>
      </c>
      <c r="H22" s="71"/>
      <c r="I22" s="71">
        <f>-INDEX('2025 IRP Assumptions'!$E$243:$E$272,MATCH(B22,'2025 IRP Assumptions'!$S$243:$S$272,0),1)</f>
        <v>-49.06</v>
      </c>
      <c r="J22" s="72">
        <f t="shared" si="2"/>
        <v>13.142928034721358</v>
      </c>
      <c r="K22" s="72">
        <f t="shared" si="3"/>
        <v>28.19</v>
      </c>
      <c r="L22" s="71">
        <f t="shared" si="4"/>
        <v>133.4367049208663</v>
      </c>
      <c r="P22" s="88"/>
      <c r="Q22" s="71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Assumptions'!$E$275:$E$298,'PV_.PX.WMV._.PTC.2032'!$B23-2023,1)/INDEX('2025 IRP Assumptions'!$E$275:$E$298,'PV_.PX.WMV._.PTC.2032'!$B23-2023-1,1)</f>
        <v>87.908403565383864</v>
      </c>
      <c r="E23" s="71" cm="1">
        <f t="array" ref="E23">$E$10*INDEX('2025 IRP Assumptions'!$E$275:$E$298,'PV_.PX.WMV._.PTC.2032'!$B23-2023,1)</f>
        <v>27.160266993119997</v>
      </c>
      <c r="F23" s="71" cm="1">
        <f t="array" ref="F23">F22*INDEX('2025 IRP Assumptions'!$E$275:$E$298,'PV_.PX.WMV._.PTC.2032'!$B23-2023,1)/INDEX('2025 IRP Assumptions'!$E$275:$E$298,'PV_.PX.WMV._.PTC.2032'!$B23-2023-1,1)</f>
        <v>21.276954490472473</v>
      </c>
      <c r="G23" s="72">
        <f t="shared" si="1"/>
        <v>63.558951847621174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13.168951847621173</v>
      </c>
      <c r="K23" s="72">
        <f t="shared" si="3"/>
        <v>28.25</v>
      </c>
      <c r="L23" s="71">
        <f t="shared" si="4"/>
        <v>136.34562504897633</v>
      </c>
      <c r="P23" s="88"/>
      <c r="Q23" s="71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Assumptions'!$E$275:$E$298,'PV_.PX.WMV._.PTC.2032'!$B24-2023,1)/INDEX('2025 IRP Assumptions'!$E$275:$E$298,'PV_.PX.WMV._.PTC.2032'!$B24-2023-1,1)</f>
        <v>89.824806784309274</v>
      </c>
      <c r="E24" s="71" cm="1">
        <f t="array" ref="E24">$E$10*INDEX('2025 IRP Assumptions'!$E$275:$E$298,'PV_.PX.WMV._.PTC.2032'!$B24-2023,1)</f>
        <v>27.75236082012</v>
      </c>
      <c r="F24" s="71" cm="1">
        <f t="array" ref="F24">F23*INDEX('2025 IRP Assumptions'!$E$275:$E$298,'PV_.PX.WMV._.PTC.2032'!$B24-2023,1)/INDEX('2025 IRP Assumptions'!$E$275:$E$298,'PV_.PX.WMV._.PTC.2032'!$B24-2023-1,1)</f>
        <v>21.740792103495934</v>
      </c>
      <c r="G24" s="72">
        <f t="shared" si="1"/>
        <v>64.944537013227233</v>
      </c>
      <c r="H24" s="71"/>
      <c r="I24" s="71">
        <f>-INDEX('2025 IRP Assumptions'!$E$243:$E$272,MATCH(B24,'2025 IRP Assumptions'!$S$243:$S$272,0),1)</f>
        <v>-51.71</v>
      </c>
      <c r="J24" s="72">
        <f t="shared" si="2"/>
        <v>13.234537013227232</v>
      </c>
      <c r="K24" s="72">
        <f t="shared" si="3"/>
        <v>28.39</v>
      </c>
      <c r="L24" s="71">
        <f t="shared" si="4"/>
        <v>139.31795970792521</v>
      </c>
      <c r="P24" s="88"/>
      <c r="Q24" s="71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Assumptions'!$E$275:$E$298,'PV_.PX.WMV._.PTC.2032'!$B25-2023,1)/INDEX('2025 IRP Assumptions'!$E$275:$E$298,'PV_.PX.WMV._.PTC.2032'!$B25-2023-1,1)</f>
        <v>91.782987556546288</v>
      </c>
      <c r="E25" s="71" cm="1">
        <f t="array" ref="E25">$E$10*INDEX('2025 IRP Assumptions'!$E$275:$E$298,'PV_.PX.WMV._.PTC.2032'!$B25-2023,1)</f>
        <v>28.35736228116</v>
      </c>
      <c r="F25" s="71" cm="1">
        <f t="array" ref="F25">F24*INDEX('2025 IRP Assumptions'!$E$275:$E$298,'PV_.PX.WMV._.PTC.2032'!$B25-2023,1)/INDEX('2025 IRP Assumptions'!$E$275:$E$298,'PV_.PX.WMV._.PTC.2032'!$B25-2023-1,1)</f>
        <v>22.214741367561647</v>
      </c>
      <c r="G25" s="72">
        <f t="shared" si="1"/>
        <v>66.360327908792527</v>
      </c>
      <c r="H25" s="71"/>
      <c r="I25" s="71">
        <f>-INDEX('2025 IRP Assumptions'!$E$243:$E$272,MATCH(B25,'2025 IRP Assumptions'!$S$243:$S$272,0),1)</f>
        <v>-51.71</v>
      </c>
      <c r="J25" s="72">
        <f t="shared" si="2"/>
        <v>14.650327908792526</v>
      </c>
      <c r="K25" s="72">
        <f t="shared" si="3"/>
        <v>31.43</v>
      </c>
      <c r="L25" s="71">
        <f t="shared" si="4"/>
        <v>142.35509120526794</v>
      </c>
      <c r="P25" s="88"/>
      <c r="Q25" s="71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Assumptions'!$E$275:$E$298,'PV_.PX.WMV._.PTC.2032'!$B26-2023,1)/INDEX('2025 IRP Assumptions'!$E$275:$E$298,'PV_.PX.WMV._.PTC.2032'!$B26-2023-1,1)</f>
        <v>93.783856713213623</v>
      </c>
      <c r="E26" s="71" cm="1">
        <f t="array" ref="E26">$E$10*INDEX('2025 IRP Assumptions'!$E$275:$E$298,'PV_.PX.WMV._.PTC.2032'!$B26-2023,1)</f>
        <v>28.975552787519998</v>
      </c>
      <c r="F26" s="71" cm="1">
        <f t="array" ref="F26">F25*INDEX('2025 IRP Assumptions'!$E$275:$E$298,'PV_.PX.WMV._.PTC.2032'!$B26-2023,1)/INDEX('2025 IRP Assumptions'!$E$275:$E$298,'PV_.PX.WMV._.PTC.2032'!$B26-2023-1,1)</f>
        <v>22.699022736135664</v>
      </c>
      <c r="G26" s="72">
        <f t="shared" si="1"/>
        <v>67.806983077401313</v>
      </c>
      <c r="H26" s="71"/>
      <c r="I26" s="71">
        <f>-INDEX('2025 IRP Assumptions'!$E$243:$E$272,MATCH(B26,'2025 IRP Assumptions'!$S$243:$S$272,0),1)</f>
        <v>-53.04</v>
      </c>
      <c r="J26" s="72">
        <f t="shared" si="2"/>
        <v>14.766983077401314</v>
      </c>
      <c r="K26" s="72">
        <f t="shared" si="3"/>
        <v>31.68</v>
      </c>
      <c r="L26" s="71">
        <f t="shared" si="4"/>
        <v>145.4584322368693</v>
      </c>
      <c r="P26" s="88"/>
      <c r="Q26" s="71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Assumptions'!$E$275:$E$298,'PV_.PX.WMV._.PTC.2032'!$B27-2023,1)/INDEX('2025 IRP Assumptions'!$E$275:$E$298,'PV_.PX.WMV._.PTC.2032'!$B27-2023-1,1)</f>
        <v>95.828344744611215</v>
      </c>
      <c r="E27" s="71" cm="1">
        <f t="array" ref="E27">$E$10*INDEX('2025 IRP Assumptions'!$E$275:$E$298,'PV_.PX.WMV._.PTC.2032'!$B27-2023,1)</f>
        <v>29.607219824399998</v>
      </c>
      <c r="F27" s="71" cm="1">
        <f t="array" ref="F27">F26*INDEX('2025 IRP Assumptions'!$E$275:$E$298,'PV_.PX.WMV._.PTC.2032'!$B27-2023,1)/INDEX('2025 IRP Assumptions'!$E$275:$E$298,'PV_.PX.WMV._.PTC.2032'!$B27-2023-1,1)</f>
        <v>23.193861420903815</v>
      </c>
      <c r="G27" s="72">
        <f t="shared" si="1"/>
        <v>69.285175275988877</v>
      </c>
      <c r="H27" s="71"/>
      <c r="I27" s="71">
        <f>-INDEX('2025 IRP Assumptions'!$E$243:$E$272,MATCH(B27,'2025 IRP Assumptions'!$S$243:$S$272,0),1)</f>
        <v>-54.37</v>
      </c>
      <c r="J27" s="72">
        <f t="shared" si="2"/>
        <v>14.915175275988879</v>
      </c>
      <c r="K27" s="72">
        <f t="shared" si="3"/>
        <v>32</v>
      </c>
      <c r="L27" s="71">
        <f t="shared" si="4"/>
        <v>148.62942598991503</v>
      </c>
      <c r="P27" s="88"/>
      <c r="Q27" s="71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Assumptions'!$E$275:$E$298,'PV_.PX.WMV._.PTC.2032'!$B28-2023,1)/INDEX('2025 IRP Assumptions'!$E$275:$E$298,'PV_.PX.WMV._.PTC.2032'!$B28-2023-1,1)</f>
        <v>97.917402663630227</v>
      </c>
      <c r="E28" s="71" cm="1">
        <f t="array" ref="E28">$E$10*INDEX('2025 IRP Assumptions'!$E$275:$E$298,'PV_.PX.WMV._.PTC.2032'!$B28-2023,1)</f>
        <v>30.252657217679999</v>
      </c>
      <c r="F28" s="71" cm="1">
        <f t="array" ref="F28">F27*INDEX('2025 IRP Assumptions'!$E$275:$E$298,'PV_.PX.WMV._.PTC.2032'!$B28-2023,1)/INDEX('2025 IRP Assumptions'!$E$275:$E$298,'PV_.PX.WMV._.PTC.2032'!$B28-2023-1,1)</f>
        <v>23.699487600747574</v>
      </c>
      <c r="G28" s="72">
        <f t="shared" si="1"/>
        <v>70.795592099598508</v>
      </c>
      <c r="H28" s="71"/>
      <c r="I28" s="71"/>
      <c r="J28" s="72">
        <f t="shared" si="2"/>
        <v>70.795592099598508</v>
      </c>
      <c r="K28" s="72">
        <f t="shared" si="3"/>
        <v>151.87</v>
      </c>
      <c r="L28" s="71">
        <f t="shared" si="4"/>
        <v>151.86954748205781</v>
      </c>
      <c r="P28" s="88"/>
      <c r="Q28" s="71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Assumptions'!$E$275:$E$298,'PV_.PX.WMV._.PTC.2032'!$B29-2023,1)/INDEX('2025 IRP Assumptions'!$E$275:$E$298,'PV_.PX.WMV._.PTC.2032'!$B29-2023-1,1)</f>
        <v>100.0520020721691</v>
      </c>
      <c r="E29" s="71" cm="1">
        <f t="array" ref="E29">$E$10*INDEX('2025 IRP Assumptions'!$E$275:$E$298,'PV_.PX.WMV._.PTC.2032'!$B29-2023,1)</f>
        <v>30.91216515444</v>
      </c>
      <c r="F29" s="71" cm="1">
        <f t="array" ref="F29">F28*INDEX('2025 IRP Assumptions'!$E$275:$E$298,'PV_.PX.WMV._.PTC.2032'!$B29-2023,1)/INDEX('2025 IRP Assumptions'!$E$275:$E$298,'PV_.PX.WMV._.PTC.2032'!$B29-2023-1,1)</f>
        <v>24.21613643781911</v>
      </c>
      <c r="G29" s="72">
        <f t="shared" si="1"/>
        <v>72.338936029401225</v>
      </c>
      <c r="H29" s="71"/>
      <c r="I29" s="71"/>
      <c r="J29" s="72">
        <f t="shared" si="2"/>
        <v>72.338936029401225</v>
      </c>
      <c r="K29" s="72">
        <f t="shared" si="3"/>
        <v>155.18</v>
      </c>
      <c r="L29" s="71">
        <f t="shared" si="4"/>
        <v>155.18030366442821</v>
      </c>
      <c r="P29" s="88"/>
      <c r="Q29" s="71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Assumptions'!$E$275:$E$298,'PV_.PX.WMV._.PTC.2032'!$B30-2023,1)/INDEX('2025 IRP Assumptions'!$E$275:$E$298,'PV_.PX.WMV._.PTC.2032'!$B30-2023-1,1)</f>
        <v>102.23313569246289</v>
      </c>
      <c r="E30" s="71" cm="1">
        <f t="array" ref="E30">$E$10*INDEX('2025 IRP Assumptions'!$E$275:$E$298,'PV_.PX.WMV._.PTC.2032'!$B30-2023,1)</f>
        <v>31.58605034712</v>
      </c>
      <c r="F30" s="71" cm="1">
        <f t="array" ref="F30">F29*INDEX('2025 IRP Assumptions'!$E$275:$E$298,'PV_.PX.WMV._.PTC.2032'!$B30-2023,1)/INDEX('2025 IRP Assumptions'!$E$275:$E$298,'PV_.PX.WMV._.PTC.2032'!$B30-2023-1,1)</f>
        <v>24.744048206141844</v>
      </c>
      <c r="G30" s="72">
        <f t="shared" si="1"/>
        <v>73.915924816853973</v>
      </c>
      <c r="H30" s="71"/>
      <c r="I30" s="71"/>
      <c r="J30" s="72">
        <f t="shared" si="2"/>
        <v>73.915924816853973</v>
      </c>
      <c r="K30" s="72">
        <f t="shared" si="3"/>
        <v>158.56</v>
      </c>
      <c r="L30" s="71">
        <f t="shared" si="4"/>
        <v>158.56323424572474</v>
      </c>
      <c r="P30" s="88"/>
      <c r="Q30" s="71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Assumptions'!$E$275:$E$298,'PV_.PX.WMV._.PTC.2032'!$B31-2023,1)/INDEX('2025 IRP Assumptions'!$E$275:$E$298,'PV_.PX.WMV._.PTC.2032'!$B31-2023-1,1)</f>
        <v>104.46181809766091</v>
      </c>
      <c r="E31" s="71" cm="1">
        <f t="array" ref="E31">$E$10*INDEX('2025 IRP Assumptions'!$E$275:$E$298,'PV_.PX.WMV._.PTC.2032'!$B31-2023,1)</f>
        <v>32.274626259240002</v>
      </c>
      <c r="F31" s="71" cm="1">
        <f t="array" ref="F31">F30*INDEX('2025 IRP Assumptions'!$E$275:$E$298,'PV_.PX.WMV._.PTC.2032'!$B31-2023,1)/INDEX('2025 IRP Assumptions'!$E$275:$E$298,'PV_.PX.WMV._.PTC.2032'!$B31-2023-1,1)</f>
        <v>25.283468468436176</v>
      </c>
      <c r="G31" s="72">
        <f t="shared" si="1"/>
        <v>75.527292011916998</v>
      </c>
      <c r="H31" s="71"/>
      <c r="I31" s="71"/>
      <c r="J31" s="72">
        <f t="shared" si="2"/>
        <v>75.527292011916998</v>
      </c>
      <c r="K31" s="72">
        <f t="shared" si="3"/>
        <v>162.02000000000001</v>
      </c>
      <c r="L31" s="71">
        <f t="shared" si="4"/>
        <v>162.01991282533709</v>
      </c>
      <c r="P31" s="88"/>
      <c r="Q31" s="71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Assumptions'!$E$275:$E$298,'PV_.PX.WMV._.PTC.2032'!$B32-2023,1)/INDEX('2025 IRP Assumptions'!$E$275:$E$298,'PV_.PX.WMV._.PTC.2032'!$B32-2023-1,1)</f>
        <v>106.73908571182672</v>
      </c>
      <c r="E32" s="71" cm="1">
        <f t="array" ref="E32">$E$10*INDEX('2025 IRP Assumptions'!$E$275:$E$298,'PV_.PX.WMV._.PTC.2032'!$B32-2023,1)</f>
        <v>32.978213105400002</v>
      </c>
      <c r="F32" s="71" cm="1">
        <f t="array" ref="F32">F31*INDEX('2025 IRP Assumptions'!$E$275:$E$298,'PV_.PX.WMV._.PTC.2032'!$B32-2023,1)/INDEX('2025 IRP Assumptions'!$E$275:$E$298,'PV_.PX.WMV._.PTC.2032'!$B32-2023-1,1)</f>
        <v>25.834648076119464</v>
      </c>
      <c r="G32" s="72">
        <f t="shared" si="1"/>
        <v>77.173786963053914</v>
      </c>
      <c r="H32" s="71"/>
      <c r="I32" s="71"/>
      <c r="J32" s="72">
        <f t="shared" si="2"/>
        <v>77.173786963053914</v>
      </c>
      <c r="K32" s="72">
        <f t="shared" si="3"/>
        <v>165.55</v>
      </c>
      <c r="L32" s="71">
        <f t="shared" si="4"/>
        <v>165.55194689334618</v>
      </c>
      <c r="P32" s="88"/>
      <c r="Q32" s="71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Assumptions'!$E$275:$E$298,'PV_.PX.WMV._.PTC.2032'!$B33-2023,1)/INDEX('2025 IRP Assumptions'!$E$275:$E$298,'PV_.PX.WMV._.PTC.2032'!$B33-2023-1,1)</f>
        <v>109.06599773976427</v>
      </c>
      <c r="E33" s="71" cm="1">
        <f t="array" ref="E33">$E$10*INDEX('2025 IRP Assumptions'!$E$275:$E$298,'PV_.PX.WMV._.PTC.2032'!$B33-2023,1)</f>
        <v>33.69713813856</v>
      </c>
      <c r="F33" s="71" cm="1">
        <f t="array" ref="F33">F32*INDEX('2025 IRP Assumptions'!$E$275:$E$298,'PV_.PX.WMV._.PTC.2032'!$B33-2023,1)/INDEX('2025 IRP Assumptions'!$E$275:$E$298,'PV_.PX.WMV._.PTC.2032'!$B33-2023-1,1)</f>
        <v>26.397843394357004</v>
      </c>
      <c r="G33" s="72">
        <f t="shared" si="1"/>
        <v>78.856175489508431</v>
      </c>
      <c r="H33" s="71"/>
      <c r="I33" s="71"/>
      <c r="J33" s="72">
        <f t="shared" si="2"/>
        <v>78.856175489508431</v>
      </c>
      <c r="K33" s="72">
        <f t="shared" si="3"/>
        <v>169.16</v>
      </c>
      <c r="L33" s="71">
        <f t="shared" si="4"/>
        <v>169.16097927268129</v>
      </c>
      <c r="P33" s="88"/>
      <c r="Q33" s="71"/>
      <c r="R33" s="71"/>
    </row>
    <row r="34" spans="2:18" ht="15">
      <c r="B34" s="69">
        <f t="shared" si="0"/>
        <v>2048</v>
      </c>
      <c r="C34" s="73"/>
      <c r="D34" s="277">
        <f t="shared" ref="D34:E36" si="5">D33*D33/D32</f>
        <v>111.44363644902622</v>
      </c>
      <c r="E34" s="277">
        <f t="shared" si="5"/>
        <v>34.431735737169561</v>
      </c>
      <c r="F34" s="277">
        <f t="shared" ref="F34" si="6">F33*F33/F32</f>
        <v>26.973316370318006</v>
      </c>
      <c r="G34" s="72">
        <f t="shared" si="1"/>
        <v>80.575240085200008</v>
      </c>
      <c r="H34" s="71"/>
      <c r="I34" s="71"/>
      <c r="J34" s="72">
        <f t="shared" si="2"/>
        <v>80.575240085200008</v>
      </c>
      <c r="K34" s="72">
        <f t="shared" si="3"/>
        <v>172.85</v>
      </c>
      <c r="L34" s="71">
        <f t="shared" si="4"/>
        <v>172.84868855651376</v>
      </c>
      <c r="P34" s="88"/>
      <c r="Q34" s="71"/>
      <c r="R34" s="71"/>
    </row>
    <row r="35" spans="2:18" ht="15">
      <c r="B35" s="69">
        <f t="shared" si="0"/>
        <v>2049</v>
      </c>
      <c r="C35" s="73"/>
      <c r="D35" s="277">
        <f t="shared" si="5"/>
        <v>113.87310768124613</v>
      </c>
      <c r="E35" s="277">
        <f t="shared" si="5"/>
        <v>35.182347563149534</v>
      </c>
      <c r="F35" s="277">
        <f t="shared" ref="F35" si="7">F34*F34/F33</f>
        <v>27.561334656936175</v>
      </c>
      <c r="G35" s="72">
        <f t="shared" si="1"/>
        <v>82.331780288424113</v>
      </c>
      <c r="H35" s="71"/>
      <c r="I35" s="71"/>
      <c r="J35" s="72">
        <f t="shared" si="2"/>
        <v>82.331780288424113</v>
      </c>
      <c r="K35" s="72">
        <f t="shared" si="3"/>
        <v>176.62</v>
      </c>
      <c r="L35" s="71">
        <f t="shared" si="4"/>
        <v>176.61678990133183</v>
      </c>
      <c r="P35" s="88"/>
      <c r="Q35" s="71"/>
      <c r="R35" s="71"/>
    </row>
    <row r="36" spans="2:18" ht="15">
      <c r="B36" s="69">
        <f t="shared" si="0"/>
        <v>2050</v>
      </c>
      <c r="C36" s="73"/>
      <c r="D36" s="277">
        <f t="shared" si="5"/>
        <v>116.35554138540479</v>
      </c>
      <c r="E36" s="277">
        <f t="shared" si="5"/>
        <v>35.9493227266505</v>
      </c>
      <c r="F36" s="277">
        <f t="shared" ref="F36" si="8">F35*F35/F34</f>
        <v>28.162171741979066</v>
      </c>
      <c r="G36" s="72">
        <f t="shared" si="1"/>
        <v>84.126613067410702</v>
      </c>
      <c r="H36" s="71"/>
      <c r="I36" s="71"/>
      <c r="J36" s="72">
        <f t="shared" si="2"/>
        <v>84.126613067410702</v>
      </c>
      <c r="K36" s="72">
        <f t="shared" si="3"/>
        <v>180.47</v>
      </c>
      <c r="L36" s="71">
        <f t="shared" si="4"/>
        <v>180.46703585403435</v>
      </c>
      <c r="P36" s="88"/>
      <c r="Q36" s="71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197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152</v>
      </c>
    </row>
    <row r="53" spans="2:20">
      <c r="B53" t="s">
        <v>196</v>
      </c>
      <c r="C53" s="168"/>
      <c r="D53" s="62" t="s">
        <v>62</v>
      </c>
      <c r="P53" s="156"/>
      <c r="T53" s="174"/>
    </row>
    <row r="54" spans="2:20">
      <c r="B54" t="s">
        <v>196</v>
      </c>
      <c r="C54" s="85"/>
      <c r="D54" s="62" t="s">
        <v>64</v>
      </c>
      <c r="Q54" s="62" t="s">
        <v>215</v>
      </c>
      <c r="R54" s="62">
        <v>225.47842103047057</v>
      </c>
      <c r="T54" s="62" t="s">
        <v>336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196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>
        <f>IFERROR(INDEX('Table 3 TransCost'!$39:$39,1,MATCH(F58,'Table 3 TransCost'!$4:$4,0)+2),0)</f>
        <v>0</v>
      </c>
      <c r="D58" s="62" t="s">
        <v>91</v>
      </c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283</v>
      </c>
      <c r="E60" s="165"/>
      <c r="J60" s="276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pageSetUpPr fitToPage="1"/>
  </sheetPr>
  <dimension ref="A1:AK74"/>
  <sheetViews>
    <sheetView topLeftCell="C1" zoomScale="70" zoomScaleNormal="70" workbookViewId="0">
      <selection activeCell="Y21" sqref="Y21"/>
    </sheetView>
  </sheetViews>
  <sheetFormatPr defaultColWidth="9.33203125" defaultRowHeight="12.75"/>
  <cols>
    <col min="1" max="1" width="9.33203125" style="62"/>
    <col min="2" max="2" width="18.1640625" style="62" customWidth="1"/>
    <col min="3" max="3" width="12.1640625" style="62" customWidth="1"/>
    <col min="4" max="4" width="12.6640625" style="62" customWidth="1"/>
    <col min="5" max="6" width="3.33203125" style="62" customWidth="1"/>
    <col min="7" max="7" width="15.83203125" style="62" customWidth="1"/>
    <col min="8" max="8" width="16.33203125" style="62" customWidth="1"/>
    <col min="9" max="9" width="13.6640625" style="62" customWidth="1"/>
    <col min="10" max="10" width="15.5" style="62" customWidth="1"/>
    <col min="11" max="11" width="8.33203125" style="62" customWidth="1"/>
    <col min="12" max="12" width="15.83203125" style="62" customWidth="1"/>
    <col min="13" max="13" width="16.33203125" style="62" customWidth="1"/>
    <col min="14" max="15" width="15.33203125" style="62" customWidth="1"/>
    <col min="16" max="16" width="5.1640625" style="62" customWidth="1"/>
    <col min="17" max="17" width="15.83203125" style="62" customWidth="1"/>
    <col min="18" max="18" width="16.33203125" style="62" customWidth="1"/>
    <col min="19" max="19" width="18.33203125" style="62" customWidth="1"/>
    <col min="20" max="20" width="12.1640625" style="62" customWidth="1"/>
    <col min="21" max="21" width="11.83203125" style="62" customWidth="1"/>
    <col min="22" max="22" width="8.6640625" style="62" customWidth="1"/>
    <col min="23" max="23" width="16.33203125" style="62" customWidth="1"/>
    <col min="24" max="24" width="16.1640625" style="62" customWidth="1"/>
    <col min="25" max="25" width="10.1640625" style="62" customWidth="1"/>
    <col min="26" max="26" width="7.6640625" style="62" customWidth="1"/>
    <col min="27" max="28" width="14.83203125" style="62" customWidth="1"/>
    <col min="30" max="31" width="14.83203125" style="62" customWidth="1"/>
    <col min="33" max="33" width="14.33203125" style="62" customWidth="1"/>
    <col min="34" max="34" width="14.83203125" style="62" customWidth="1"/>
    <col min="35" max="35" width="11" style="62" customWidth="1"/>
    <col min="36" max="16384" width="9.33203125" style="62"/>
  </cols>
  <sheetData>
    <row r="1" spans="1:37" ht="15.75">
      <c r="G1" s="301" t="s">
        <v>53</v>
      </c>
      <c r="H1" s="61"/>
      <c r="I1" s="61"/>
      <c r="J1" s="61"/>
      <c r="K1" s="61"/>
      <c r="M1" s="61"/>
      <c r="N1" s="61"/>
      <c r="O1" s="61"/>
      <c r="P1" s="61"/>
      <c r="R1" s="61"/>
      <c r="S1" s="61"/>
      <c r="T1" s="61"/>
      <c r="U1" s="61"/>
      <c r="W1" s="61"/>
      <c r="X1" s="61"/>
      <c r="Y1" s="61"/>
    </row>
    <row r="2" spans="1:37" ht="15.75">
      <c r="G2" s="301" t="s">
        <v>271</v>
      </c>
      <c r="H2" s="61"/>
      <c r="I2" s="61"/>
      <c r="J2" s="61"/>
      <c r="K2" s="61"/>
      <c r="M2" s="61"/>
      <c r="N2" s="61"/>
      <c r="O2" s="61"/>
      <c r="P2" s="61"/>
      <c r="R2" s="61"/>
      <c r="S2" s="61"/>
      <c r="T2" s="61"/>
      <c r="U2" s="61"/>
      <c r="W2" s="61"/>
      <c r="X2" s="61"/>
      <c r="Y2" s="61"/>
    </row>
    <row r="3" spans="1:37" ht="15.75">
      <c r="H3" s="300" t="s">
        <v>87</v>
      </c>
      <c r="I3" s="316">
        <v>2027</v>
      </c>
      <c r="J3" s="61"/>
      <c r="K3" s="61"/>
      <c r="M3" s="300" t="s">
        <v>87</v>
      </c>
      <c r="N3" s="316">
        <v>2028</v>
      </c>
      <c r="O3" s="61"/>
      <c r="P3" s="61"/>
      <c r="R3" s="300" t="s">
        <v>87</v>
      </c>
      <c r="S3" s="316">
        <v>2032</v>
      </c>
      <c r="T3" s="61"/>
      <c r="U3" s="61"/>
      <c r="W3" s="300" t="s">
        <v>87</v>
      </c>
      <c r="X3" s="316">
        <v>2036</v>
      </c>
      <c r="Y3" s="61"/>
    </row>
    <row r="4" spans="1:37" ht="65.25" customHeight="1">
      <c r="G4" s="314"/>
      <c r="H4" s="320" t="str">
        <f>'2025 IRP Assumptions'!$B$398</f>
        <v>Cluster 1 Area 11 - Willamette Valley</v>
      </c>
      <c r="I4" s="293"/>
      <c r="J4" s="293"/>
      <c r="K4" s="293"/>
      <c r="M4" s="320" t="str">
        <f>'2025 IRP Assumptions'!$B$404</f>
        <v>Cluster 2 Area 23 - Willamette Valley</v>
      </c>
      <c r="N4" s="293"/>
      <c r="O4" s="293"/>
      <c r="P4" s="293"/>
      <c r="R4" s="320" t="str">
        <f>'2025 IRP Assumptions'!B409</f>
        <v>Cluster 2/3 - Willamette Valley - Fry-Full Circle 230 kV</v>
      </c>
      <c r="S4" s="293"/>
      <c r="T4" s="293"/>
      <c r="U4" s="293"/>
      <c r="W4" s="320" t="str">
        <f>'2025 IRP Assumptions'!$B$412</f>
        <v>S. Lebanon-Dixonville 500 kV, Dbl-Ckt Fry-S.Lebanon 230 kV</v>
      </c>
      <c r="X4" s="293"/>
      <c r="Y4" s="293"/>
    </row>
    <row r="5" spans="1:37" ht="90.75" customHeight="1">
      <c r="B5" s="313" t="s">
        <v>270</v>
      </c>
      <c r="C5" s="113" t="s">
        <v>274</v>
      </c>
      <c r="D5" s="293"/>
      <c r="E5" s="293"/>
      <c r="F5" s="293"/>
      <c r="G5" s="315" t="s">
        <v>0</v>
      </c>
      <c r="H5" s="313" t="s">
        <v>273</v>
      </c>
      <c r="I5" s="313" t="s">
        <v>141</v>
      </c>
      <c r="L5" s="315" t="s">
        <v>0</v>
      </c>
      <c r="M5" s="313" t="s">
        <v>273</v>
      </c>
      <c r="N5" s="313" t="s">
        <v>141</v>
      </c>
      <c r="P5" s="313"/>
      <c r="Q5" s="315" t="s">
        <v>0</v>
      </c>
      <c r="R5" s="313" t="s">
        <v>273</v>
      </c>
      <c r="S5" s="313" t="s">
        <v>141</v>
      </c>
      <c r="T5" s="313"/>
      <c r="U5" s="313"/>
      <c r="V5" s="315" t="s">
        <v>0</v>
      </c>
      <c r="W5" s="313" t="s">
        <v>273</v>
      </c>
      <c r="X5" s="313" t="s">
        <v>141</v>
      </c>
      <c r="Y5" s="313"/>
      <c r="AA5" s="313"/>
      <c r="AB5" s="313"/>
      <c r="AD5" s="313"/>
      <c r="AE5" s="313"/>
      <c r="AG5" s="113"/>
      <c r="AH5" s="113"/>
      <c r="AI5" s="113"/>
      <c r="AJ5" s="113"/>
    </row>
    <row r="6" spans="1:37" ht="24" customHeight="1">
      <c r="B6" s="317" t="s">
        <v>32</v>
      </c>
      <c r="C6" s="62" t="s">
        <v>32</v>
      </c>
      <c r="G6" s="77"/>
      <c r="H6" s="317" t="s">
        <v>269</v>
      </c>
      <c r="I6" s="317" t="s">
        <v>32</v>
      </c>
      <c r="J6" s="313" t="s">
        <v>8</v>
      </c>
      <c r="K6" s="313"/>
      <c r="L6" s="77"/>
      <c r="M6" s="317" t="s">
        <v>269</v>
      </c>
      <c r="N6" s="317" t="s">
        <v>32</v>
      </c>
      <c r="O6" s="313" t="s">
        <v>8</v>
      </c>
      <c r="P6" s="317"/>
      <c r="Q6" s="77"/>
      <c r="R6" s="317" t="s">
        <v>269</v>
      </c>
      <c r="S6" s="317" t="s">
        <v>32</v>
      </c>
      <c r="T6" s="313" t="s">
        <v>8</v>
      </c>
      <c r="U6" s="317"/>
      <c r="V6" s="77"/>
      <c r="W6" s="317" t="s">
        <v>269</v>
      </c>
      <c r="X6" s="317" t="s">
        <v>32</v>
      </c>
      <c r="Y6" s="313" t="s">
        <v>8</v>
      </c>
      <c r="AA6" s="317"/>
      <c r="AB6" s="317"/>
      <c r="AD6" s="317"/>
      <c r="AE6" s="317"/>
    </row>
    <row r="7" spans="1:37">
      <c r="B7" s="68"/>
      <c r="H7" s="68"/>
      <c r="I7" s="68"/>
      <c r="J7" s="68"/>
      <c r="K7" s="68"/>
      <c r="M7" s="68"/>
      <c r="N7" s="68"/>
      <c r="O7" s="68"/>
      <c r="P7" s="68"/>
      <c r="R7" s="68"/>
      <c r="S7" s="68"/>
      <c r="T7" s="68"/>
      <c r="U7" s="68"/>
      <c r="W7" s="68"/>
      <c r="X7" s="68"/>
      <c r="Y7" s="68"/>
      <c r="AA7" s="68"/>
      <c r="AB7" s="68"/>
      <c r="AD7" s="68"/>
      <c r="AE7" s="68"/>
    </row>
    <row r="8" spans="1:37" ht="6" customHeight="1"/>
    <row r="9" spans="1:37">
      <c r="G9" s="162"/>
      <c r="L9" s="162"/>
      <c r="Q9" s="162"/>
      <c r="V9" s="162"/>
    </row>
    <row r="10" spans="1:37">
      <c r="A10" s="69">
        <v>2025</v>
      </c>
      <c r="B10" s="295">
        <f>C10</f>
        <v>0</v>
      </c>
      <c r="C10" s="295">
        <v>0</v>
      </c>
      <c r="D10" s="69"/>
      <c r="E10" s="69"/>
      <c r="F10" s="69"/>
      <c r="G10" s="69">
        <v>2025</v>
      </c>
      <c r="H10" s="71"/>
      <c r="I10" s="295"/>
      <c r="J10" s="295"/>
      <c r="K10" s="295"/>
      <c r="L10" s="69">
        <v>2025</v>
      </c>
      <c r="M10" s="71"/>
      <c r="N10" s="295"/>
      <c r="O10" s="295"/>
      <c r="P10" s="295"/>
      <c r="Q10" s="69">
        <v>2025</v>
      </c>
      <c r="R10" s="71"/>
      <c r="S10" s="295"/>
      <c r="T10" s="295"/>
      <c r="U10" s="295"/>
      <c r="V10" s="69">
        <v>2025</v>
      </c>
      <c r="W10" s="71"/>
      <c r="X10" s="295"/>
      <c r="Y10" s="295"/>
      <c r="AA10" s="295"/>
      <c r="AB10" s="295"/>
      <c r="AD10" s="295"/>
      <c r="AE10" s="295"/>
      <c r="AG10" s="295"/>
      <c r="AH10" s="295"/>
      <c r="AI10" s="295"/>
      <c r="AJ10" s="295"/>
      <c r="AK10" s="295"/>
    </row>
    <row r="11" spans="1:37">
      <c r="A11" s="69">
        <f t="shared" ref="A11:A35" si="0">A10+1</f>
        <v>2026</v>
      </c>
      <c r="B11" s="295">
        <f t="shared" ref="B11:B35" si="1">B10+C11</f>
        <v>0</v>
      </c>
      <c r="C11" s="295">
        <v>0</v>
      </c>
      <c r="D11" s="69"/>
      <c r="E11" s="69"/>
      <c r="F11" s="69"/>
      <c r="G11" s="69">
        <f t="shared" ref="G11:G35" si="2">G10+1</f>
        <v>2026</v>
      </c>
      <c r="H11" s="71"/>
      <c r="I11" s="295"/>
      <c r="J11" s="295"/>
      <c r="K11" s="295"/>
      <c r="L11" s="69">
        <f t="shared" ref="L11:L35" si="3">L10+1</f>
        <v>2026</v>
      </c>
      <c r="M11" s="71"/>
      <c r="N11" s="295"/>
      <c r="O11" s="295"/>
      <c r="P11" s="295"/>
      <c r="Q11" s="69">
        <f t="shared" ref="Q11:Q35" si="4">Q10+1</f>
        <v>2026</v>
      </c>
      <c r="R11" s="71"/>
      <c r="S11" s="295"/>
      <c r="T11" s="295"/>
      <c r="U11" s="295"/>
      <c r="V11" s="69">
        <f t="shared" ref="V11:V35" si="5">V10+1</f>
        <v>2026</v>
      </c>
      <c r="W11" s="71"/>
      <c r="X11" s="295"/>
      <c r="Y11" s="295"/>
      <c r="AA11" s="295"/>
      <c r="AB11" s="295"/>
      <c r="AD11" s="295"/>
      <c r="AE11" s="295"/>
      <c r="AG11" s="295"/>
      <c r="AH11" s="295"/>
      <c r="AI11" s="295"/>
      <c r="AJ11" s="295"/>
      <c r="AK11" s="295"/>
    </row>
    <row r="12" spans="1:37">
      <c r="A12" s="69">
        <f t="shared" si="0"/>
        <v>2027</v>
      </c>
      <c r="B12" s="295">
        <f t="shared" si="1"/>
        <v>109.0126908</v>
      </c>
      <c r="C12" s="295">
        <v>109.0126908</v>
      </c>
      <c r="D12" s="69"/>
      <c r="E12" s="69"/>
      <c r="F12" s="69"/>
      <c r="G12" s="160">
        <f t="shared" si="2"/>
        <v>2027</v>
      </c>
      <c r="H12" s="319">
        <f>'2025 IRP Assumptions'!$K$398</f>
        <v>557.16677599999991</v>
      </c>
      <c r="I12" s="318">
        <f>'2025 IRP Assumptions'!$E$398</f>
        <v>199</v>
      </c>
      <c r="J12" s="250">
        <f>H12/$C12</f>
        <v>5.1110267246059014</v>
      </c>
      <c r="K12" s="71"/>
      <c r="L12" s="69">
        <f t="shared" si="3"/>
        <v>2027</v>
      </c>
      <c r="M12" s="71"/>
      <c r="N12" s="295"/>
      <c r="O12" s="295"/>
      <c r="P12" s="295"/>
      <c r="Q12" s="69">
        <f t="shared" si="4"/>
        <v>2027</v>
      </c>
      <c r="R12" s="71"/>
      <c r="S12" s="295"/>
      <c r="T12" s="295"/>
      <c r="U12" s="295"/>
      <c r="V12" s="69">
        <f t="shared" si="5"/>
        <v>2027</v>
      </c>
      <c r="W12" s="71"/>
      <c r="X12" s="295"/>
      <c r="Y12" s="295"/>
      <c r="AA12" s="295"/>
      <c r="AB12" s="295"/>
      <c r="AD12" s="295"/>
      <c r="AE12" s="295"/>
      <c r="AG12" s="295"/>
      <c r="AH12" s="295"/>
      <c r="AI12" s="295"/>
      <c r="AJ12" s="295"/>
      <c r="AK12" s="295"/>
    </row>
    <row r="13" spans="1:37">
      <c r="A13" s="69">
        <f t="shared" si="0"/>
        <v>2028</v>
      </c>
      <c r="B13" s="295">
        <f t="shared" si="1"/>
        <v>272.88141419999999</v>
      </c>
      <c r="C13" s="295">
        <v>163.86872339999999</v>
      </c>
      <c r="D13" s="69"/>
      <c r="E13" s="69"/>
      <c r="F13" s="69"/>
      <c r="G13" s="69">
        <f t="shared" si="2"/>
        <v>2028</v>
      </c>
      <c r="H13" s="70">
        <f t="shared" ref="H13:H35" si="6">H12*(1+Inflation)</f>
        <v>569.31301171679991</v>
      </c>
      <c r="I13" s="295">
        <f>I12</f>
        <v>199</v>
      </c>
      <c r="J13" s="250">
        <f>H13/MAX(I13,C13)</f>
        <v>2.86086940561206</v>
      </c>
      <c r="K13" s="71"/>
      <c r="L13" s="160">
        <f t="shared" si="3"/>
        <v>2028</v>
      </c>
      <c r="M13" s="319">
        <f>'2025 IRP Assumptions'!$K$404</f>
        <v>90.497897000000009</v>
      </c>
      <c r="N13" s="318">
        <f>'2025 IRP Assumptions'!$E$404</f>
        <v>393</v>
      </c>
      <c r="O13" s="250">
        <f>(M13)/MAX(N13,C13)</f>
        <v>0.23027454707379136</v>
      </c>
      <c r="P13" s="295"/>
      <c r="Q13" s="69">
        <f t="shared" si="4"/>
        <v>2028</v>
      </c>
      <c r="R13" s="71"/>
      <c r="S13" s="295"/>
      <c r="T13" s="71"/>
      <c r="U13" s="295"/>
      <c r="V13" s="69">
        <f t="shared" si="5"/>
        <v>2028</v>
      </c>
      <c r="W13" s="71"/>
      <c r="X13" s="295"/>
      <c r="Y13" s="71"/>
      <c r="AA13" s="295"/>
      <c r="AB13" s="295"/>
      <c r="AD13" s="295"/>
      <c r="AE13" s="295"/>
      <c r="AG13" s="295"/>
      <c r="AH13" s="295"/>
      <c r="AI13" s="295"/>
      <c r="AJ13" s="295"/>
      <c r="AK13" s="295"/>
    </row>
    <row r="14" spans="1:37">
      <c r="A14" s="69">
        <f t="shared" si="0"/>
        <v>2029</v>
      </c>
      <c r="B14" s="295">
        <f t="shared" si="1"/>
        <v>866.78141419999997</v>
      </c>
      <c r="C14" s="295">
        <v>593.9</v>
      </c>
      <c r="D14" s="69"/>
      <c r="E14" s="69"/>
      <c r="F14" s="69"/>
      <c r="G14" s="69">
        <f t="shared" si="2"/>
        <v>2029</v>
      </c>
      <c r="H14" s="70">
        <f t="shared" si="6"/>
        <v>581.72403537222613</v>
      </c>
      <c r="I14" s="295">
        <f t="shared" ref="I14:I35" si="7">I13</f>
        <v>199</v>
      </c>
      <c r="J14" s="395"/>
      <c r="K14" s="71"/>
      <c r="L14" s="69">
        <f t="shared" si="3"/>
        <v>2029</v>
      </c>
      <c r="M14" s="70">
        <f t="shared" ref="M14:M35" si="8">M13*(1+Inflation)</f>
        <v>92.470751154600009</v>
      </c>
      <c r="N14" s="295">
        <f>N13</f>
        <v>393</v>
      </c>
      <c r="O14" s="71"/>
      <c r="P14" s="295"/>
      <c r="Q14" s="69">
        <f t="shared" si="4"/>
        <v>2029</v>
      </c>
      <c r="R14" s="71"/>
      <c r="S14" s="295"/>
      <c r="T14" s="71"/>
      <c r="U14" s="295"/>
      <c r="V14" s="69">
        <f t="shared" si="5"/>
        <v>2029</v>
      </c>
      <c r="W14" s="71"/>
      <c r="X14" s="295"/>
      <c r="Y14" s="71"/>
      <c r="AA14" s="295"/>
      <c r="AB14" s="295"/>
      <c r="AD14" s="295"/>
      <c r="AE14" s="295"/>
      <c r="AG14" s="295"/>
      <c r="AH14" s="295"/>
      <c r="AI14" s="295"/>
      <c r="AJ14" s="295"/>
      <c r="AK14" s="295"/>
    </row>
    <row r="15" spans="1:37">
      <c r="A15" s="69">
        <f t="shared" si="0"/>
        <v>2030</v>
      </c>
      <c r="B15" s="295">
        <f t="shared" si="1"/>
        <v>1153.963528</v>
      </c>
      <c r="C15" s="295">
        <v>287.18211380000002</v>
      </c>
      <c r="D15" s="69"/>
      <c r="E15" s="69"/>
      <c r="F15" s="69"/>
      <c r="G15" s="69">
        <f t="shared" si="2"/>
        <v>2030</v>
      </c>
      <c r="H15" s="70">
        <f t="shared" si="6"/>
        <v>594.40561934334073</v>
      </c>
      <c r="I15" s="295">
        <f t="shared" si="7"/>
        <v>199</v>
      </c>
      <c r="J15" s="395"/>
      <c r="K15" s="71"/>
      <c r="L15" s="69">
        <f t="shared" si="3"/>
        <v>2030</v>
      </c>
      <c r="M15" s="70">
        <f t="shared" si="8"/>
        <v>94.486613529770295</v>
      </c>
      <c r="N15" s="295">
        <f t="shared" ref="N15:N35" si="9">N14</f>
        <v>393</v>
      </c>
      <c r="O15" s="71"/>
      <c r="P15" s="295"/>
      <c r="Q15" s="69">
        <f t="shared" si="4"/>
        <v>2030</v>
      </c>
      <c r="R15" s="71"/>
      <c r="S15" s="295"/>
      <c r="T15" s="71"/>
      <c r="U15" s="295"/>
      <c r="V15" s="69">
        <f t="shared" si="5"/>
        <v>2030</v>
      </c>
      <c r="W15" s="71"/>
      <c r="X15" s="295"/>
      <c r="Y15" s="71"/>
      <c r="AA15" s="295"/>
      <c r="AB15" s="295"/>
      <c r="AD15" s="295"/>
      <c r="AE15" s="295"/>
      <c r="AG15" s="295"/>
      <c r="AH15" s="295"/>
      <c r="AI15" s="295"/>
      <c r="AJ15" s="295"/>
      <c r="AK15" s="295"/>
    </row>
    <row r="16" spans="1:37">
      <c r="A16" s="69">
        <f t="shared" si="0"/>
        <v>2031</v>
      </c>
      <c r="B16" s="295">
        <f t="shared" si="1"/>
        <v>1187.8</v>
      </c>
      <c r="C16" s="295">
        <v>33.836472000000001</v>
      </c>
      <c r="D16" s="69"/>
      <c r="E16" s="69"/>
      <c r="F16" s="69"/>
      <c r="G16" s="69">
        <f t="shared" si="2"/>
        <v>2031</v>
      </c>
      <c r="H16" s="70">
        <f t="shared" si="6"/>
        <v>607.3636618450256</v>
      </c>
      <c r="I16" s="295">
        <f t="shared" si="7"/>
        <v>199</v>
      </c>
      <c r="J16" s="395"/>
      <c r="K16" s="71"/>
      <c r="L16" s="69">
        <f t="shared" si="3"/>
        <v>2031</v>
      </c>
      <c r="M16" s="70">
        <f t="shared" si="8"/>
        <v>96.546421704719293</v>
      </c>
      <c r="N16" s="295">
        <f t="shared" si="9"/>
        <v>393</v>
      </c>
      <c r="O16" s="71"/>
      <c r="P16" s="295"/>
      <c r="Q16" s="69">
        <f t="shared" si="4"/>
        <v>2031</v>
      </c>
      <c r="R16" s="71"/>
      <c r="S16" s="295"/>
      <c r="T16" s="71"/>
      <c r="U16" s="295"/>
      <c r="V16" s="69">
        <f t="shared" si="5"/>
        <v>2031</v>
      </c>
      <c r="W16" s="71"/>
      <c r="X16" s="295"/>
      <c r="Y16" s="71"/>
      <c r="AA16" s="295"/>
      <c r="AB16" s="295"/>
      <c r="AD16" s="295"/>
      <c r="AE16" s="295"/>
      <c r="AG16" s="295"/>
      <c r="AH16" s="295"/>
      <c r="AI16" s="295"/>
      <c r="AJ16" s="295"/>
      <c r="AK16" s="295"/>
    </row>
    <row r="17" spans="1:37">
      <c r="A17" s="69">
        <f t="shared" si="0"/>
        <v>2032</v>
      </c>
      <c r="B17" s="295">
        <f t="shared" si="1"/>
        <v>2089.8000000000002</v>
      </c>
      <c r="C17" s="295">
        <v>902</v>
      </c>
      <c r="D17" s="69"/>
      <c r="E17" s="69"/>
      <c r="F17" s="69"/>
      <c r="G17" s="69">
        <f t="shared" si="2"/>
        <v>2032</v>
      </c>
      <c r="H17" s="70">
        <f t="shared" si="6"/>
        <v>620.60418967324722</v>
      </c>
      <c r="I17" s="295">
        <f t="shared" si="7"/>
        <v>199</v>
      </c>
      <c r="J17" s="395"/>
      <c r="K17" s="71"/>
      <c r="L17" s="69">
        <f t="shared" si="3"/>
        <v>2032</v>
      </c>
      <c r="M17" s="70">
        <f t="shared" si="8"/>
        <v>98.651133697882173</v>
      </c>
      <c r="N17" s="295">
        <f t="shared" si="9"/>
        <v>393</v>
      </c>
      <c r="O17" s="71"/>
      <c r="P17" s="295"/>
      <c r="Q17" s="160">
        <f t="shared" si="4"/>
        <v>2032</v>
      </c>
      <c r="R17" s="319">
        <f>'2025 IRP Assumptions'!$K$409</f>
        <v>17230.048914999999</v>
      </c>
      <c r="S17" s="318">
        <f>'2025 IRP Assumptions'!$E$409</f>
        <v>450</v>
      </c>
      <c r="T17" s="250">
        <f>R17/$C17</f>
        <v>19.102049794900221</v>
      </c>
      <c r="U17" s="295"/>
      <c r="V17" s="69">
        <f t="shared" si="5"/>
        <v>2032</v>
      </c>
      <c r="W17" s="71"/>
      <c r="X17" s="295"/>
      <c r="Y17" s="71"/>
      <c r="AA17" s="295"/>
      <c r="AB17" s="295"/>
      <c r="AD17" s="295"/>
      <c r="AE17" s="295"/>
      <c r="AG17" s="295"/>
      <c r="AH17" s="295"/>
      <c r="AI17" s="295"/>
      <c r="AJ17" s="295"/>
      <c r="AK17" s="295"/>
    </row>
    <row r="18" spans="1:37">
      <c r="A18" s="69">
        <f t="shared" si="0"/>
        <v>2033</v>
      </c>
      <c r="B18" s="295">
        <f t="shared" si="1"/>
        <v>2089.8000000000002</v>
      </c>
      <c r="C18" s="295">
        <v>0</v>
      </c>
      <c r="D18" s="69"/>
      <c r="E18" s="69"/>
      <c r="F18" s="69"/>
      <c r="G18" s="69">
        <f t="shared" si="2"/>
        <v>2033</v>
      </c>
      <c r="H18" s="70">
        <f t="shared" si="6"/>
        <v>634.13336100812398</v>
      </c>
      <c r="I18" s="295">
        <f t="shared" si="7"/>
        <v>199</v>
      </c>
      <c r="J18" s="395"/>
      <c r="K18" s="71"/>
      <c r="L18" s="69">
        <f t="shared" si="3"/>
        <v>2033</v>
      </c>
      <c r="M18" s="70">
        <f t="shared" si="8"/>
        <v>100.801728412496</v>
      </c>
      <c r="N18" s="295">
        <f t="shared" si="9"/>
        <v>393</v>
      </c>
      <c r="O18" s="71"/>
      <c r="P18" s="295"/>
      <c r="Q18" s="69">
        <f t="shared" si="4"/>
        <v>2033</v>
      </c>
      <c r="R18" s="70">
        <f t="shared" ref="R18:R35" si="10">R17*(1+Inflation)</f>
        <v>17605.663981346999</v>
      </c>
      <c r="S18" s="295">
        <f>S17</f>
        <v>450</v>
      </c>
      <c r="T18" s="71"/>
      <c r="U18" s="295"/>
      <c r="V18" s="69">
        <f t="shared" si="5"/>
        <v>2033</v>
      </c>
      <c r="W18" s="71"/>
      <c r="X18" s="295"/>
      <c r="Y18" s="71"/>
      <c r="AA18" s="295"/>
      <c r="AB18" s="295"/>
      <c r="AD18" s="295"/>
      <c r="AE18" s="295"/>
      <c r="AG18" s="295"/>
      <c r="AH18" s="295"/>
      <c r="AI18" s="295"/>
      <c r="AJ18" s="295"/>
      <c r="AK18" s="295"/>
    </row>
    <row r="19" spans="1:37">
      <c r="A19" s="69">
        <f t="shared" si="0"/>
        <v>2034</v>
      </c>
      <c r="B19" s="295">
        <f t="shared" si="1"/>
        <v>2089.8000000000002</v>
      </c>
      <c r="C19" s="295">
        <v>0</v>
      </c>
      <c r="D19" s="69"/>
      <c r="E19" s="69"/>
      <c r="F19" s="69"/>
      <c r="G19" s="69">
        <f t="shared" si="2"/>
        <v>2034</v>
      </c>
      <c r="H19" s="70">
        <f t="shared" si="6"/>
        <v>647.95746827810115</v>
      </c>
      <c r="I19" s="295">
        <f t="shared" si="7"/>
        <v>199</v>
      </c>
      <c r="J19" s="395"/>
      <c r="K19" s="71"/>
      <c r="L19" s="69">
        <f t="shared" si="3"/>
        <v>2034</v>
      </c>
      <c r="M19" s="70">
        <f t="shared" si="8"/>
        <v>102.99920609188842</v>
      </c>
      <c r="N19" s="295">
        <f t="shared" si="9"/>
        <v>393</v>
      </c>
      <c r="O19" s="71"/>
      <c r="P19" s="295"/>
      <c r="Q19" s="69">
        <f t="shared" si="4"/>
        <v>2034</v>
      </c>
      <c r="R19" s="70">
        <f t="shared" si="10"/>
        <v>17989.467456140366</v>
      </c>
      <c r="S19" s="295">
        <f t="shared" ref="S19:S35" si="11">S18</f>
        <v>450</v>
      </c>
      <c r="T19" s="71"/>
      <c r="U19" s="295"/>
      <c r="V19" s="69">
        <f t="shared" si="5"/>
        <v>2034</v>
      </c>
      <c r="W19" s="71"/>
      <c r="X19" s="295"/>
      <c r="Y19" s="71"/>
      <c r="AA19" s="295"/>
      <c r="AB19" s="295"/>
      <c r="AD19" s="295"/>
      <c r="AE19" s="295"/>
      <c r="AG19" s="295"/>
      <c r="AH19" s="295"/>
      <c r="AI19" s="295"/>
      <c r="AJ19" s="295"/>
      <c r="AK19" s="295"/>
    </row>
    <row r="20" spans="1:37">
      <c r="A20" s="69">
        <f t="shared" si="0"/>
        <v>2035</v>
      </c>
      <c r="B20" s="295">
        <f t="shared" si="1"/>
        <v>2089.8000000000002</v>
      </c>
      <c r="C20" s="295">
        <v>0</v>
      </c>
      <c r="D20" s="69"/>
      <c r="E20" s="69"/>
      <c r="F20" s="69"/>
      <c r="G20" s="69">
        <f t="shared" si="2"/>
        <v>2035</v>
      </c>
      <c r="H20" s="70">
        <f t="shared" si="6"/>
        <v>662.08294108656378</v>
      </c>
      <c r="I20" s="295">
        <f t="shared" si="7"/>
        <v>199</v>
      </c>
      <c r="J20" s="395"/>
      <c r="K20" s="71"/>
      <c r="L20" s="69">
        <f t="shared" si="3"/>
        <v>2035</v>
      </c>
      <c r="M20" s="70">
        <f t="shared" si="8"/>
        <v>105.2445887846916</v>
      </c>
      <c r="N20" s="295">
        <f t="shared" si="9"/>
        <v>393</v>
      </c>
      <c r="O20" s="71"/>
      <c r="P20" s="295"/>
      <c r="Q20" s="69">
        <f t="shared" si="4"/>
        <v>2035</v>
      </c>
      <c r="R20" s="70">
        <f t="shared" si="10"/>
        <v>18381.637846684225</v>
      </c>
      <c r="S20" s="295">
        <f t="shared" si="11"/>
        <v>450</v>
      </c>
      <c r="T20" s="71"/>
      <c r="U20" s="295"/>
      <c r="V20" s="69">
        <f t="shared" si="5"/>
        <v>2035</v>
      </c>
      <c r="W20" s="71"/>
      <c r="X20" s="295"/>
      <c r="Y20" s="71"/>
      <c r="AA20" s="295"/>
      <c r="AB20" s="295"/>
      <c r="AD20" s="295"/>
      <c r="AE20" s="295"/>
      <c r="AG20" s="295"/>
      <c r="AH20" s="295"/>
      <c r="AI20" s="295"/>
      <c r="AJ20" s="295"/>
      <c r="AK20" s="295"/>
    </row>
    <row r="21" spans="1:37">
      <c r="A21" s="69">
        <f t="shared" si="0"/>
        <v>2036</v>
      </c>
      <c r="B21" s="295">
        <f t="shared" si="1"/>
        <v>2755.7999998</v>
      </c>
      <c r="C21" s="295">
        <v>665.99999979999996</v>
      </c>
      <c r="D21" s="69"/>
      <c r="E21" s="69"/>
      <c r="F21" s="69"/>
      <c r="G21" s="69">
        <f t="shared" si="2"/>
        <v>2036</v>
      </c>
      <c r="H21" s="70">
        <f t="shared" si="6"/>
        <v>676.51634920225092</v>
      </c>
      <c r="I21" s="295">
        <f t="shared" si="7"/>
        <v>199</v>
      </c>
      <c r="J21" s="395"/>
      <c r="K21" s="71"/>
      <c r="L21" s="69">
        <f t="shared" si="3"/>
        <v>2036</v>
      </c>
      <c r="M21" s="70">
        <f t="shared" si="8"/>
        <v>107.53892082019789</v>
      </c>
      <c r="N21" s="295">
        <f t="shared" si="9"/>
        <v>393</v>
      </c>
      <c r="O21" s="71"/>
      <c r="P21" s="295"/>
      <c r="Q21" s="69">
        <f t="shared" si="4"/>
        <v>2036</v>
      </c>
      <c r="R21" s="70">
        <f t="shared" si="10"/>
        <v>18782.357551741941</v>
      </c>
      <c r="S21" s="295">
        <f t="shared" si="11"/>
        <v>450</v>
      </c>
      <c r="T21" s="71"/>
      <c r="U21" s="295"/>
      <c r="V21" s="160">
        <f t="shared" si="5"/>
        <v>2036</v>
      </c>
      <c r="W21" s="319">
        <f>'2025 IRP Assumptions'!$K$412</f>
        <v>46579.726330999998</v>
      </c>
      <c r="X21" s="318">
        <f>'2025 IRP Assumptions'!$E$412</f>
        <v>665</v>
      </c>
      <c r="Y21" s="250">
        <f>W21/$C21</f>
        <v>69.939529046528392</v>
      </c>
      <c r="AA21" s="295"/>
      <c r="AB21" s="295"/>
      <c r="AD21" s="295"/>
      <c r="AE21" s="295"/>
      <c r="AG21" s="295"/>
      <c r="AH21" s="295"/>
      <c r="AI21" s="295"/>
      <c r="AJ21" s="295"/>
      <c r="AK21" s="295"/>
    </row>
    <row r="22" spans="1:37">
      <c r="A22" s="69">
        <f t="shared" si="0"/>
        <v>2037</v>
      </c>
      <c r="B22" s="295">
        <f t="shared" si="1"/>
        <v>2757.6999998000001</v>
      </c>
      <c r="C22" s="295">
        <v>1.9</v>
      </c>
      <c r="D22" s="69"/>
      <c r="E22" s="69"/>
      <c r="F22" s="69"/>
      <c r="G22" s="69">
        <f t="shared" si="2"/>
        <v>2037</v>
      </c>
      <c r="H22" s="70">
        <f t="shared" si="6"/>
        <v>691.26440561486004</v>
      </c>
      <c r="I22" s="295">
        <f t="shared" si="7"/>
        <v>199</v>
      </c>
      <c r="J22" s="395"/>
      <c r="K22" s="71"/>
      <c r="L22" s="69">
        <f t="shared" si="3"/>
        <v>2037</v>
      </c>
      <c r="M22" s="70">
        <f t="shared" si="8"/>
        <v>109.8832692940782</v>
      </c>
      <c r="N22" s="295">
        <f t="shared" si="9"/>
        <v>393</v>
      </c>
      <c r="O22" s="71"/>
      <c r="P22" s="295"/>
      <c r="Q22" s="69">
        <f t="shared" si="4"/>
        <v>2037</v>
      </c>
      <c r="R22" s="70">
        <f t="shared" si="10"/>
        <v>19191.812946369915</v>
      </c>
      <c r="S22" s="295">
        <f t="shared" si="11"/>
        <v>450</v>
      </c>
      <c r="T22" s="71"/>
      <c r="U22" s="295"/>
      <c r="V22" s="69">
        <f t="shared" si="5"/>
        <v>2037</v>
      </c>
      <c r="W22" s="70">
        <f t="shared" ref="W22:W35" si="12">W21*(1+Inflation)</f>
        <v>47595.1643650158</v>
      </c>
      <c r="X22" s="295">
        <f t="shared" ref="X22:X35" si="13">X21</f>
        <v>665</v>
      </c>
      <c r="Y22" s="71"/>
      <c r="AA22" s="295"/>
      <c r="AB22" s="295"/>
      <c r="AD22" s="295"/>
      <c r="AE22" s="295"/>
      <c r="AG22" s="295"/>
      <c r="AH22" s="295"/>
      <c r="AI22" s="295"/>
      <c r="AJ22" s="295"/>
      <c r="AK22" s="295"/>
    </row>
    <row r="23" spans="1:37">
      <c r="A23" s="69">
        <f t="shared" si="0"/>
        <v>2038</v>
      </c>
      <c r="B23" s="295">
        <f t="shared" si="1"/>
        <v>2757.6999998000001</v>
      </c>
      <c r="C23" s="295">
        <v>0</v>
      </c>
      <c r="D23" s="69"/>
      <c r="E23" s="69"/>
      <c r="F23" s="69"/>
      <c r="G23" s="69">
        <f t="shared" si="2"/>
        <v>2038</v>
      </c>
      <c r="H23" s="70">
        <f t="shared" si="6"/>
        <v>706.33396965726399</v>
      </c>
      <c r="I23" s="295">
        <f t="shared" si="7"/>
        <v>199</v>
      </c>
      <c r="J23" s="395"/>
      <c r="K23" s="71"/>
      <c r="L23" s="69">
        <f t="shared" si="3"/>
        <v>2038</v>
      </c>
      <c r="M23" s="70">
        <f t="shared" si="8"/>
        <v>112.27872456468911</v>
      </c>
      <c r="N23" s="295">
        <f t="shared" si="9"/>
        <v>393</v>
      </c>
      <c r="O23" s="71"/>
      <c r="P23" s="295"/>
      <c r="Q23" s="69">
        <f t="shared" si="4"/>
        <v>2038</v>
      </c>
      <c r="R23" s="70">
        <f t="shared" si="10"/>
        <v>19610.194468600781</v>
      </c>
      <c r="S23" s="295">
        <f t="shared" si="11"/>
        <v>450</v>
      </c>
      <c r="T23" s="71"/>
      <c r="U23" s="295"/>
      <c r="V23" s="69">
        <f t="shared" si="5"/>
        <v>2038</v>
      </c>
      <c r="W23" s="70">
        <f t="shared" si="12"/>
        <v>48632.738948173144</v>
      </c>
      <c r="X23" s="295">
        <f t="shared" si="13"/>
        <v>665</v>
      </c>
      <c r="Y23" s="71"/>
      <c r="AA23" s="295"/>
      <c r="AB23" s="295"/>
      <c r="AD23" s="295"/>
      <c r="AE23" s="295"/>
      <c r="AG23" s="295"/>
      <c r="AH23" s="295"/>
      <c r="AI23" s="295"/>
      <c r="AJ23" s="295"/>
      <c r="AK23" s="295"/>
    </row>
    <row r="24" spans="1:37">
      <c r="A24" s="69">
        <f t="shared" si="0"/>
        <v>2039</v>
      </c>
      <c r="B24" s="295">
        <f t="shared" si="1"/>
        <v>2757.6999998000001</v>
      </c>
      <c r="C24" s="295">
        <v>0</v>
      </c>
      <c r="D24" s="69"/>
      <c r="E24" s="69"/>
      <c r="F24" s="69"/>
      <c r="G24" s="69">
        <f t="shared" si="2"/>
        <v>2039</v>
      </c>
      <c r="H24" s="70">
        <f t="shared" si="6"/>
        <v>721.73205019579234</v>
      </c>
      <c r="I24" s="295">
        <f t="shared" si="7"/>
        <v>199</v>
      </c>
      <c r="J24" s="395"/>
      <c r="K24" s="71"/>
      <c r="L24" s="69">
        <f t="shared" si="3"/>
        <v>2039</v>
      </c>
      <c r="M24" s="70">
        <f t="shared" si="8"/>
        <v>114.72640076019934</v>
      </c>
      <c r="N24" s="295">
        <f t="shared" si="9"/>
        <v>393</v>
      </c>
      <c r="O24" s="71"/>
      <c r="P24" s="295"/>
      <c r="Q24" s="69">
        <f t="shared" si="4"/>
        <v>2039</v>
      </c>
      <c r="R24" s="70">
        <f t="shared" si="10"/>
        <v>20037.696708016279</v>
      </c>
      <c r="S24" s="295">
        <f t="shared" si="11"/>
        <v>450</v>
      </c>
      <c r="T24" s="71"/>
      <c r="U24" s="295"/>
      <c r="V24" s="69">
        <f t="shared" si="5"/>
        <v>2039</v>
      </c>
      <c r="W24" s="70">
        <f t="shared" si="12"/>
        <v>49692.93265724332</v>
      </c>
      <c r="X24" s="295">
        <f t="shared" si="13"/>
        <v>665</v>
      </c>
      <c r="Y24" s="71"/>
      <c r="AA24" s="295"/>
      <c r="AB24" s="295"/>
      <c r="AD24" s="295"/>
      <c r="AE24" s="295"/>
      <c r="AG24" s="295"/>
      <c r="AH24" s="295"/>
      <c r="AI24" s="295"/>
      <c r="AJ24" s="295"/>
      <c r="AK24" s="295"/>
    </row>
    <row r="25" spans="1:37">
      <c r="A25" s="69">
        <f t="shared" si="0"/>
        <v>2040</v>
      </c>
      <c r="B25" s="295">
        <f t="shared" si="1"/>
        <v>2757.6999998000001</v>
      </c>
      <c r="C25" s="295">
        <v>0</v>
      </c>
      <c r="D25" s="69"/>
      <c r="E25" s="69"/>
      <c r="F25" s="69"/>
      <c r="G25" s="69">
        <f t="shared" si="2"/>
        <v>2040</v>
      </c>
      <c r="H25" s="70">
        <f t="shared" si="6"/>
        <v>737.46580889006066</v>
      </c>
      <c r="I25" s="295">
        <f t="shared" si="7"/>
        <v>199</v>
      </c>
      <c r="J25" s="395"/>
      <c r="K25" s="71"/>
      <c r="L25" s="69">
        <f t="shared" si="3"/>
        <v>2040</v>
      </c>
      <c r="M25" s="70">
        <f t="shared" si="8"/>
        <v>117.22743629677169</v>
      </c>
      <c r="N25" s="295">
        <f t="shared" si="9"/>
        <v>393</v>
      </c>
      <c r="O25" s="71"/>
      <c r="P25" s="295"/>
      <c r="Q25" s="69">
        <f t="shared" si="4"/>
        <v>2040</v>
      </c>
      <c r="R25" s="70">
        <f t="shared" si="10"/>
        <v>20474.518496251036</v>
      </c>
      <c r="S25" s="295">
        <f t="shared" si="11"/>
        <v>450</v>
      </c>
      <c r="T25" s="71"/>
      <c r="U25" s="295"/>
      <c r="V25" s="69">
        <f t="shared" si="5"/>
        <v>2040</v>
      </c>
      <c r="W25" s="70">
        <f t="shared" si="12"/>
        <v>50776.238589171226</v>
      </c>
      <c r="X25" s="295">
        <f t="shared" si="13"/>
        <v>665</v>
      </c>
      <c r="Y25" s="71"/>
      <c r="AA25" s="295"/>
      <c r="AB25" s="295"/>
      <c r="AD25" s="295"/>
      <c r="AE25" s="295"/>
      <c r="AG25" s="295"/>
      <c r="AH25" s="295"/>
      <c r="AI25" s="295"/>
      <c r="AJ25" s="295"/>
      <c r="AK25" s="295"/>
    </row>
    <row r="26" spans="1:37">
      <c r="A26" s="69">
        <f t="shared" si="0"/>
        <v>2041</v>
      </c>
      <c r="B26" s="295">
        <f t="shared" si="1"/>
        <v>2757.6999998000001</v>
      </c>
      <c r="C26" s="295">
        <v>0</v>
      </c>
      <c r="D26" s="69"/>
      <c r="E26" s="69"/>
      <c r="F26" s="69"/>
      <c r="G26" s="69">
        <f t="shared" si="2"/>
        <v>2041</v>
      </c>
      <c r="H26" s="70">
        <f t="shared" si="6"/>
        <v>753.54256352386403</v>
      </c>
      <c r="I26" s="295">
        <f t="shared" si="7"/>
        <v>199</v>
      </c>
      <c r="J26" s="395"/>
      <c r="K26" s="71"/>
      <c r="L26" s="69">
        <f t="shared" si="3"/>
        <v>2041</v>
      </c>
      <c r="M26" s="70">
        <f t="shared" si="8"/>
        <v>119.78299440804132</v>
      </c>
      <c r="N26" s="295">
        <f t="shared" si="9"/>
        <v>393</v>
      </c>
      <c r="O26" s="71"/>
      <c r="P26" s="295"/>
      <c r="Q26" s="69">
        <f t="shared" si="4"/>
        <v>2041</v>
      </c>
      <c r="R26" s="70">
        <f t="shared" si="10"/>
        <v>20920.862999469307</v>
      </c>
      <c r="S26" s="295">
        <f t="shared" si="11"/>
        <v>450</v>
      </c>
      <c r="T26" s="71"/>
      <c r="U26" s="295"/>
      <c r="V26" s="69">
        <f t="shared" si="5"/>
        <v>2041</v>
      </c>
      <c r="W26" s="70">
        <f t="shared" si="12"/>
        <v>51883.160590415158</v>
      </c>
      <c r="X26" s="295">
        <f t="shared" si="13"/>
        <v>665</v>
      </c>
      <c r="Y26" s="71"/>
      <c r="AA26" s="295"/>
      <c r="AB26" s="295"/>
      <c r="AD26" s="295"/>
      <c r="AE26" s="295"/>
      <c r="AG26" s="295"/>
      <c r="AH26" s="295"/>
      <c r="AI26" s="295"/>
      <c r="AJ26" s="295"/>
      <c r="AK26" s="295"/>
    </row>
    <row r="27" spans="1:37">
      <c r="A27" s="69">
        <f t="shared" si="0"/>
        <v>2042</v>
      </c>
      <c r="B27" s="295">
        <f t="shared" si="1"/>
        <v>2757.6999998000001</v>
      </c>
      <c r="C27" s="295">
        <v>0</v>
      </c>
      <c r="D27" s="69"/>
      <c r="E27" s="69"/>
      <c r="F27" s="69"/>
      <c r="G27" s="69">
        <f t="shared" si="2"/>
        <v>2042</v>
      </c>
      <c r="H27" s="70">
        <f t="shared" si="6"/>
        <v>769.96979140868427</v>
      </c>
      <c r="I27" s="295">
        <f t="shared" si="7"/>
        <v>199</v>
      </c>
      <c r="J27" s="395"/>
      <c r="K27" s="71"/>
      <c r="L27" s="69">
        <f t="shared" si="3"/>
        <v>2042</v>
      </c>
      <c r="M27" s="70">
        <f t="shared" si="8"/>
        <v>122.39426368613663</v>
      </c>
      <c r="N27" s="295">
        <f t="shared" si="9"/>
        <v>393</v>
      </c>
      <c r="O27" s="71"/>
      <c r="P27" s="295"/>
      <c r="Q27" s="69">
        <f t="shared" si="4"/>
        <v>2042</v>
      </c>
      <c r="R27" s="70">
        <f t="shared" si="10"/>
        <v>21376.937812857741</v>
      </c>
      <c r="S27" s="295">
        <f t="shared" si="11"/>
        <v>450</v>
      </c>
      <c r="T27" s="71"/>
      <c r="U27" s="295"/>
      <c r="V27" s="69">
        <f t="shared" si="5"/>
        <v>2042</v>
      </c>
      <c r="W27" s="70">
        <f t="shared" si="12"/>
        <v>53014.213491286209</v>
      </c>
      <c r="X27" s="295">
        <f t="shared" si="13"/>
        <v>665</v>
      </c>
      <c r="Y27" s="71"/>
      <c r="AA27" s="295"/>
      <c r="AB27" s="295"/>
      <c r="AD27" s="295"/>
      <c r="AE27" s="295"/>
      <c r="AG27" s="295"/>
      <c r="AH27" s="295"/>
      <c r="AI27" s="295"/>
      <c r="AJ27" s="295"/>
      <c r="AK27" s="295"/>
    </row>
    <row r="28" spans="1:37">
      <c r="A28" s="69">
        <f t="shared" si="0"/>
        <v>2043</v>
      </c>
      <c r="B28" s="295">
        <f t="shared" si="1"/>
        <v>2757.6999998000001</v>
      </c>
      <c r="C28" s="295">
        <v>0</v>
      </c>
      <c r="D28" s="69"/>
      <c r="E28" s="69"/>
      <c r="F28" s="69"/>
      <c r="G28" s="69">
        <f t="shared" si="2"/>
        <v>2043</v>
      </c>
      <c r="H28" s="70">
        <f t="shared" si="6"/>
        <v>786.75513286139358</v>
      </c>
      <c r="I28" s="295">
        <f t="shared" si="7"/>
        <v>199</v>
      </c>
      <c r="J28" s="395"/>
      <c r="K28" s="71"/>
      <c r="L28" s="69">
        <f t="shared" si="3"/>
        <v>2043</v>
      </c>
      <c r="M28" s="70">
        <f t="shared" si="8"/>
        <v>125.0624586344944</v>
      </c>
      <c r="N28" s="295">
        <f t="shared" si="9"/>
        <v>393</v>
      </c>
      <c r="O28" s="71"/>
      <c r="P28" s="295"/>
      <c r="Q28" s="69">
        <f t="shared" si="4"/>
        <v>2043</v>
      </c>
      <c r="R28" s="70">
        <f t="shared" si="10"/>
        <v>21842.955057178042</v>
      </c>
      <c r="S28" s="295">
        <f t="shared" si="11"/>
        <v>450</v>
      </c>
      <c r="T28" s="71"/>
      <c r="U28" s="295"/>
      <c r="V28" s="69">
        <f t="shared" si="5"/>
        <v>2043</v>
      </c>
      <c r="W28" s="70">
        <f t="shared" si="12"/>
        <v>54169.923345396252</v>
      </c>
      <c r="X28" s="295">
        <f t="shared" si="13"/>
        <v>665</v>
      </c>
      <c r="Y28" s="71"/>
      <c r="AA28" s="295"/>
      <c r="AB28" s="295"/>
      <c r="AD28" s="295"/>
      <c r="AE28" s="295"/>
      <c r="AG28" s="295"/>
      <c r="AH28" s="295"/>
      <c r="AI28" s="295"/>
      <c r="AJ28" s="295"/>
      <c r="AK28" s="295"/>
    </row>
    <row r="29" spans="1:37">
      <c r="A29" s="69">
        <f t="shared" si="0"/>
        <v>2044</v>
      </c>
      <c r="B29" s="295">
        <f t="shared" si="1"/>
        <v>2757.6999998000001</v>
      </c>
      <c r="C29" s="295">
        <v>0</v>
      </c>
      <c r="D29" s="69"/>
      <c r="E29" s="69"/>
      <c r="F29" s="69"/>
      <c r="G29" s="69">
        <f t="shared" si="2"/>
        <v>2044</v>
      </c>
      <c r="H29" s="70">
        <f t="shared" si="6"/>
        <v>803.90639475777198</v>
      </c>
      <c r="I29" s="295">
        <f t="shared" si="7"/>
        <v>199</v>
      </c>
      <c r="J29" s="395"/>
      <c r="K29" s="71"/>
      <c r="L29" s="69">
        <f t="shared" si="3"/>
        <v>2044</v>
      </c>
      <c r="M29" s="70">
        <f t="shared" si="8"/>
        <v>127.78882023272639</v>
      </c>
      <c r="N29" s="295">
        <f t="shared" si="9"/>
        <v>393</v>
      </c>
      <c r="O29" s="71"/>
      <c r="P29" s="295"/>
      <c r="Q29" s="69">
        <f t="shared" si="4"/>
        <v>2044</v>
      </c>
      <c r="R29" s="70">
        <f t="shared" si="10"/>
        <v>22319.131477424526</v>
      </c>
      <c r="S29" s="295">
        <f t="shared" si="11"/>
        <v>450</v>
      </c>
      <c r="T29" s="71"/>
      <c r="U29" s="295"/>
      <c r="V29" s="69">
        <f t="shared" si="5"/>
        <v>2044</v>
      </c>
      <c r="W29" s="70">
        <f t="shared" si="12"/>
        <v>55350.82767432589</v>
      </c>
      <c r="X29" s="295">
        <f t="shared" si="13"/>
        <v>665</v>
      </c>
      <c r="Y29" s="71"/>
      <c r="AA29" s="295"/>
      <c r="AB29" s="295"/>
      <c r="AD29" s="295"/>
      <c r="AE29" s="295"/>
      <c r="AG29" s="295"/>
      <c r="AH29" s="295"/>
      <c r="AI29" s="295"/>
      <c r="AJ29" s="295"/>
      <c r="AK29" s="295"/>
    </row>
    <row r="30" spans="1:37">
      <c r="A30" s="69">
        <f t="shared" si="0"/>
        <v>2045</v>
      </c>
      <c r="B30" s="295">
        <f t="shared" si="1"/>
        <v>2757.6999998000001</v>
      </c>
      <c r="C30" s="295">
        <v>0</v>
      </c>
      <c r="D30" s="69"/>
      <c r="E30" s="69"/>
      <c r="F30" s="69"/>
      <c r="G30" s="69">
        <f t="shared" si="2"/>
        <v>2045</v>
      </c>
      <c r="H30" s="70">
        <f t="shared" si="6"/>
        <v>821.43155416349146</v>
      </c>
      <c r="I30" s="295">
        <f t="shared" si="7"/>
        <v>199</v>
      </c>
      <c r="J30" s="395"/>
      <c r="K30" s="71"/>
      <c r="L30" s="69">
        <f t="shared" si="3"/>
        <v>2045</v>
      </c>
      <c r="M30" s="70">
        <f t="shared" si="8"/>
        <v>130.57461651379984</v>
      </c>
      <c r="N30" s="295">
        <f t="shared" si="9"/>
        <v>393</v>
      </c>
      <c r="O30" s="71"/>
      <c r="P30" s="295"/>
      <c r="Q30" s="69">
        <f t="shared" si="4"/>
        <v>2045</v>
      </c>
      <c r="R30" s="70">
        <f t="shared" si="10"/>
        <v>22805.688543632383</v>
      </c>
      <c r="S30" s="295">
        <f t="shared" si="11"/>
        <v>450</v>
      </c>
      <c r="T30" s="71"/>
      <c r="U30" s="295"/>
      <c r="V30" s="69">
        <f t="shared" si="5"/>
        <v>2045</v>
      </c>
      <c r="W30" s="70">
        <f t="shared" si="12"/>
        <v>56557.475717626199</v>
      </c>
      <c r="X30" s="295">
        <f t="shared" si="13"/>
        <v>665</v>
      </c>
      <c r="Y30" s="71"/>
      <c r="AA30" s="295"/>
      <c r="AB30" s="295"/>
      <c r="AD30" s="295"/>
      <c r="AE30" s="295"/>
      <c r="AG30" s="295"/>
      <c r="AH30" s="295"/>
      <c r="AI30" s="295"/>
      <c r="AJ30" s="295"/>
      <c r="AK30" s="295"/>
    </row>
    <row r="31" spans="1:37">
      <c r="A31" s="69">
        <f t="shared" si="0"/>
        <v>2046</v>
      </c>
      <c r="B31" s="295">
        <f t="shared" si="1"/>
        <v>2757.6999998000001</v>
      </c>
      <c r="C31" s="295">
        <v>0</v>
      </c>
      <c r="D31" s="69"/>
      <c r="E31" s="69"/>
      <c r="F31" s="69"/>
      <c r="G31" s="69">
        <f t="shared" si="2"/>
        <v>2046</v>
      </c>
      <c r="H31" s="70">
        <f t="shared" si="6"/>
        <v>839.33876204425565</v>
      </c>
      <c r="I31" s="295">
        <f t="shared" si="7"/>
        <v>199</v>
      </c>
      <c r="J31" s="395"/>
      <c r="K31" s="71"/>
      <c r="L31" s="69">
        <f t="shared" si="3"/>
        <v>2046</v>
      </c>
      <c r="M31" s="70">
        <f t="shared" si="8"/>
        <v>133.42114315380067</v>
      </c>
      <c r="N31" s="295">
        <f t="shared" si="9"/>
        <v>393</v>
      </c>
      <c r="O31" s="71"/>
      <c r="P31" s="295"/>
      <c r="Q31" s="69">
        <f t="shared" si="4"/>
        <v>2046</v>
      </c>
      <c r="R31" s="70">
        <f t="shared" si="10"/>
        <v>23302.852553883571</v>
      </c>
      <c r="S31" s="295">
        <f t="shared" si="11"/>
        <v>450</v>
      </c>
      <c r="T31" s="71"/>
      <c r="U31" s="295"/>
      <c r="V31" s="69">
        <f t="shared" si="5"/>
        <v>2046</v>
      </c>
      <c r="W31" s="70">
        <f t="shared" si="12"/>
        <v>57790.428688270455</v>
      </c>
      <c r="X31" s="295">
        <f t="shared" si="13"/>
        <v>665</v>
      </c>
      <c r="Y31" s="71"/>
      <c r="AA31" s="295"/>
      <c r="AB31" s="295"/>
      <c r="AD31" s="295"/>
      <c r="AE31" s="295"/>
      <c r="AG31" s="295"/>
      <c r="AH31" s="295"/>
      <c r="AI31" s="295"/>
      <c r="AJ31" s="295"/>
      <c r="AK31" s="295"/>
    </row>
    <row r="32" spans="1:37">
      <c r="A32" s="69">
        <f t="shared" si="0"/>
        <v>2047</v>
      </c>
      <c r="B32" s="295">
        <f t="shared" si="1"/>
        <v>2757.6999998000001</v>
      </c>
      <c r="C32" s="295">
        <v>0</v>
      </c>
      <c r="D32" s="69"/>
      <c r="E32" s="69"/>
      <c r="F32" s="69"/>
      <c r="G32" s="69">
        <f t="shared" si="2"/>
        <v>2047</v>
      </c>
      <c r="H32" s="70">
        <f t="shared" si="6"/>
        <v>857.63634705682045</v>
      </c>
      <c r="I32" s="295">
        <f t="shared" si="7"/>
        <v>199</v>
      </c>
      <c r="J32" s="395"/>
      <c r="K32" s="71"/>
      <c r="L32" s="69">
        <f t="shared" si="3"/>
        <v>2047</v>
      </c>
      <c r="M32" s="70">
        <f t="shared" si="8"/>
        <v>136.32972407455352</v>
      </c>
      <c r="N32" s="295">
        <f t="shared" si="9"/>
        <v>393</v>
      </c>
      <c r="O32" s="71"/>
      <c r="P32" s="295"/>
      <c r="Q32" s="69">
        <f t="shared" si="4"/>
        <v>2047</v>
      </c>
      <c r="R32" s="70">
        <f t="shared" si="10"/>
        <v>23810.854739558235</v>
      </c>
      <c r="S32" s="295">
        <f t="shared" si="11"/>
        <v>450</v>
      </c>
      <c r="T32" s="71"/>
      <c r="U32" s="295"/>
      <c r="V32" s="69">
        <f t="shared" si="5"/>
        <v>2047</v>
      </c>
      <c r="W32" s="70">
        <f t="shared" si="12"/>
        <v>59050.260033674756</v>
      </c>
      <c r="X32" s="295">
        <f t="shared" si="13"/>
        <v>665</v>
      </c>
      <c r="Y32" s="71"/>
      <c r="AA32" s="295"/>
      <c r="AB32" s="295"/>
      <c r="AD32" s="295"/>
      <c r="AE32" s="295"/>
      <c r="AG32" s="295"/>
      <c r="AH32" s="295"/>
      <c r="AI32" s="295"/>
      <c r="AJ32" s="295"/>
      <c r="AK32" s="295"/>
    </row>
    <row r="33" spans="1:37">
      <c r="A33" s="69">
        <f t="shared" si="0"/>
        <v>2048</v>
      </c>
      <c r="B33" s="295">
        <f t="shared" si="1"/>
        <v>2757.6999998000001</v>
      </c>
      <c r="C33" s="295">
        <v>0</v>
      </c>
      <c r="D33" s="69"/>
      <c r="E33" s="69"/>
      <c r="F33" s="69"/>
      <c r="G33" s="69">
        <f t="shared" si="2"/>
        <v>2048</v>
      </c>
      <c r="H33" s="70">
        <f t="shared" si="6"/>
        <v>876.33281942265921</v>
      </c>
      <c r="I33" s="295">
        <f t="shared" si="7"/>
        <v>199</v>
      </c>
      <c r="J33" s="395"/>
      <c r="K33" s="71"/>
      <c r="L33" s="69">
        <f t="shared" si="3"/>
        <v>2048</v>
      </c>
      <c r="M33" s="70">
        <f t="shared" si="8"/>
        <v>139.30171205937879</v>
      </c>
      <c r="N33" s="295">
        <f t="shared" si="9"/>
        <v>393</v>
      </c>
      <c r="O33" s="71"/>
      <c r="P33" s="295"/>
      <c r="Q33" s="69">
        <f t="shared" si="4"/>
        <v>2048</v>
      </c>
      <c r="R33" s="70">
        <f t="shared" si="10"/>
        <v>24329.931372880605</v>
      </c>
      <c r="S33" s="295">
        <f t="shared" si="11"/>
        <v>450</v>
      </c>
      <c r="T33" s="71"/>
      <c r="U33" s="295"/>
      <c r="V33" s="69">
        <f t="shared" si="5"/>
        <v>2048</v>
      </c>
      <c r="W33" s="70">
        <f t="shared" si="12"/>
        <v>60337.55570240887</v>
      </c>
      <c r="X33" s="295">
        <f t="shared" si="13"/>
        <v>665</v>
      </c>
      <c r="Y33" s="71"/>
      <c r="AA33" s="295"/>
      <c r="AB33" s="295"/>
      <c r="AD33" s="295"/>
      <c r="AE33" s="295"/>
      <c r="AG33" s="295"/>
      <c r="AH33" s="295"/>
      <c r="AI33" s="295"/>
      <c r="AJ33" s="295"/>
      <c r="AK33" s="295"/>
    </row>
    <row r="34" spans="1:37">
      <c r="A34" s="69">
        <f t="shared" si="0"/>
        <v>2049</v>
      </c>
      <c r="B34" s="295">
        <f t="shared" si="1"/>
        <v>2757.6999998000001</v>
      </c>
      <c r="C34" s="295">
        <v>0</v>
      </c>
      <c r="D34" s="69"/>
      <c r="E34" s="69"/>
      <c r="F34" s="69"/>
      <c r="G34" s="69">
        <f t="shared" si="2"/>
        <v>2049</v>
      </c>
      <c r="H34" s="70">
        <f t="shared" si="6"/>
        <v>895.43687488607327</v>
      </c>
      <c r="I34" s="295">
        <f t="shared" si="7"/>
        <v>199</v>
      </c>
      <c r="J34" s="395"/>
      <c r="K34" s="71"/>
      <c r="L34" s="69">
        <f t="shared" si="3"/>
        <v>2049</v>
      </c>
      <c r="M34" s="70">
        <f t="shared" si="8"/>
        <v>142.33848938227325</v>
      </c>
      <c r="N34" s="295">
        <f t="shared" si="9"/>
        <v>393</v>
      </c>
      <c r="O34" s="71"/>
      <c r="P34" s="295"/>
      <c r="Q34" s="69">
        <f t="shared" si="4"/>
        <v>2049</v>
      </c>
      <c r="R34" s="70">
        <f t="shared" si="10"/>
        <v>24860.323876809402</v>
      </c>
      <c r="S34" s="295">
        <f t="shared" si="11"/>
        <v>450</v>
      </c>
      <c r="T34" s="71"/>
      <c r="U34" s="295"/>
      <c r="V34" s="69">
        <f t="shared" si="5"/>
        <v>2049</v>
      </c>
      <c r="W34" s="70">
        <f t="shared" si="12"/>
        <v>61652.914416721389</v>
      </c>
      <c r="X34" s="295">
        <f t="shared" si="13"/>
        <v>665</v>
      </c>
      <c r="Y34" s="71"/>
      <c r="AA34" s="295"/>
      <c r="AB34" s="295"/>
      <c r="AD34" s="295"/>
      <c r="AE34" s="295"/>
      <c r="AG34" s="295"/>
      <c r="AH34" s="295"/>
      <c r="AI34" s="295"/>
      <c r="AJ34" s="295"/>
      <c r="AK34" s="295"/>
    </row>
    <row r="35" spans="1:37">
      <c r="A35" s="69">
        <f t="shared" si="0"/>
        <v>2050</v>
      </c>
      <c r="B35" s="295">
        <f t="shared" si="1"/>
        <v>2757.6999998000001</v>
      </c>
      <c r="C35" s="295">
        <v>0</v>
      </c>
      <c r="D35" s="69"/>
      <c r="E35" s="69"/>
      <c r="F35" s="69"/>
      <c r="G35" s="69">
        <f t="shared" si="2"/>
        <v>2050</v>
      </c>
      <c r="H35" s="70">
        <f t="shared" si="6"/>
        <v>914.95739875858965</v>
      </c>
      <c r="I35" s="295">
        <f t="shared" si="7"/>
        <v>199</v>
      </c>
      <c r="J35" s="395"/>
      <c r="K35" s="71"/>
      <c r="L35" s="69">
        <f t="shared" si="3"/>
        <v>2050</v>
      </c>
      <c r="M35" s="70">
        <f t="shared" si="8"/>
        <v>145.44146845080681</v>
      </c>
      <c r="N35" s="295">
        <f t="shared" si="9"/>
        <v>393</v>
      </c>
      <c r="O35" s="71"/>
      <c r="P35" s="295"/>
      <c r="Q35" s="69">
        <f t="shared" si="4"/>
        <v>2050</v>
      </c>
      <c r="R35" s="70">
        <f t="shared" si="10"/>
        <v>25402.278937323848</v>
      </c>
      <c r="S35" s="295">
        <f t="shared" si="11"/>
        <v>450</v>
      </c>
      <c r="T35" s="71"/>
      <c r="U35" s="295"/>
      <c r="V35" s="69">
        <f t="shared" si="5"/>
        <v>2050</v>
      </c>
      <c r="W35" s="70">
        <f t="shared" si="12"/>
        <v>62996.947951005917</v>
      </c>
      <c r="X35" s="295">
        <f t="shared" si="13"/>
        <v>665</v>
      </c>
      <c r="Y35" s="71"/>
      <c r="AA35" s="295"/>
      <c r="AB35" s="295"/>
      <c r="AD35" s="295"/>
      <c r="AE35" s="295"/>
      <c r="AG35" s="295"/>
      <c r="AH35" s="295"/>
      <c r="AI35" s="295"/>
      <c r="AJ35" s="295"/>
      <c r="AK35" s="295"/>
    </row>
    <row r="36" spans="1:37">
      <c r="G36" s="69"/>
      <c r="H36" s="71"/>
      <c r="I36" s="69"/>
      <c r="J36" s="69"/>
      <c r="K36" s="69"/>
      <c r="L36" s="69"/>
      <c r="M36" s="71"/>
      <c r="N36" s="69"/>
      <c r="O36" s="69"/>
      <c r="P36" s="69"/>
      <c r="Q36" s="69"/>
      <c r="R36" s="71"/>
      <c r="S36" s="69"/>
      <c r="T36" s="69"/>
      <c r="U36" s="69"/>
      <c r="V36" s="69"/>
      <c r="W36" s="71"/>
      <c r="X36" s="69"/>
      <c r="Y36" s="69"/>
    </row>
    <row r="37" spans="1:37">
      <c r="G37" s="69"/>
      <c r="H37" s="73"/>
      <c r="I37" s="71"/>
      <c r="J37" s="71"/>
      <c r="K37" s="71"/>
      <c r="L37" s="69"/>
      <c r="M37" s="73"/>
      <c r="N37" s="71"/>
      <c r="O37" s="71"/>
      <c r="P37" s="71"/>
      <c r="Q37" s="69"/>
      <c r="R37" s="73"/>
      <c r="S37" s="71"/>
      <c r="T37" s="71"/>
      <c r="U37" s="71"/>
      <c r="V37" s="69"/>
      <c r="W37" s="73"/>
      <c r="X37" s="71"/>
      <c r="Y37" s="71"/>
    </row>
    <row r="39" spans="1:37" s="281" customFormat="1">
      <c r="I39" s="282"/>
      <c r="J39" s="394"/>
      <c r="K39" s="282"/>
      <c r="N39" s="282"/>
      <c r="O39" s="282"/>
      <c r="P39" s="282"/>
      <c r="S39" s="282"/>
      <c r="T39" s="282"/>
      <c r="U39" s="282"/>
      <c r="X39" s="282"/>
      <c r="Y39" s="282"/>
    </row>
    <row r="41" spans="1:37" s="281" customFormat="1">
      <c r="I41" s="282"/>
      <c r="J41" s="394"/>
      <c r="K41" s="282"/>
      <c r="N41" s="282"/>
      <c r="O41" s="282"/>
      <c r="P41" s="282"/>
      <c r="S41" s="282"/>
      <c r="T41" s="282"/>
      <c r="U41" s="282"/>
      <c r="X41" s="282"/>
      <c r="Y41" s="282"/>
    </row>
    <row r="42" spans="1:37">
      <c r="B42" s="69"/>
      <c r="I42" s="71"/>
      <c r="J42" s="71"/>
      <c r="K42" s="71"/>
      <c r="N42" s="71"/>
      <c r="O42" s="71"/>
      <c r="P42" s="71"/>
      <c r="S42" s="71"/>
      <c r="T42" s="71"/>
      <c r="U42" s="71"/>
      <c r="X42" s="71"/>
      <c r="Y42" s="71"/>
      <c r="AA42" s="69"/>
      <c r="AB42" s="69"/>
      <c r="AD42" s="69"/>
      <c r="AE42" s="69"/>
    </row>
    <row r="43" spans="1:37">
      <c r="B43" s="69"/>
      <c r="I43" s="70"/>
      <c r="J43" s="70"/>
      <c r="K43" s="70"/>
      <c r="N43" s="70"/>
      <c r="O43" s="70"/>
      <c r="P43" s="70"/>
      <c r="S43" s="70"/>
      <c r="T43" s="70"/>
      <c r="U43" s="70"/>
      <c r="X43" s="70"/>
      <c r="Y43" s="70"/>
      <c r="AA43" s="69"/>
      <c r="AB43" s="69"/>
      <c r="AD43" s="69"/>
      <c r="AE43" s="69"/>
    </row>
    <row r="44" spans="1:37">
      <c r="B44" s="69"/>
      <c r="G44"/>
      <c r="H44"/>
      <c r="I44" s="70"/>
      <c r="J44" s="70"/>
      <c r="K44" s="70"/>
      <c r="L44"/>
      <c r="M44"/>
      <c r="N44" s="70"/>
      <c r="O44" s="70"/>
      <c r="P44" s="70"/>
      <c r="Q44"/>
      <c r="R44"/>
      <c r="S44" s="70"/>
      <c r="T44" s="70"/>
      <c r="U44" s="70"/>
      <c r="V44"/>
      <c r="W44"/>
      <c r="X44" s="70"/>
      <c r="Y44" s="70"/>
      <c r="AA44" s="69"/>
      <c r="AB44" s="69"/>
      <c r="AD44" s="69"/>
      <c r="AE44" s="69"/>
    </row>
    <row r="45" spans="1:37">
      <c r="B45" s="6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AA45" s="69"/>
      <c r="AB45" s="69"/>
      <c r="AD45" s="69"/>
      <c r="AE45" s="69"/>
    </row>
    <row r="46" spans="1:37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37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37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7: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7: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7: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7: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7: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65" spans="8:25">
      <c r="H65" s="86"/>
      <c r="I65" s="89"/>
      <c r="J65" s="89"/>
      <c r="K65" s="89"/>
      <c r="M65" s="86"/>
      <c r="N65" s="89"/>
      <c r="O65" s="89"/>
      <c r="P65" s="89"/>
      <c r="R65" s="86"/>
      <c r="S65" s="89"/>
      <c r="T65" s="89"/>
      <c r="U65" s="89"/>
      <c r="W65" s="86"/>
      <c r="X65" s="89"/>
      <c r="Y65" s="89"/>
    </row>
    <row r="66" spans="8:25">
      <c r="H66" s="86"/>
      <c r="I66" s="89"/>
      <c r="J66" s="89"/>
      <c r="K66" s="89"/>
      <c r="M66" s="86"/>
      <c r="N66" s="89"/>
      <c r="O66" s="89"/>
      <c r="P66" s="89"/>
      <c r="R66" s="86"/>
      <c r="S66" s="89"/>
      <c r="T66" s="89"/>
      <c r="U66" s="89"/>
      <c r="W66" s="86"/>
      <c r="X66" s="89"/>
      <c r="Y66" s="89"/>
    </row>
    <row r="67" spans="8:25">
      <c r="H67" s="86"/>
      <c r="I67" s="89"/>
      <c r="J67" s="89"/>
      <c r="K67" s="89"/>
      <c r="M67" s="86"/>
      <c r="N67" s="89"/>
      <c r="O67" s="89"/>
      <c r="P67" s="89"/>
      <c r="R67" s="86"/>
      <c r="S67" s="89"/>
      <c r="T67" s="89"/>
      <c r="U67" s="89"/>
      <c r="W67" s="86"/>
      <c r="X67" s="89"/>
      <c r="Y67" s="89"/>
    </row>
    <row r="68" spans="8:25">
      <c r="H68" s="86"/>
      <c r="I68" s="89"/>
      <c r="J68" s="89"/>
      <c r="K68" s="89"/>
      <c r="M68" s="86"/>
      <c r="N68" s="89"/>
      <c r="O68" s="89"/>
      <c r="P68" s="89"/>
      <c r="R68" s="86"/>
      <c r="S68" s="89"/>
      <c r="T68" s="89"/>
      <c r="U68" s="89"/>
      <c r="W68" s="86"/>
      <c r="X68" s="89"/>
      <c r="Y68" s="89"/>
    </row>
    <row r="69" spans="8:25">
      <c r="H69" s="86"/>
      <c r="I69" s="89"/>
      <c r="J69" s="89"/>
      <c r="K69" s="89"/>
      <c r="M69" s="86"/>
      <c r="N69" s="89"/>
      <c r="O69" s="89"/>
      <c r="P69" s="89"/>
      <c r="R69" s="86"/>
      <c r="S69" s="89"/>
      <c r="T69" s="89"/>
      <c r="U69" s="89"/>
      <c r="W69" s="86"/>
      <c r="X69" s="89"/>
      <c r="Y69" s="89"/>
    </row>
    <row r="70" spans="8:25">
      <c r="H70" s="86"/>
      <c r="I70" s="89"/>
      <c r="J70" s="89"/>
      <c r="K70" s="89"/>
      <c r="M70" s="86"/>
      <c r="N70" s="89"/>
      <c r="O70" s="89"/>
      <c r="P70" s="89"/>
      <c r="R70" s="86"/>
      <c r="S70" s="89"/>
      <c r="T70" s="89"/>
      <c r="U70" s="89"/>
      <c r="W70" s="86"/>
      <c r="X70" s="89"/>
      <c r="Y70" s="89"/>
    </row>
    <row r="71" spans="8:25">
      <c r="H71" s="86"/>
      <c r="I71" s="89"/>
      <c r="J71" s="89"/>
      <c r="K71" s="89"/>
      <c r="M71" s="86"/>
      <c r="N71" s="89"/>
      <c r="O71" s="89"/>
      <c r="P71" s="89"/>
      <c r="R71" s="86"/>
      <c r="S71" s="89"/>
      <c r="T71" s="89"/>
      <c r="U71" s="89"/>
      <c r="W71" s="86"/>
      <c r="X71" s="89"/>
      <c r="Y71" s="89"/>
    </row>
    <row r="72" spans="8:25">
      <c r="H72" s="86"/>
      <c r="I72" s="89"/>
      <c r="J72" s="89"/>
      <c r="K72" s="89"/>
      <c r="M72" s="86"/>
      <c r="N72" s="89"/>
      <c r="O72" s="89"/>
      <c r="P72" s="89"/>
      <c r="R72" s="86"/>
      <c r="S72" s="89"/>
      <c r="T72" s="89"/>
      <c r="U72" s="89"/>
      <c r="W72" s="86"/>
      <c r="X72" s="89"/>
      <c r="Y72" s="89"/>
    </row>
    <row r="73" spans="8:25">
      <c r="H73" s="86"/>
      <c r="I73" s="89"/>
      <c r="J73" s="89"/>
      <c r="K73" s="89"/>
      <c r="M73" s="86"/>
      <c r="N73" s="89"/>
      <c r="O73" s="89"/>
      <c r="P73" s="89"/>
      <c r="R73" s="86"/>
      <c r="S73" s="89"/>
      <c r="T73" s="89"/>
      <c r="U73" s="89"/>
      <c r="W73" s="86"/>
      <c r="X73" s="89"/>
      <c r="Y73" s="89"/>
    </row>
    <row r="74" spans="8:25">
      <c r="H74" s="86"/>
      <c r="I74" s="89"/>
      <c r="J74" s="89"/>
      <c r="K74" s="89"/>
      <c r="M74" s="86"/>
      <c r="N74" s="89"/>
      <c r="O74" s="89"/>
      <c r="P74" s="89"/>
      <c r="R74" s="86"/>
      <c r="S74" s="89"/>
      <c r="T74" s="89"/>
      <c r="U74" s="89"/>
      <c r="W74" s="86"/>
      <c r="X74" s="89"/>
      <c r="Y74" s="89"/>
    </row>
  </sheetData>
  <printOptions horizontalCentered="1"/>
  <pageMargins left="0.8" right="0.3" top="0.4" bottom="0.4" header="0.5" footer="0.2"/>
  <pageSetup scale="1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B876-7153-46C5-AE6B-8492FC291A63}">
  <sheetPr>
    <tabColor rgb="FFFFFF00"/>
    <pageSetUpPr fitToPage="1"/>
  </sheetPr>
  <dimension ref="B1:AC89"/>
  <sheetViews>
    <sheetView topLeftCell="A5" zoomScale="80" zoomScaleNormal="80" workbookViewId="0">
      <selection activeCell="D22" sqref="D2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38%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WD_.PX.WMV._.PTC.Utility_Scale - 38% Capacity Factor</v>
      </c>
    </row>
    <row r="10" spans="2:29">
      <c r="B10" s="69">
        <v>2024</v>
      </c>
      <c r="C10" s="175">
        <f>INDEX('2025 IRP Assumptions'!$E$2:$E$28,MATCH($T$52,'2025 IRP Assumptions'!$C$2:$C$28,0),1)</f>
        <v>1577.43</v>
      </c>
      <c r="D10" s="71"/>
      <c r="E10" s="250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1578.2752422040501</v>
      </c>
      <c r="D11" s="71"/>
      <c r="E11" s="71" cm="1">
        <f t="array" ref="E11">$E$10*INDEX('2025 IRP Assumptions'!$E$275:$E$298,'WD_.PX.WMV._.PTC.2032'!$B11-2023,1)</f>
        <v>32.339970000000001</v>
      </c>
      <c r="F11" s="71"/>
      <c r="G11" s="72"/>
      <c r="H11" s="71"/>
      <c r="I11" s="71"/>
      <c r="J11" s="72"/>
      <c r="K11" s="72"/>
      <c r="L11" s="71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1579.5572889719701</v>
      </c>
      <c r="D12" s="71"/>
      <c r="E12" s="71" cm="1">
        <f t="array" ref="E12">$E$10*INDEX('2025 IRP Assumptions'!$E$275:$E$298,'WD_.PX.WMV._.PTC.2032'!$B12-2023,1)</f>
        <v>33.044981346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1580.14517504895</v>
      </c>
      <c r="D13" s="71"/>
      <c r="E13" s="71" cm="1">
        <f t="array" ref="E13">$E$10*INDEX('2025 IRP Assumptions'!$E$275:$E$298,'WD_.PX.WMV._.PTC.2032'!$B13-2023,1)</f>
        <v>33.765361931999998</v>
      </c>
      <c r="F13" s="71"/>
      <c r="G13" s="72"/>
      <c r="H13" s="71"/>
      <c r="I13" s="71"/>
      <c r="J13" s="72"/>
      <c r="K13" s="72"/>
      <c r="L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1580.0080238201701</v>
      </c>
      <c r="D14" s="71"/>
      <c r="E14" s="71" cm="1">
        <f t="array" ref="E14">$E$10*INDEX('2025 IRP Assumptions'!$E$275:$E$298,'WD_.PX.WMV._.PTC.2032'!$B14-2023,1)</f>
        <v>34.501446836549995</v>
      </c>
      <c r="F14" s="284"/>
      <c r="G14" s="72"/>
      <c r="H14" s="71"/>
      <c r="I14" s="71"/>
      <c r="J14" s="72"/>
      <c r="K14" s="72"/>
      <c r="L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1579.1139443833201</v>
      </c>
      <c r="D15" s="71"/>
      <c r="E15" s="71" cm="1">
        <f t="array" ref="E15">$E$10*INDEX('2025 IRP Assumptions'!$E$275:$E$298,'WD_.PX.WMV._.PTC.2032'!$B15-2023,1)</f>
        <v>35.253578386050002</v>
      </c>
      <c r="F15" s="71"/>
      <c r="G15" s="71"/>
      <c r="H15" s="71"/>
      <c r="I15" s="71"/>
      <c r="J15" s="71"/>
      <c r="K15" s="71"/>
      <c r="L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Assumptions'!$E$172:$E$192,MATCH(B16,'2025 IRP Assumptions'!$S$172:$S$192,0),1)</f>
        <v>1577.43</v>
      </c>
      <c r="D16" s="71"/>
      <c r="E16" s="71" cm="1">
        <f t="array" ref="E16">$E$10*INDEX('2025 IRP Assumptions'!$E$275:$E$298,'WD_.PX.WMV._.PTC.2032'!$B16-2023,1)</f>
        <v>36.022106376299995</v>
      </c>
      <c r="F16" s="71"/>
      <c r="G16" s="71"/>
      <c r="H16" s="71"/>
      <c r="I16" s="71"/>
      <c r="J16" s="71"/>
      <c r="K16" s="71"/>
      <c r="L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Assumptions'!$E$172:$E$192,MATCH(B17,'2025 IRP Assumptions'!$S$172:$S$192,0),1)</f>
        <v>1595.0441480999402</v>
      </c>
      <c r="D17" s="71"/>
      <c r="E17" s="71" cm="1">
        <f t="array" ref="E17">$E$10*INDEX('2025 IRP Assumptions'!$E$275:$E$298,'WD_.PX.WMV._.PTC.2032'!$B17-2023,1)</f>
        <v>36.80738829405</v>
      </c>
      <c r="F17" s="71"/>
      <c r="G17" s="71"/>
      <c r="H17" s="71"/>
      <c r="I17" s="71"/>
      <c r="J17" s="71"/>
      <c r="K17" s="71"/>
      <c r="L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Assumptions'!$E$172:$E$192,MATCH(B18,'2025 IRP Assumptions'!$S$172:$S$192,0),1)</f>
        <v>1612.6766164718999</v>
      </c>
      <c r="D18" s="250">
        <f>C18*$C$60</f>
        <v>101.85665509636519</v>
      </c>
      <c r="E18" s="71" cm="1">
        <f t="array" ref="E18">$E$10*INDEX('2025 IRP Assumptions'!$E$275:$E$298,'WD_.PX.WMV._.PTC.2032'!$B18-2023,1)</f>
        <v>37.609789348650004</v>
      </c>
      <c r="F18" s="71">
        <f>'Table 3 TransCost'!T17</f>
        <v>19.102049794900221</v>
      </c>
      <c r="G18" s="72">
        <f t="shared" ref="G18:G36" si="1">(D18+E18+F18)/(8.76*$C$61)</f>
        <v>48.110407952793061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3.0304079527930625</v>
      </c>
      <c r="K18" s="72">
        <f t="shared" ref="K18:K36" si="3">ROUND(J18*$C$61*8.76,2)</f>
        <v>9.99</v>
      </c>
      <c r="L18" s="71">
        <f t="shared" ref="L18:L36" si="4">(D18+E18+F18)</f>
        <v>158.5684942399154</v>
      </c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Assumptions'!$E$275:$E$298,'WD_.PX.WMV._.PTC.2032'!$B19-2023,1)/INDEX('2025 IRP Assumptions'!$E$275:$E$298,'WD_.PX.WMV._.PTC.2032'!$B19-2023-1,1)</f>
        <v>104.07713017868311</v>
      </c>
      <c r="E19" s="71" cm="1">
        <f t="array" ref="E19">$E$10*INDEX('2025 IRP Assumptions'!$E$275:$E$298,'WD_.PX.WMV._.PTC.2032'!$B19-2023,1)</f>
        <v>38.429682756899993</v>
      </c>
      <c r="F19" s="71" cm="1">
        <f t="array" ref="F19">F18*INDEX('2025 IRP Assumptions'!$E$275:$E$298,'WD_.PX.WMV._.PTC.2032'!$B19-2023,1)/INDEX('2025 IRP Assumptions'!$E$275:$E$298,'WD_.PX.WMV._.PTC.2032'!$B19-2023-1,1)</f>
        <v>19.518474480657307</v>
      </c>
      <c r="G19" s="72">
        <f t="shared" si="1"/>
        <v>49.159214846738863</v>
      </c>
      <c r="H19" s="71"/>
      <c r="I19" s="71">
        <f>-INDEX('2025 IRP Assumptions'!$E$243:$E$272,MATCH(B19,'2025 IRP Assumptions'!$S$243:$S$272,0),1)</f>
        <v>-46.41</v>
      </c>
      <c r="J19" s="72">
        <f t="shared" si="2"/>
        <v>2.749214846738866</v>
      </c>
      <c r="K19" s="72">
        <f t="shared" si="3"/>
        <v>9.06</v>
      </c>
      <c r="L19" s="71">
        <f t="shared" si="4"/>
        <v>162.02528741624042</v>
      </c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Assumptions'!$E$275:$E$298,'WD_.PX.WMV._.PTC.2032'!$B20-2023,1)/INDEX('2025 IRP Assumptions'!$E$275:$E$298,'WD_.PX.WMV._.PTC.2032'!$B20-2023-1,1)</f>
        <v>106.34601169416858</v>
      </c>
      <c r="E20" s="71" cm="1">
        <f t="array" ref="E20">$E$10*INDEX('2025 IRP Assumptions'!$E$275:$E$298,'WD_.PX.WMV._.PTC.2032'!$B20-2023,1)</f>
        <v>39.267449869649994</v>
      </c>
      <c r="F20" s="71" cm="1">
        <f t="array" ref="F20">F19*INDEX('2025 IRP Assumptions'!$E$275:$E$298,'WD_.PX.WMV._.PTC.2032'!$B20-2023,1)/INDEX('2025 IRP Assumptions'!$E$275:$E$298,'WD_.PX.WMV._.PTC.2032'!$B20-2023-1,1)</f>
        <v>19.943977238886788</v>
      </c>
      <c r="G20" s="72">
        <f t="shared" si="1"/>
        <v>50.230885767046288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2.4908857670462865</v>
      </c>
      <c r="K20" s="72">
        <f t="shared" si="3"/>
        <v>8.2100000000000009</v>
      </c>
      <c r="L20" s="71">
        <f t="shared" si="4"/>
        <v>165.55743880270538</v>
      </c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Assumptions'!$E$275:$E$298,'WD_.PX.WMV._.PTC.2032'!$B21-2023,1)/INDEX('2025 IRP Assumptions'!$E$275:$E$298,'WD_.PX.WMV._.PTC.2032'!$B21-2023-1,1)</f>
        <v>108.66435472186089</v>
      </c>
      <c r="E21" s="71" cm="1">
        <f t="array" ref="E21">$E$10*INDEX('2025 IRP Assumptions'!$E$275:$E$298,'WD_.PX.WMV._.PTC.2032'!$B21-2023,1)</f>
        <v>40.123480266749993</v>
      </c>
      <c r="F21" s="71" cm="1">
        <f t="array" ref="F21">F20*INDEX('2025 IRP Assumptions'!$E$275:$E$298,'WD_.PX.WMV._.PTC.2032'!$B21-2023,1)/INDEX('2025 IRP Assumptions'!$E$275:$E$298,'WD_.PX.WMV._.PTC.2032'!$B21-2023-1,1)</f>
        <v>20.378755937585865</v>
      </c>
      <c r="G21" s="72">
        <f t="shared" si="1"/>
        <v>51.325919063901239</v>
      </c>
      <c r="H21" s="71"/>
      <c r="I21" s="71">
        <f>-INDEX('2025 IRP Assumptions'!$E$243:$E$272,MATCH(B21,'2025 IRP Assumptions'!$S$243:$S$272,0),1)</f>
        <v>-47.74</v>
      </c>
      <c r="J21" s="72">
        <f t="shared" si="2"/>
        <v>3.5859190639012368</v>
      </c>
      <c r="K21" s="72">
        <f t="shared" si="3"/>
        <v>11.82</v>
      </c>
      <c r="L21" s="71">
        <f t="shared" si="4"/>
        <v>169.16659092619676</v>
      </c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Assumptions'!$E$275:$E$298,'WD_.PX.WMV._.PTC.2032'!$B22-2023,1)/INDEX('2025 IRP Assumptions'!$E$275:$E$298,'WD_.PX.WMV._.PTC.2032'!$B22-2023-1,1)</f>
        <v>111.03323765556888</v>
      </c>
      <c r="E22" s="71" cm="1">
        <f t="array" ref="E22">$E$10*INDEX('2025 IRP Assumptions'!$E$275:$E$298,'WD_.PX.WMV._.PTC.2032'!$B22-2023,1)</f>
        <v>40.998172136849995</v>
      </c>
      <c r="F22" s="71" cm="1">
        <f t="array" ref="F22">F21*INDEX('2025 IRP Assumptions'!$E$275:$E$298,'WD_.PX.WMV._.PTC.2032'!$B22-2023,1)/INDEX('2025 IRP Assumptions'!$E$275:$E$298,'WD_.PX.WMV._.PTC.2032'!$B22-2023-1,1)</f>
        <v>20.823012817169911</v>
      </c>
      <c r="G22" s="72">
        <f t="shared" si="1"/>
        <v>52.444824099858657</v>
      </c>
      <c r="H22" s="71"/>
      <c r="I22" s="71">
        <f>-INDEX('2025 IRP Assumptions'!$E$243:$E$272,MATCH(B22,'2025 IRP Assumptions'!$S$243:$S$272,0),1)</f>
        <v>-49.06</v>
      </c>
      <c r="J22" s="72">
        <f t="shared" si="2"/>
        <v>3.3848240998586547</v>
      </c>
      <c r="K22" s="72">
        <f t="shared" si="3"/>
        <v>11.16</v>
      </c>
      <c r="L22" s="71">
        <f t="shared" si="4"/>
        <v>172.8544226095888</v>
      </c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Assumptions'!$E$275:$E$298,'WD_.PX.WMV._.PTC.2032'!$B23-2023,1)/INDEX('2025 IRP Assumptions'!$E$275:$E$298,'WD_.PX.WMV._.PTC.2032'!$B23-2023-1,1)</f>
        <v>113.45376220387104</v>
      </c>
      <c r="E23" s="71" cm="1">
        <f t="array" ref="E23">$E$10*INDEX('2025 IRP Assumptions'!$E$275:$E$298,'WD_.PX.WMV._.PTC.2032'!$B23-2023,1)</f>
        <v>41.891932277399995</v>
      </c>
      <c r="F23" s="71" cm="1">
        <f t="array" ref="F23">F22*INDEX('2025 IRP Assumptions'!$E$275:$E$298,'WD_.PX.WMV._.PTC.2032'!$B23-2023,1)/INDEX('2025 IRP Assumptions'!$E$275:$E$298,'WD_.PX.WMV._.PTC.2032'!$B23-2023-1,1)</f>
        <v>21.276954490472473</v>
      </c>
      <c r="G23" s="72">
        <f t="shared" si="1"/>
        <v>53.588121249842544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3.1981212498425435</v>
      </c>
      <c r="K23" s="72">
        <f t="shared" si="3"/>
        <v>10.54</v>
      </c>
      <c r="L23" s="71">
        <f t="shared" si="4"/>
        <v>176.6226489717435</v>
      </c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Assumptions'!$E$275:$E$298,'WD_.PX.WMV._.PTC.2032'!$B24-2023,1)/INDEX('2025 IRP Assumptions'!$E$275:$E$298,'WD_.PX.WMV._.PTC.2032'!$B24-2023-1,1)</f>
        <v>115.927054247276</v>
      </c>
      <c r="E24" s="71" cm="1">
        <f t="array" ref="E24">$E$10*INDEX('2025 IRP Assumptions'!$E$275:$E$298,'WD_.PX.WMV._.PTC.2032'!$B24-2023,1)</f>
        <v>42.805176411150001</v>
      </c>
      <c r="F24" s="71" cm="1">
        <f t="array" ref="F24">F23*INDEX('2025 IRP Assumptions'!$E$275:$E$298,'WD_.PX.WMV._.PTC.2032'!$B24-2023,1)/INDEX('2025 IRP Assumptions'!$E$275:$E$298,'WD_.PX.WMV._.PTC.2032'!$B24-2023-1,1)</f>
        <v>21.740792103495934</v>
      </c>
      <c r="G24" s="72">
        <f t="shared" si="1"/>
        <v>54.756342306012456</v>
      </c>
      <c r="H24" s="71"/>
      <c r="I24" s="71">
        <f>-INDEX('2025 IRP Assumptions'!$E$243:$E$272,MATCH(B24,'2025 IRP Assumptions'!$S$243:$S$272,0),1)</f>
        <v>-51.71</v>
      </c>
      <c r="J24" s="72">
        <f t="shared" si="2"/>
        <v>3.0463423060124555</v>
      </c>
      <c r="K24" s="72">
        <f t="shared" si="3"/>
        <v>10.039999999999999</v>
      </c>
      <c r="L24" s="71">
        <f t="shared" si="4"/>
        <v>180.47302276192192</v>
      </c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Assumptions'!$E$275:$E$298,'WD_.PX.WMV._.PTC.2032'!$B25-2023,1)/INDEX('2025 IRP Assumptions'!$E$275:$E$298,'WD_.PX.WMV._.PTC.2032'!$B25-2023-1,1)</f>
        <v>118.45426400965476</v>
      </c>
      <c r="E25" s="71" cm="1">
        <f t="array" ref="E25">$E$10*INDEX('2025 IRP Assumptions'!$E$275:$E$298,'WD_.PX.WMV._.PTC.2032'!$B25-2023,1)</f>
        <v>43.738329249449997</v>
      </c>
      <c r="F25" s="71" cm="1">
        <f t="array" ref="F25">F24*INDEX('2025 IRP Assumptions'!$E$275:$E$298,'WD_.PX.WMV._.PTC.2032'!$B25-2023,1)/INDEX('2025 IRP Assumptions'!$E$275:$E$298,'WD_.PX.WMV._.PTC.2032'!$B25-2023-1,1)</f>
        <v>22.214741367561647</v>
      </c>
      <c r="G25" s="72">
        <f t="shared" si="1"/>
        <v>55.950030558736778</v>
      </c>
      <c r="H25" s="71"/>
      <c r="I25" s="71">
        <f>-INDEX('2025 IRP Assumptions'!$E$243:$E$272,MATCH(B25,'2025 IRP Assumptions'!$S$243:$S$272,0),1)</f>
        <v>-51.71</v>
      </c>
      <c r="J25" s="72">
        <f t="shared" si="2"/>
        <v>4.2400305587367768</v>
      </c>
      <c r="K25" s="72">
        <f t="shared" si="3"/>
        <v>13.97</v>
      </c>
      <c r="L25" s="71">
        <f t="shared" si="4"/>
        <v>184.40733462666643</v>
      </c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Assumptions'!$E$275:$E$298,'WD_.PX.WMV._.PTC.2032'!$B26-2023,1)/INDEX('2025 IRP Assumptions'!$E$275:$E$298,'WD_.PX.WMV._.PTC.2032'!$B26-2023-1,1)</f>
        <v>121.0365670011174</v>
      </c>
      <c r="E26" s="71" cm="1">
        <f t="array" ref="E26">$E$10*INDEX('2025 IRP Assumptions'!$E$275:$E$298,'WD_.PX.WMV._.PTC.2032'!$B26-2023,1)</f>
        <v>44.691824840399995</v>
      </c>
      <c r="F26" s="71" cm="1">
        <f t="array" ref="F26">F25*INDEX('2025 IRP Assumptions'!$E$275:$E$298,'WD_.PX.WMV._.PTC.2032'!$B26-2023,1)/INDEX('2025 IRP Assumptions'!$E$275:$E$298,'WD_.PX.WMV._.PTC.2032'!$B26-2023-1,1)</f>
        <v>22.699022736135664</v>
      </c>
      <c r="G26" s="72">
        <f t="shared" si="1"/>
        <v>57.169741241945921</v>
      </c>
      <c r="H26" s="71"/>
      <c r="I26" s="71">
        <f>-INDEX('2025 IRP Assumptions'!$E$243:$E$272,MATCH(B26,'2025 IRP Assumptions'!$S$243:$S$272,0),1)</f>
        <v>-53.04</v>
      </c>
      <c r="J26" s="72">
        <f t="shared" si="2"/>
        <v>4.1297412419459221</v>
      </c>
      <c r="K26" s="72">
        <f t="shared" si="3"/>
        <v>13.61</v>
      </c>
      <c r="L26" s="71">
        <f t="shared" si="4"/>
        <v>188.42741457765308</v>
      </c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Assumptions'!$E$275:$E$298,'WD_.PX.WMV._.PTC.2032'!$B27-2023,1)/INDEX('2025 IRP Assumptions'!$E$275:$E$298,'WD_.PX.WMV._.PTC.2032'!$B27-2023-1,1)</f>
        <v>123.67516410372913</v>
      </c>
      <c r="E27" s="71" cm="1">
        <f t="array" ref="E27">$E$10*INDEX('2025 IRP Assumptions'!$E$275:$E$298,'WD_.PX.WMV._.PTC.2032'!$B27-2023,1)</f>
        <v>45.666106600499994</v>
      </c>
      <c r="F27" s="71" cm="1">
        <f t="array" ref="F27">F26*INDEX('2025 IRP Assumptions'!$E$275:$E$298,'WD_.PX.WMV._.PTC.2032'!$B27-2023,1)/INDEX('2025 IRP Assumptions'!$E$275:$E$298,'WD_.PX.WMV._.PTC.2032'!$B27-2023-1,1)</f>
        <v>23.193861420903815</v>
      </c>
      <c r="G27" s="72">
        <f t="shared" si="1"/>
        <v>58.416041573618969</v>
      </c>
      <c r="H27" s="71"/>
      <c r="I27" s="71">
        <f>-INDEX('2025 IRP Assumptions'!$E$243:$E$272,MATCH(B27,'2025 IRP Assumptions'!$S$243:$S$272,0),1)</f>
        <v>-54.37</v>
      </c>
      <c r="J27" s="72">
        <f t="shared" si="2"/>
        <v>4.0460415736189717</v>
      </c>
      <c r="K27" s="72">
        <f t="shared" si="3"/>
        <v>13.34</v>
      </c>
      <c r="L27" s="71">
        <f t="shared" si="4"/>
        <v>192.53513212513292</v>
      </c>
    </row>
    <row r="28" spans="2:27">
      <c r="B28" s="69">
        <f t="shared" si="0"/>
        <v>2042</v>
      </c>
      <c r="C28" s="73"/>
      <c r="D28" s="71" cm="1">
        <f t="array" ref="D28">D27*INDEX('2025 IRP Assumptions'!$E$275:$E$298,'WD_.PX.WMV._.PTC.2032'!$B28-2023,1)/INDEX('2025 IRP Assumptions'!$E$275:$E$298,'WD_.PX.WMV._.PTC.2032'!$B28-2023-1,1)</f>
        <v>126.3712826858191</v>
      </c>
      <c r="E28" s="71" cm="1">
        <f t="array" ref="E28">$E$10*INDEX('2025 IRP Assumptions'!$E$275:$E$298,'WD_.PX.WMV._.PTC.2032'!$B28-2023,1)</f>
        <v>46.661627726100001</v>
      </c>
      <c r="F28" s="71" cm="1">
        <f t="array" ref="F28">F27*INDEX('2025 IRP Assumptions'!$E$275:$E$298,'WD_.PX.WMV._.PTC.2032'!$B28-2023,1)/INDEX('2025 IRP Assumptions'!$E$275:$E$298,'WD_.PX.WMV._.PTC.2032'!$B28-2023-1,1)</f>
        <v>23.699487600747574</v>
      </c>
      <c r="G28" s="72">
        <f t="shared" si="1"/>
        <v>59.689511282110146</v>
      </c>
      <c r="H28" s="71"/>
      <c r="I28" s="71"/>
      <c r="J28" s="72">
        <f t="shared" si="2"/>
        <v>59.689511282110146</v>
      </c>
      <c r="K28" s="72">
        <f t="shared" si="3"/>
        <v>196.73</v>
      </c>
      <c r="L28" s="71">
        <f t="shared" si="4"/>
        <v>196.73239801266666</v>
      </c>
    </row>
    <row r="29" spans="2:27">
      <c r="B29" s="69">
        <f t="shared" si="0"/>
        <v>2043</v>
      </c>
      <c r="C29" s="73"/>
      <c r="D29" s="71" cm="1">
        <f t="array" ref="D29">D28*INDEX('2025 IRP Assumptions'!$E$275:$E$298,'WD_.PX.WMV._.PTC.2032'!$B29-2023,1)/INDEX('2025 IRP Assumptions'!$E$275:$E$298,'WD_.PX.WMV._.PTC.2032'!$B29-2023-1,1)</f>
        <v>129.12617668769647</v>
      </c>
      <c r="E29" s="71" cm="1">
        <f t="array" ref="E29">$E$10*INDEX('2025 IRP Assumptions'!$E$275:$E$298,'WD_.PX.WMV._.PTC.2032'!$B29-2023,1)</f>
        <v>47.678851225049996</v>
      </c>
      <c r="F29" s="71" cm="1">
        <f t="array" ref="F29">F28*INDEX('2025 IRP Assumptions'!$E$275:$E$298,'WD_.PX.WMV._.PTC.2032'!$B29-2023,1)/INDEX('2025 IRP Assumptions'!$E$275:$E$298,'WD_.PX.WMV._.PTC.2032'!$B29-2023-1,1)</f>
        <v>24.21613643781911</v>
      </c>
      <c r="G29" s="72">
        <f t="shared" si="1"/>
        <v>60.990742646635425</v>
      </c>
      <c r="H29" s="71"/>
      <c r="I29" s="71"/>
      <c r="J29" s="72">
        <f t="shared" si="2"/>
        <v>60.990742646635425</v>
      </c>
      <c r="K29" s="72">
        <f t="shared" si="3"/>
        <v>201.02</v>
      </c>
      <c r="L29" s="71">
        <f t="shared" si="4"/>
        <v>201.02116435056558</v>
      </c>
    </row>
    <row r="30" spans="2:27">
      <c r="B30" s="69">
        <f t="shared" si="0"/>
        <v>2044</v>
      </c>
      <c r="C30" s="73"/>
      <c r="D30" s="71" cm="1">
        <f t="array" ref="D30">D29*INDEX('2025 IRP Assumptions'!$E$275:$E$298,'WD_.PX.WMV._.PTC.2032'!$B30-2023,1)/INDEX('2025 IRP Assumptions'!$E$275:$E$298,'WD_.PX.WMV._.PTC.2032'!$B30-2023-1,1)</f>
        <v>131.94112730737902</v>
      </c>
      <c r="E30" s="71" cm="1">
        <f t="array" ref="E30">$E$10*INDEX('2025 IRP Assumptions'!$E$275:$E$298,'WD_.PX.WMV._.PTC.2032'!$B30-2023,1)</f>
        <v>48.718250169900003</v>
      </c>
      <c r="F30" s="71" cm="1">
        <f t="array" ref="F30">F29*INDEX('2025 IRP Assumptions'!$E$275:$E$298,'WD_.PX.WMV._.PTC.2032'!$B30-2023,1)/INDEX('2025 IRP Assumptions'!$E$275:$E$298,'WD_.PX.WMV._.PTC.2032'!$B30-2023-1,1)</f>
        <v>24.744048206141844</v>
      </c>
      <c r="G30" s="72">
        <f t="shared" si="1"/>
        <v>62.320340821165779</v>
      </c>
      <c r="H30" s="71"/>
      <c r="I30" s="71"/>
      <c r="J30" s="72">
        <f t="shared" si="2"/>
        <v>62.320340821165779</v>
      </c>
      <c r="K30" s="72">
        <f t="shared" si="3"/>
        <v>205.4</v>
      </c>
      <c r="L30" s="71">
        <f t="shared" si="4"/>
        <v>205.40342568342086</v>
      </c>
    </row>
    <row r="31" spans="2:27">
      <c r="B31" s="69">
        <f t="shared" si="0"/>
        <v>2045</v>
      </c>
      <c r="C31" s="73"/>
      <c r="D31" s="71" cm="1">
        <f t="array" ref="D31">D30*INDEX('2025 IRP Assumptions'!$E$275:$E$298,'WD_.PX.WMV._.PTC.2032'!$B31-2023,1)/INDEX('2025 IRP Assumptions'!$E$275:$E$298,'WD_.PX.WMV._.PTC.2032'!$B31-2023-1,1)</f>
        <v>134.81744394346973</v>
      </c>
      <c r="E31" s="71" cm="1">
        <f t="array" ref="E31">$E$10*INDEX('2025 IRP Assumptions'!$E$275:$E$298,'WD_.PX.WMV._.PTC.2032'!$B31-2023,1)</f>
        <v>49.780308046050003</v>
      </c>
      <c r="F31" s="71" cm="1">
        <f t="array" ref="F31">F30*INDEX('2025 IRP Assumptions'!$E$275:$E$298,'WD_.PX.WMV._.PTC.2032'!$B31-2023,1)/INDEX('2025 IRP Assumptions'!$E$275:$E$298,'WD_.PX.WMV._.PTC.2032'!$B31-2023-1,1)</f>
        <v>25.283468468436176</v>
      </c>
      <c r="G31" s="72">
        <f t="shared" si="1"/>
        <v>63.678924279780333</v>
      </c>
      <c r="H31" s="71"/>
      <c r="I31" s="71"/>
      <c r="J31" s="72">
        <f t="shared" si="2"/>
        <v>63.678924279780333</v>
      </c>
      <c r="K31" s="72">
        <f t="shared" si="3"/>
        <v>209.88</v>
      </c>
      <c r="L31" s="71">
        <f t="shared" si="4"/>
        <v>209.88122045795592</v>
      </c>
    </row>
    <row r="32" spans="2:27">
      <c r="B32" s="69">
        <f t="shared" si="0"/>
        <v>2046</v>
      </c>
      <c r="C32" s="73"/>
      <c r="D32" s="71" cm="1">
        <f t="array" ref="D32">D31*INDEX('2025 IRP Assumptions'!$E$275:$E$298,'WD_.PX.WMV._.PTC.2032'!$B32-2023,1)/INDEX('2025 IRP Assumptions'!$E$275:$E$298,'WD_.PX.WMV._.PTC.2032'!$B32-2023-1,1)</f>
        <v>137.75646419515681</v>
      </c>
      <c r="E32" s="71" cm="1">
        <f t="array" ref="E32">$E$10*INDEX('2025 IRP Assumptions'!$E$275:$E$298,'WD_.PX.WMV._.PTC.2032'!$B32-2023,1)</f>
        <v>50.865518751749995</v>
      </c>
      <c r="F32" s="71" cm="1">
        <f t="array" ref="F32">F31*INDEX('2025 IRP Assumptions'!$E$275:$E$298,'WD_.PX.WMV._.PTC.2032'!$B32-2023,1)/INDEX('2025 IRP Assumptions'!$E$275:$E$298,'WD_.PX.WMV._.PTC.2032'!$B32-2023-1,1)</f>
        <v>25.834648076119464</v>
      </c>
      <c r="G32" s="72">
        <f t="shared" si="1"/>
        <v>65.067124816666322</v>
      </c>
      <c r="H32" s="71"/>
      <c r="I32" s="71"/>
      <c r="J32" s="72">
        <f t="shared" si="2"/>
        <v>65.067124816666322</v>
      </c>
      <c r="K32" s="72">
        <f t="shared" si="3"/>
        <v>214.46</v>
      </c>
      <c r="L32" s="71">
        <f t="shared" si="4"/>
        <v>214.45663102302626</v>
      </c>
    </row>
    <row r="33" spans="2:13">
      <c r="B33" s="69">
        <f t="shared" si="0"/>
        <v>2047</v>
      </c>
      <c r="C33" s="73"/>
      <c r="D33" s="71" cm="1">
        <f t="array" ref="D33">D32*INDEX('2025 IRP Assumptions'!$E$275:$E$298,'WD_.PX.WMV._.PTC.2032'!$B33-2023,1)/INDEX('2025 IRP Assumptions'!$E$275:$E$298,'WD_.PX.WMV._.PTC.2032'!$B33-2023-1,1)</f>
        <v>140.75955506223872</v>
      </c>
      <c r="E33" s="71" cm="1">
        <f t="array" ref="E33">$E$10*INDEX('2025 IRP Assumptions'!$E$275:$E$298,'WD_.PX.WMV._.PTC.2032'!$B33-2023,1)</f>
        <v>51.974387041199996</v>
      </c>
      <c r="F33" s="71" cm="1">
        <f t="array" ref="F33">F32*INDEX('2025 IRP Assumptions'!$E$275:$E$298,'WD_.PX.WMV._.PTC.2032'!$B33-2023,1)/INDEX('2025 IRP Assumptions'!$E$275:$E$298,'WD_.PX.WMV._.PTC.2032'!$B33-2023-1,1)</f>
        <v>26.397843394357004</v>
      </c>
      <c r="G33" s="72">
        <f t="shared" si="1"/>
        <v>66.485588112932319</v>
      </c>
      <c r="H33" s="71"/>
      <c r="I33" s="71"/>
      <c r="J33" s="72">
        <f t="shared" si="2"/>
        <v>66.485588112932319</v>
      </c>
      <c r="K33" s="72">
        <f t="shared" si="3"/>
        <v>219.13</v>
      </c>
      <c r="L33" s="71">
        <f t="shared" si="4"/>
        <v>219.13178549779573</v>
      </c>
    </row>
    <row r="34" spans="2:13" ht="15">
      <c r="B34" s="69">
        <f t="shared" si="0"/>
        <v>2048</v>
      </c>
      <c r="C34" s="73"/>
      <c r="D34" s="277">
        <f t="shared" ref="D34:E36" si="5">D33*D33/D32</f>
        <v>143.82811330908129</v>
      </c>
      <c r="E34" s="277">
        <f t="shared" si="5"/>
        <v>53.107428658938439</v>
      </c>
      <c r="F34" s="277">
        <f t="shared" ref="F34" si="6">F33*F33/F32</f>
        <v>26.973316370318006</v>
      </c>
      <c r="G34" s="72">
        <f t="shared" si="1"/>
        <v>67.93497390851762</v>
      </c>
      <c r="H34" s="71"/>
      <c r="I34" s="71"/>
      <c r="J34" s="72">
        <f t="shared" si="2"/>
        <v>67.93497390851762</v>
      </c>
      <c r="K34" s="72">
        <f t="shared" si="3"/>
        <v>223.91</v>
      </c>
      <c r="L34" s="71">
        <f t="shared" si="4"/>
        <v>223.90885833833772</v>
      </c>
    </row>
    <row r="35" spans="2:13" ht="15">
      <c r="B35" s="69">
        <f t="shared" si="0"/>
        <v>2049</v>
      </c>
      <c r="C35" s="73"/>
      <c r="D35" s="277">
        <f t="shared" si="5"/>
        <v>146.96356612453843</v>
      </c>
      <c r="E35" s="277">
        <f t="shared" si="5"/>
        <v>54.26517058351282</v>
      </c>
      <c r="F35" s="277">
        <f t="shared" ref="F35" si="7">F34*F34/F33</f>
        <v>27.561334656936175</v>
      </c>
      <c r="G35" s="72">
        <f t="shared" si="1"/>
        <v>69.415956313895663</v>
      </c>
      <c r="H35" s="71"/>
      <c r="I35" s="71"/>
      <c r="J35" s="72">
        <f t="shared" si="2"/>
        <v>69.415956313895663</v>
      </c>
      <c r="K35" s="72">
        <f t="shared" si="3"/>
        <v>228.79</v>
      </c>
      <c r="L35" s="71">
        <f t="shared" si="4"/>
        <v>228.79007136498743</v>
      </c>
    </row>
    <row r="36" spans="2:13" ht="15">
      <c r="B36" s="69">
        <f t="shared" si="0"/>
        <v>2050</v>
      </c>
      <c r="C36" s="73"/>
      <c r="D36" s="277">
        <f t="shared" si="5"/>
        <v>150.1673718101805</v>
      </c>
      <c r="E36" s="277">
        <f t="shared" si="5"/>
        <v>55.448151281602769</v>
      </c>
      <c r="F36" s="277">
        <f t="shared" ref="F36" si="8">F35*F35/F34</f>
        <v>28.162171741979066</v>
      </c>
      <c r="G36" s="72">
        <f t="shared" si="1"/>
        <v>70.929224135147905</v>
      </c>
      <c r="H36" s="71"/>
      <c r="I36" s="71"/>
      <c r="J36" s="72">
        <f t="shared" si="2"/>
        <v>70.929224135147905</v>
      </c>
      <c r="K36" s="72">
        <f t="shared" si="3"/>
        <v>233.78</v>
      </c>
      <c r="L36" s="71">
        <f t="shared" si="4"/>
        <v>233.77769483376233</v>
      </c>
    </row>
    <row r="37" spans="2:13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3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3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3">
      <c r="B42" s="62" t="s">
        <v>60</v>
      </c>
      <c r="C42" s="78" t="s">
        <v>61</v>
      </c>
      <c r="D42" s="159" t="s">
        <v>197</v>
      </c>
    </row>
    <row r="43" spans="2:13">
      <c r="C43" s="78" t="str">
        <f>C7</f>
        <v>(a)</v>
      </c>
      <c r="D43" s="62" t="s">
        <v>62</v>
      </c>
    </row>
    <row r="44" spans="2:13">
      <c r="C44" s="78" t="str">
        <f>D7</f>
        <v>(b)</v>
      </c>
      <c r="D44" s="72" t="str">
        <f>"= "&amp;C7&amp;" x "&amp;C60</f>
        <v>= (a) x 0.06316</v>
      </c>
    </row>
    <row r="45" spans="2:13">
      <c r="C45" s="78" t="str">
        <f>F7</f>
        <v>(d)</v>
      </c>
      <c r="D45" s="72" t="str">
        <f>"= ("&amp;$D$7&amp;" + "&amp;$E$7&amp;") /  (8.76 x "&amp;TEXT(C61,"0.0%")&amp;")"</f>
        <v>= ((b) + (c)) /  (8.76 x 37.6%)</v>
      </c>
    </row>
    <row r="46" spans="2:13">
      <c r="C46" s="78" t="str">
        <f>J7</f>
        <v>(g)</v>
      </c>
      <c r="D46" s="72" t="str">
        <f>"= "&amp;$G$7&amp;" + "&amp;$H$7</f>
        <v>= (e) + (f)</v>
      </c>
    </row>
    <row r="47" spans="2:13">
      <c r="C47" s="78" t="str">
        <f>K7</f>
        <v>(h)</v>
      </c>
      <c r="D47" t="str">
        <f>D42</f>
        <v>Plant Costs  - 2025 IRP - Table 7.1 &amp; 7.2</v>
      </c>
    </row>
    <row r="48" spans="2:13">
      <c r="C48" s="78"/>
      <c r="D48" s="72"/>
    </row>
    <row r="49" spans="2:20" ht="13.5" thickBot="1"/>
    <row r="50" spans="2:20" ht="13.5" thickBot="1">
      <c r="C50" s="37" t="str">
        <f>B2&amp;" - "&amp;B3</f>
        <v>WD_.PX.WMV._.PTC.Utility_Scale - 38%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158</v>
      </c>
    </row>
    <row r="53" spans="2:20">
      <c r="B53" t="s">
        <v>196</v>
      </c>
      <c r="C53" s="168"/>
      <c r="D53" s="62" t="s">
        <v>62</v>
      </c>
      <c r="P53" s="156"/>
      <c r="T53" s="174"/>
    </row>
    <row r="54" spans="2:20">
      <c r="B54" t="s">
        <v>196</v>
      </c>
      <c r="C54" s="85"/>
      <c r="D54" s="62" t="s">
        <v>64</v>
      </c>
      <c r="Q54" s="62" t="s">
        <v>215</v>
      </c>
      <c r="R54" s="62">
        <v>451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196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283</v>
      </c>
      <c r="E60" s="165"/>
      <c r="J60" s="276"/>
      <c r="L60" s="158"/>
      <c r="M60" s="90"/>
      <c r="N60" s="90"/>
      <c r="P60" s="91"/>
    </row>
    <row r="61" spans="2:20">
      <c r="C61" s="173">
        <v>0.37624761571044801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B9D2-249B-4076-9A74-30B71CCED8A7}">
  <sheetPr>
    <tabColor rgb="FFFFFF00"/>
    <pageSetUpPr fitToPage="1"/>
  </sheetPr>
  <dimension ref="B1:AC89"/>
  <sheetViews>
    <sheetView zoomScale="80" zoomScaleNormal="8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50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Assumptions'!$E$275:$E$298,'PV_.PX.WMV._.PTC.2036'!$B11-2023,1)</f>
        <v>20.967336</v>
      </c>
      <c r="F11" s="71"/>
      <c r="G11" s="72"/>
      <c r="H11" s="71"/>
      <c r="I11" s="71"/>
      <c r="J11" s="72"/>
      <c r="K11" s="72"/>
      <c r="L11" s="71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Assumptions'!$E$275:$E$298,'PV_.PX.WMV._.PTC.2036'!$B12-2023,1)</f>
        <v>21.424423924799999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Assumptions'!$E$275:$E$298,'PV_.PX.WMV._.PTC.2036'!$B13-2023,1)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Assumptions'!$E$275:$E$298,'PV_.PX.WMV._.PTC.2036'!$B14-2023,1)</f>
        <v>22.36871055564</v>
      </c>
      <c r="F14" s="284"/>
      <c r="G14" s="72"/>
      <c r="H14" s="71"/>
      <c r="I14" s="71"/>
      <c r="J14" s="72"/>
      <c r="K14" s="72"/>
      <c r="L14" s="71"/>
      <c r="P14" s="8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Assumptions'!$E$275:$E$298,'PV_.PX.WMV._.PTC.2036'!$B15-2023,1)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Assumptions'!$E$275:$E$298,'PV_.PX.WMV._.PTC.2036'!$B16-2023,1)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Assumptions'!$E$275:$E$298,'PV_.PX.WMV._.PTC.2036'!$B17-2023,1)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71"/>
      <c r="E18" s="71" cm="1">
        <f t="array" ref="E18">$E$10*INDEX('2025 IRP Assumptions'!$E$275:$E$298,'PV_.PX.WMV._.PTC.2036'!$B18-2023,1)</f>
        <v>24.383977170120001</v>
      </c>
      <c r="F18" s="71"/>
      <c r="G18" s="72"/>
      <c r="H18" s="71"/>
      <c r="I18" s="71"/>
      <c r="J18" s="72"/>
      <c r="K18" s="72"/>
      <c r="L18" s="71"/>
      <c r="P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>
        <f>$C$10*INDEX('2025 IRP Assumptions'!$E$126:$E$146,MATCH(B19,'2025 IRP Assumptions'!$S$126:$S$146,0),1)</f>
        <v>1110.13504906095</v>
      </c>
      <c r="D19" s="71"/>
      <c r="E19" s="71" cm="1">
        <f t="array" ref="E19">$E$10*INDEX('2025 IRP Assumptions'!$E$275:$E$298,'PV_.PX.WMV._.PTC.2036'!$B19-2023,1)</f>
        <v>24.915547872719998</v>
      </c>
      <c r="F19" s="71"/>
      <c r="G19" s="72"/>
      <c r="H19" s="71"/>
      <c r="I19" s="71"/>
      <c r="J19" s="72"/>
      <c r="K19" s="72"/>
      <c r="L19" s="71"/>
      <c r="P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>
        <f>$C$10*INDEX('2025 IRP Assumptions'!$E$126:$E$146,MATCH(B20,'2025 IRP Assumptions'!$S$126:$S$146,0),1)</f>
        <v>1067.6657044284</v>
      </c>
      <c r="D20" s="71"/>
      <c r="E20" s="71" cm="1">
        <f t="array" ref="E20">$E$10*INDEX('2025 IRP Assumptions'!$E$275:$E$298,'PV_.PX.WMV._.PTC.2036'!$B20-2023,1)</f>
        <v>25.458706834919997</v>
      </c>
      <c r="F20" s="71"/>
      <c r="G20" s="72"/>
      <c r="H20" s="71"/>
      <c r="I20" s="71"/>
      <c r="J20" s="72"/>
      <c r="K20" s="72"/>
      <c r="L20" s="71"/>
      <c r="P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>
        <f>$C$10*INDEX('2025 IRP Assumptions'!$E$126:$E$146,MATCH(B21,'2025 IRP Assumptions'!$S$126:$S$146,0),1)</f>
        <v>1022.81711683395</v>
      </c>
      <c r="D21" s="71"/>
      <c r="E21" s="71" cm="1">
        <f t="array" ref="E21">$E$10*INDEX('2025 IRP Assumptions'!$E$275:$E$298,'PV_.PX.WMV._.PTC.2036'!$B21-2023,1)</f>
        <v>26.013706637399999</v>
      </c>
      <c r="F21" s="71"/>
      <c r="G21" s="72"/>
      <c r="H21" s="71"/>
      <c r="I21" s="71"/>
      <c r="J21" s="72"/>
      <c r="K21" s="72"/>
      <c r="L21" s="71"/>
      <c r="P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>
        <f>$C$10*INDEX('2025 IRP Assumptions'!$E$126:$E$146,MATCH(B22,'2025 IRP Assumptions'!$S$126:$S$146,0),1)</f>
        <v>1028.58353567055</v>
      </c>
      <c r="D22" s="250">
        <f>C22*$C$60</f>
        <v>70.571116382356436</v>
      </c>
      <c r="E22" s="71" cm="1">
        <f t="array" ref="E22">$E$10*INDEX('2025 IRP Assumptions'!$E$275:$E$298,'PV_.PX.WMV._.PTC.2036'!$B22-2023,1)</f>
        <v>26.580805442279999</v>
      </c>
      <c r="F22" s="71">
        <f>'Table 3 TransCost'!Y21</f>
        <v>69.939529046528392</v>
      </c>
      <c r="G22" s="72">
        <f t="shared" ref="G22:G36" si="1">(D22+E22+F22)/(8.76*$C$61)</f>
        <v>77.891442987295605</v>
      </c>
      <c r="H22" s="71"/>
      <c r="I22" s="71">
        <f>-INDEX('2025 IRP Assumptions'!$E$243:$E$272,MATCH(B22,'2025 IRP Assumptions'!$S$243:$S$272,0),1)</f>
        <v>-49.06</v>
      </c>
      <c r="J22" s="72">
        <f t="shared" ref="J22:J36" si="2">(G22+H22+I22)</f>
        <v>28.831442987295603</v>
      </c>
      <c r="K22" s="72">
        <f t="shared" ref="K22:K36" si="3">ROUND(J22*$C$61*8.76,2)</f>
        <v>61.85</v>
      </c>
      <c r="L22" s="71">
        <f t="shared" ref="L22:L36" si="4">(D22+E22+F22)</f>
        <v>167.09145087116482</v>
      </c>
      <c r="P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Assumptions'!$E$275:$E$298,'PV_.PX.WMV._.PTC.2036'!$B23-2023,1)/INDEX('2025 IRP Assumptions'!$E$275:$E$298,'PV_.PX.WMV._.PTC.2036'!$B23-2023-1,1)</f>
        <v>72.109566698778551</v>
      </c>
      <c r="E23" s="71" cm="1">
        <f t="array" ref="E23">$E$10*INDEX('2025 IRP Assumptions'!$E$275:$E$298,'PV_.PX.WMV._.PTC.2036'!$B23-2023,1)</f>
        <v>27.160266993119997</v>
      </c>
      <c r="F23" s="71" cm="1">
        <f t="array" ref="F23">F22*INDEX('2025 IRP Assumptions'!$E$275:$E$298,'PV_.PX.WMV._.PTC.2036'!$B23-2023,1)/INDEX('2025 IRP Assumptions'!$E$275:$E$298,'PV_.PX.WMV._.PTC.2036'!$B23-2023-1,1)</f>
        <v>71.464210759214836</v>
      </c>
      <c r="G23" s="72">
        <f t="shared" si="1"/>
        <v>79.589476421556824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29.199476421556824</v>
      </c>
      <c r="K23" s="72">
        <f t="shared" si="3"/>
        <v>62.64</v>
      </c>
      <c r="L23" s="71">
        <f t="shared" si="4"/>
        <v>170.73404445111339</v>
      </c>
      <c r="P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Assumptions'!$E$275:$E$298,'PV_.PX.WMV._.PTC.2036'!$B24-2023,1)/INDEX('2025 IRP Assumptions'!$E$275:$E$298,'PV_.PX.WMV._.PTC.2036'!$B24-2023-1,1)</f>
        <v>73.681555270201912</v>
      </c>
      <c r="E24" s="71" cm="1">
        <f t="array" ref="E24">$E$10*INDEX('2025 IRP Assumptions'!$E$275:$E$298,'PV_.PX.WMV._.PTC.2036'!$B24-2023,1)</f>
        <v>27.75236082012</v>
      </c>
      <c r="F24" s="71" cm="1">
        <f t="array" ref="F24">F23*INDEX('2025 IRP Assumptions'!$E$275:$E$298,'PV_.PX.WMV._.PTC.2036'!$B24-2023,1)/INDEX('2025 IRP Assumptions'!$E$275:$E$298,'PV_.PX.WMV._.PTC.2036'!$B24-2023-1,1)</f>
        <v>73.022130571000076</v>
      </c>
      <c r="G24" s="72">
        <f t="shared" si="1"/>
        <v>81.324527026740597</v>
      </c>
      <c r="H24" s="71"/>
      <c r="I24" s="71">
        <f>-INDEX('2025 IRP Assumptions'!$E$243:$E$272,MATCH(B24,'2025 IRP Assumptions'!$S$243:$S$272,0),1)</f>
        <v>-51.71</v>
      </c>
      <c r="J24" s="72">
        <f t="shared" si="2"/>
        <v>29.614527026740596</v>
      </c>
      <c r="K24" s="72">
        <f t="shared" si="3"/>
        <v>63.53</v>
      </c>
      <c r="L24" s="71">
        <f t="shared" si="4"/>
        <v>174.45604666132198</v>
      </c>
      <c r="P24" s="88"/>
      <c r="Q24" s="71"/>
      <c r="R24" s="71"/>
      <c r="S24" s="71"/>
      <c r="T24" s="71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Assumptions'!$E$275:$E$298,'PV_.PX.WMV._.PTC.2036'!$B25-2023,1)/INDEX('2025 IRP Assumptions'!$E$275:$E$298,'PV_.PX.WMV._.PTC.2036'!$B25-2023-1,1)</f>
        <v>75.287813162245953</v>
      </c>
      <c r="E25" s="71" cm="1">
        <f t="array" ref="E25">$E$10*INDEX('2025 IRP Assumptions'!$E$275:$E$298,'PV_.PX.WMV._.PTC.2036'!$B25-2023,1)</f>
        <v>28.35736228116</v>
      </c>
      <c r="F25" s="71" cm="1">
        <f t="array" ref="F25">F24*INDEX('2025 IRP Assumptions'!$E$275:$E$298,'PV_.PX.WMV._.PTC.2036'!$B25-2023,1)/INDEX('2025 IRP Assumptions'!$E$275:$E$298,'PV_.PX.WMV._.PTC.2036'!$B25-2023-1,1)</f>
        <v>74.614013004716483</v>
      </c>
      <c r="G25" s="72">
        <f t="shared" si="1"/>
        <v>83.09740170174463</v>
      </c>
      <c r="H25" s="71"/>
      <c r="I25" s="71">
        <f>-INDEX('2025 IRP Assumptions'!$E$243:$E$272,MATCH(B25,'2025 IRP Assumptions'!$S$243:$S$272,0),1)</f>
        <v>-51.71</v>
      </c>
      <c r="J25" s="72">
        <f t="shared" si="2"/>
        <v>31.387401701744629</v>
      </c>
      <c r="K25" s="72">
        <f t="shared" si="3"/>
        <v>67.33</v>
      </c>
      <c r="L25" s="71">
        <f t="shared" si="4"/>
        <v>178.25918844812242</v>
      </c>
      <c r="P25" s="88"/>
      <c r="Q25" s="71"/>
      <c r="R25" s="71"/>
      <c r="S25" s="71"/>
      <c r="T25" s="71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Assumptions'!$E$275:$E$298,'PV_.PX.WMV._.PTC.2036'!$B26-2023,1)/INDEX('2025 IRP Assumptions'!$E$275:$E$298,'PV_.PX.WMV._.PTC.2036'!$B26-2023-1,1)</f>
        <v>76.929087512097155</v>
      </c>
      <c r="E26" s="71" cm="1">
        <f t="array" ref="E26">$E$10*INDEX('2025 IRP Assumptions'!$E$275:$E$298,'PV_.PX.WMV._.PTC.2036'!$B26-2023,1)</f>
        <v>28.975552787519998</v>
      </c>
      <c r="F26" s="71" cm="1">
        <f t="array" ref="F26">F25*INDEX('2025 IRP Assumptions'!$E$275:$E$298,'PV_.PX.WMV._.PTC.2036'!$B26-2023,1)/INDEX('2025 IRP Assumptions'!$E$275:$E$298,'PV_.PX.WMV._.PTC.2036'!$B26-2023-1,1)</f>
        <v>76.240598510928464</v>
      </c>
      <c r="G26" s="72">
        <f t="shared" si="1"/>
        <v>84.908925084133799</v>
      </c>
      <c r="H26" s="71"/>
      <c r="I26" s="71">
        <f>-INDEX('2025 IRP Assumptions'!$E$243:$E$272,MATCH(B26,'2025 IRP Assumptions'!$S$243:$S$272,0),1)</f>
        <v>-53.04</v>
      </c>
      <c r="J26" s="72">
        <f t="shared" si="2"/>
        <v>31.868925084133799</v>
      </c>
      <c r="K26" s="72">
        <f t="shared" si="3"/>
        <v>68.36</v>
      </c>
      <c r="L26" s="71">
        <f t="shared" si="4"/>
        <v>182.14523881054561</v>
      </c>
      <c r="P26" s="88"/>
      <c r="Q26" s="71"/>
      <c r="R26" s="71"/>
      <c r="S26" s="71"/>
      <c r="T26" s="71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Assumptions'!$E$275:$E$298,'PV_.PX.WMV._.PTC.2036'!$B27-2023,1)/INDEX('2025 IRP Assumptions'!$E$275:$E$298,'PV_.PX.WMV._.PTC.2036'!$B27-2023-1,1)</f>
        <v>78.606141582988883</v>
      </c>
      <c r="E27" s="71" cm="1">
        <f t="array" ref="E27">$E$10*INDEX('2025 IRP Assumptions'!$E$275:$E$298,'PV_.PX.WMV._.PTC.2036'!$B27-2023,1)</f>
        <v>29.607219824399998</v>
      </c>
      <c r="F27" s="71" cm="1">
        <f t="array" ref="F27">F26*INDEX('2025 IRP Assumptions'!$E$275:$E$298,'PV_.PX.WMV._.PTC.2036'!$B27-2023,1)/INDEX('2025 IRP Assumptions'!$E$275:$E$298,'PV_.PX.WMV._.PTC.2036'!$B27-2023-1,1)</f>
        <v>77.902643521924702</v>
      </c>
      <c r="G27" s="72">
        <f t="shared" si="1"/>
        <v>86.759939610271203</v>
      </c>
      <c r="H27" s="71"/>
      <c r="I27" s="71">
        <f>-INDEX('2025 IRP Assumptions'!$E$243:$E$272,MATCH(B27,'2025 IRP Assumptions'!$S$243:$S$272,0),1)</f>
        <v>-54.37</v>
      </c>
      <c r="J27" s="72">
        <f t="shared" si="2"/>
        <v>32.389939610271206</v>
      </c>
      <c r="K27" s="72">
        <f t="shared" si="3"/>
        <v>69.48</v>
      </c>
      <c r="L27" s="71">
        <f t="shared" si="4"/>
        <v>186.11600492931359</v>
      </c>
      <c r="P27" s="88"/>
      <c r="Q27" s="71"/>
      <c r="R27" s="71"/>
      <c r="S27" s="71"/>
      <c r="T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Assumptions'!$E$275:$E$298,'PV_.PX.WMV._.PTC.2036'!$B28-2023,1)/INDEX('2025 IRP Assumptions'!$E$275:$E$298,'PV_.PX.WMV._.PTC.2036'!$B28-2023-1,1)</f>
        <v>80.319755472439951</v>
      </c>
      <c r="E28" s="71" cm="1">
        <f t="array" ref="E28">$E$10*INDEX('2025 IRP Assumptions'!$E$275:$E$298,'PV_.PX.WMV._.PTC.2036'!$B28-2023,1)</f>
        <v>30.252657217679999</v>
      </c>
      <c r="F28" s="71" cm="1">
        <f t="array" ref="F28">F27*INDEX('2025 IRP Assumptions'!$E$275:$E$298,'PV_.PX.WMV._.PTC.2036'!$B28-2023,1)/INDEX('2025 IRP Assumptions'!$E$275:$E$298,'PV_.PX.WMV._.PTC.2036'!$B28-2023-1,1)</f>
        <v>79.600921153618245</v>
      </c>
      <c r="G28" s="72">
        <f t="shared" si="1"/>
        <v>88.651306297022188</v>
      </c>
      <c r="H28" s="71"/>
      <c r="I28" s="71">
        <f>-INDEX('2025 IRP Assumptions'!$E$243:$E$272,MATCH(B28,'2025 IRP Assumptions'!$S$243:$S$272,0),1)</f>
        <v>-55.69</v>
      </c>
      <c r="J28" s="72">
        <f t="shared" si="2"/>
        <v>32.96130629702219</v>
      </c>
      <c r="K28" s="72">
        <f t="shared" si="3"/>
        <v>70.709999999999994</v>
      </c>
      <c r="L28" s="71">
        <f t="shared" si="4"/>
        <v>190.17333384373819</v>
      </c>
      <c r="P28" s="88"/>
      <c r="Q28" s="71"/>
      <c r="R28" s="71"/>
      <c r="S28" s="71"/>
      <c r="T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Assumptions'!$E$275:$E$298,'PV_.PX.WMV._.PTC.2036'!$B29-2023,1)/INDEX('2025 IRP Assumptions'!$E$275:$E$298,'PV_.PX.WMV._.PTC.2036'!$B29-2023-1,1)</f>
        <v>82.070726166734516</v>
      </c>
      <c r="E29" s="71" cm="1">
        <f t="array" ref="E29">$E$10*INDEX('2025 IRP Assumptions'!$E$275:$E$298,'PV_.PX.WMV._.PTC.2036'!$B29-2023,1)</f>
        <v>30.91216515444</v>
      </c>
      <c r="F29" s="71" cm="1">
        <f t="array" ref="F29">F28*INDEX('2025 IRP Assumptions'!$E$275:$E$298,'PV_.PX.WMV._.PTC.2036'!$B29-2023,1)/INDEX('2025 IRP Assumptions'!$E$275:$E$298,'PV_.PX.WMV._.PTC.2036'!$B29-2023-1,1)</f>
        <v>81.336221259538789</v>
      </c>
      <c r="G29" s="72">
        <f t="shared" si="1"/>
        <v>90.58390480188541</v>
      </c>
      <c r="H29" s="71"/>
      <c r="I29" s="71">
        <f>-INDEX('2025 IRP Assumptions'!$E$243:$E$272,MATCH(B29,'2025 IRP Assumptions'!$S$243:$S$272,0),1)</f>
        <v>-57.02</v>
      </c>
      <c r="J29" s="72">
        <f t="shared" si="2"/>
        <v>33.563904801885407</v>
      </c>
      <c r="K29" s="72">
        <f t="shared" si="3"/>
        <v>72</v>
      </c>
      <c r="L29" s="71">
        <f t="shared" si="4"/>
        <v>194.31911258071329</v>
      </c>
      <c r="P29" s="88"/>
      <c r="Q29" s="71"/>
      <c r="R29" s="71"/>
      <c r="S29" s="71"/>
      <c r="T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Assumptions'!$E$275:$E$298,'PV_.PX.WMV._.PTC.2036'!$B30-2023,1)/INDEX('2025 IRP Assumptions'!$E$275:$E$298,'PV_.PX.WMV._.PTC.2036'!$B30-2023-1,1)</f>
        <v>83.859867976761166</v>
      </c>
      <c r="E30" s="71" cm="1">
        <f t="array" ref="E30">$E$10*INDEX('2025 IRP Assumptions'!$E$275:$E$298,'PV_.PX.WMV._.PTC.2036'!$B30-2023,1)</f>
        <v>31.58605034712</v>
      </c>
      <c r="F30" s="71" cm="1">
        <f t="array" ref="F30">F29*INDEX('2025 IRP Assumptions'!$E$275:$E$298,'PV_.PX.WMV._.PTC.2036'!$B30-2023,1)/INDEX('2025 IRP Assumptions'!$E$275:$E$298,'PV_.PX.WMV._.PTC.2036'!$B30-2023-1,1)</f>
        <v>83.109350862771223</v>
      </c>
      <c r="G30" s="72">
        <f t="shared" si="1"/>
        <v>92.5586339040414</v>
      </c>
      <c r="H30" s="71"/>
      <c r="I30" s="71">
        <f>-INDEX('2025 IRP Assumptions'!$E$243:$E$272,MATCH(B30,'2025 IRP Assumptions'!$S$243:$S$272,0),1)</f>
        <v>-57.02</v>
      </c>
      <c r="J30" s="72">
        <f t="shared" si="2"/>
        <v>35.538633904041397</v>
      </c>
      <c r="K30" s="72">
        <f t="shared" si="3"/>
        <v>76.239999999999995</v>
      </c>
      <c r="L30" s="71">
        <f t="shared" si="4"/>
        <v>198.55526918665237</v>
      </c>
      <c r="P30" s="88"/>
      <c r="Q30" s="71"/>
      <c r="R30" s="71"/>
      <c r="S30" s="71"/>
      <c r="T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Assumptions'!$E$275:$E$298,'PV_.PX.WMV._.PTC.2036'!$B31-2023,1)/INDEX('2025 IRP Assumptions'!$E$275:$E$298,'PV_.PX.WMV._.PTC.2036'!$B31-2023-1,1)</f>
        <v>85.688013137291691</v>
      </c>
      <c r="E31" s="71" cm="1">
        <f t="array" ref="E31">$E$10*INDEX('2025 IRP Assumptions'!$E$275:$E$298,'PV_.PX.WMV._.PTC.2036'!$B31-2023,1)</f>
        <v>32.274626259240002</v>
      </c>
      <c r="F31" s="71" cm="1">
        <f t="array" ref="F31">F30*INDEX('2025 IRP Assumptions'!$E$275:$E$298,'PV_.PX.WMV._.PTC.2036'!$B31-2023,1)/INDEX('2025 IRP Assumptions'!$E$275:$E$298,'PV_.PX.WMV._.PTC.2036'!$B31-2023-1,1)</f>
        <v>84.921134749870987</v>
      </c>
      <c r="G31" s="72">
        <f t="shared" si="1"/>
        <v>94.57641216579448</v>
      </c>
      <c r="H31" s="71"/>
      <c r="I31" s="71">
        <f>-INDEX('2025 IRP Assumptions'!$E$243:$E$272,MATCH(B31,'2025 IRP Assumptions'!$S$243:$S$272,0),1)</f>
        <v>-58.35</v>
      </c>
      <c r="J31" s="72">
        <f t="shared" si="2"/>
        <v>36.226412165794478</v>
      </c>
      <c r="K31" s="72">
        <f t="shared" si="3"/>
        <v>77.709999999999994</v>
      </c>
      <c r="L31" s="71">
        <f t="shared" si="4"/>
        <v>202.88377414640269</v>
      </c>
      <c r="P31" s="88"/>
      <c r="Q31" s="71"/>
      <c r="R31" s="71"/>
      <c r="S31" s="71"/>
      <c r="T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Assumptions'!$E$275:$E$298,'PV_.PX.WMV._.PTC.2036'!$B32-2023,1)/INDEX('2025 IRP Assumptions'!$E$275:$E$298,'PV_.PX.WMV._.PTC.2036'!$B32-2023-1,1)</f>
        <v>87.556011806981104</v>
      </c>
      <c r="E32" s="71" cm="1">
        <f t="array" ref="E32">$E$10*INDEX('2025 IRP Assumptions'!$E$275:$E$298,'PV_.PX.WMV._.PTC.2036'!$B32-2023,1)</f>
        <v>32.978213105400002</v>
      </c>
      <c r="F32" s="71" cm="1">
        <f t="array" ref="F32">F31*INDEX('2025 IRP Assumptions'!$E$275:$E$298,'PV_.PX.WMV._.PTC.2036'!$B32-2023,1)/INDEX('2025 IRP Assumptions'!$E$275:$E$298,'PV_.PX.WMV._.PTC.2036'!$B32-2023-1,1)</f>
        <v>86.772415470864118</v>
      </c>
      <c r="G32" s="72">
        <f t="shared" si="1"/>
        <v>96.638177932572603</v>
      </c>
      <c r="H32" s="71"/>
      <c r="I32" s="71"/>
      <c r="J32" s="72">
        <f t="shared" si="2"/>
        <v>96.638177932572603</v>
      </c>
      <c r="K32" s="72">
        <f t="shared" si="3"/>
        <v>207.31</v>
      </c>
      <c r="L32" s="71">
        <f t="shared" si="4"/>
        <v>207.30664038324522</v>
      </c>
      <c r="P32" s="88"/>
      <c r="Q32" s="71"/>
      <c r="R32" s="71"/>
      <c r="S32" s="71"/>
      <c r="T32" s="71"/>
    </row>
    <row r="33" spans="2:20">
      <c r="B33" s="69">
        <f t="shared" si="0"/>
        <v>2047</v>
      </c>
      <c r="C33" s="73"/>
      <c r="D33" s="71" cm="1">
        <f t="array" ref="D33">D32*INDEX('2025 IRP Assumptions'!$E$275:$E$298,'PV_.PX.WMV._.PTC.2036'!$B33-2023,1)/INDEX('2025 IRP Assumptions'!$E$275:$E$298,'PV_.PX.WMV._.PTC.2036'!$B33-2023-1,1)</f>
        <v>89.464732831086081</v>
      </c>
      <c r="E33" s="71" cm="1">
        <f t="array" ref="E33">$E$10*INDEX('2025 IRP Assumptions'!$E$275:$E$298,'PV_.PX.WMV._.PTC.2036'!$B33-2023,1)</f>
        <v>33.69713813856</v>
      </c>
      <c r="F33" s="71" cm="1">
        <f t="array" ref="F33">F32*INDEX('2025 IRP Assumptions'!$E$275:$E$298,'PV_.PX.WMV._.PTC.2036'!$B33-2023,1)/INDEX('2025 IRP Assumptions'!$E$275:$E$298,'PV_.PX.WMV._.PTC.2036'!$B33-2023-1,1)</f>
        <v>88.664054095139647</v>
      </c>
      <c r="G33" s="72">
        <f t="shared" si="1"/>
        <v>98.744890174762588</v>
      </c>
      <c r="H33" s="71"/>
      <c r="I33" s="71"/>
      <c r="J33" s="72">
        <f t="shared" si="2"/>
        <v>98.744890174762588</v>
      </c>
      <c r="K33" s="72">
        <f t="shared" si="3"/>
        <v>211.83</v>
      </c>
      <c r="L33" s="71">
        <f t="shared" si="4"/>
        <v>211.82592506478574</v>
      </c>
      <c r="P33" s="88"/>
      <c r="Q33" s="71"/>
      <c r="R33" s="71"/>
      <c r="S33" s="71"/>
      <c r="T33" s="71"/>
    </row>
    <row r="34" spans="2:20" ht="15">
      <c r="B34" s="69">
        <f t="shared" si="0"/>
        <v>2048</v>
      </c>
      <c r="C34" s="73"/>
      <c r="D34" s="277">
        <f t="shared" ref="D34:E36" si="5">D33*D33/D32</f>
        <v>91.41506397279089</v>
      </c>
      <c r="E34" s="277">
        <f t="shared" si="5"/>
        <v>34.431735737169561</v>
      </c>
      <c r="F34" s="277">
        <f t="shared" ref="F34" si="6">F33*F33/F32</f>
        <v>90.596930440705222</v>
      </c>
      <c r="G34" s="72">
        <f t="shared" si="1"/>
        <v>100.89752874303139</v>
      </c>
      <c r="H34" s="71"/>
      <c r="I34" s="71"/>
      <c r="J34" s="72">
        <f t="shared" si="2"/>
        <v>100.89752874303139</v>
      </c>
      <c r="K34" s="72">
        <f t="shared" si="3"/>
        <v>216.44</v>
      </c>
      <c r="L34" s="71">
        <f t="shared" si="4"/>
        <v>216.44373015066566</v>
      </c>
      <c r="P34" s="88"/>
      <c r="Q34" s="71"/>
      <c r="R34" s="71"/>
      <c r="S34" s="71"/>
      <c r="T34" s="71"/>
    </row>
    <row r="35" spans="2:20" ht="15">
      <c r="B35" s="69">
        <f t="shared" si="0"/>
        <v>2049</v>
      </c>
      <c r="C35" s="73"/>
      <c r="D35" s="277">
        <f t="shared" si="5"/>
        <v>93.407912332643377</v>
      </c>
      <c r="E35" s="277">
        <f t="shared" si="5"/>
        <v>35.182347563149534</v>
      </c>
      <c r="F35" s="277">
        <f t="shared" ref="F35" si="7">F34*F34/F33</f>
        <v>92.571943489869284</v>
      </c>
      <c r="G35" s="72">
        <f t="shared" si="1"/>
        <v>103.09709483127006</v>
      </c>
      <c r="H35" s="71"/>
      <c r="I35" s="71"/>
      <c r="J35" s="72">
        <f t="shared" si="2"/>
        <v>103.09709483127006</v>
      </c>
      <c r="K35" s="72">
        <f t="shared" si="3"/>
        <v>221.16</v>
      </c>
      <c r="L35" s="71">
        <f t="shared" si="4"/>
        <v>221.1622033856622</v>
      </c>
      <c r="P35" s="88"/>
      <c r="Q35" s="71"/>
      <c r="R35" s="71"/>
      <c r="S35" s="71"/>
      <c r="T35" s="71"/>
    </row>
    <row r="36" spans="2:20" ht="15">
      <c r="B36" s="69">
        <f t="shared" si="0"/>
        <v>2050</v>
      </c>
      <c r="C36" s="73"/>
      <c r="D36" s="277">
        <f t="shared" si="5"/>
        <v>95.444204785983004</v>
      </c>
      <c r="E36" s="277">
        <f t="shared" si="5"/>
        <v>35.9493227266505</v>
      </c>
      <c r="F36" s="277">
        <f t="shared" ref="F36" si="8">F35*F35/F34</f>
        <v>94.590011822754249</v>
      </c>
      <c r="G36" s="72">
        <f t="shared" si="1"/>
        <v>105.34461145939611</v>
      </c>
      <c r="H36" s="71"/>
      <c r="I36" s="71"/>
      <c r="J36" s="72">
        <f t="shared" si="2"/>
        <v>105.34461145939611</v>
      </c>
      <c r="K36" s="72">
        <f t="shared" si="3"/>
        <v>225.98</v>
      </c>
      <c r="L36" s="71">
        <f t="shared" si="4"/>
        <v>225.98353933538777</v>
      </c>
      <c r="P36" s="88"/>
      <c r="Q36" s="71"/>
      <c r="R36" s="71"/>
      <c r="S36" s="71"/>
      <c r="T36" s="71"/>
    </row>
    <row r="37" spans="2:20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20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20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20">
      <c r="B42" s="62" t="s">
        <v>60</v>
      </c>
      <c r="C42" s="78" t="s">
        <v>61</v>
      </c>
      <c r="D42" s="159" t="s">
        <v>197</v>
      </c>
    </row>
    <row r="43" spans="2:20">
      <c r="C43" s="78" t="str">
        <f>C7</f>
        <v>(a)</v>
      </c>
      <c r="D43" s="62" t="s">
        <v>62</v>
      </c>
    </row>
    <row r="44" spans="2:20">
      <c r="C44" s="78" t="str">
        <f>D7</f>
        <v>(b)</v>
      </c>
      <c r="D44" s="72" t="str">
        <f>"= "&amp;C7&amp;" x "&amp;C60</f>
        <v>= (a) x 0.06861</v>
      </c>
    </row>
    <row r="45" spans="2:20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20">
      <c r="C46" s="78" t="str">
        <f>J7</f>
        <v>(g)</v>
      </c>
      <c r="D46" s="72" t="str">
        <f>"= "&amp;$G$7&amp;" + "&amp;$H$7</f>
        <v>= (e) + (f)</v>
      </c>
    </row>
    <row r="47" spans="2:20">
      <c r="C47" s="78" t="str">
        <f>K7</f>
        <v>(h)</v>
      </c>
      <c r="D47" t="str">
        <f>D42</f>
        <v>Plant Costs  - 2025 IRP - Table 7.1 &amp; 7.2</v>
      </c>
    </row>
    <row r="48" spans="2:20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2036</v>
      </c>
      <c r="T52" s="174" t="s">
        <v>152</v>
      </c>
    </row>
    <row r="53" spans="2:20">
      <c r="B53" t="s">
        <v>196</v>
      </c>
      <c r="C53" s="168"/>
      <c r="D53" s="62" t="s">
        <v>62</v>
      </c>
      <c r="P53" s="156"/>
      <c r="T53" s="174"/>
    </row>
    <row r="54" spans="2:20">
      <c r="B54" t="s">
        <v>196</v>
      </c>
      <c r="C54" s="85"/>
      <c r="D54" s="62" t="s">
        <v>64</v>
      </c>
      <c r="Q54" s="62" t="s">
        <v>215</v>
      </c>
      <c r="R54" s="62">
        <v>332.98893712037511</v>
      </c>
      <c r="T54" s="62" t="s">
        <v>336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196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283</v>
      </c>
      <c r="E60" s="165"/>
      <c r="J60" s="276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3155-C715-45B6-9B7D-5F0C6444BC28}">
  <sheetPr>
    <tabColor rgb="FFCCFFCC"/>
    <pageSetUpPr fitToPage="1"/>
  </sheetPr>
  <dimension ref="B1:AC89"/>
  <sheetViews>
    <sheetView zoomScale="80" zoomScaleNormal="80" workbookViewId="0">
      <selection activeCell="O6" sqref="O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PV_.PX.YAK._.PTC.Utility_Scale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27%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R5" s="28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S7" s="88"/>
      <c r="U7" s="88"/>
    </row>
    <row r="8" spans="2:29" ht="21.75" customHeight="1">
      <c r="X8" s="74"/>
    </row>
    <row r="9" spans="2:29" ht="15.75">
      <c r="B9" s="38" t="str">
        <f>C50</f>
        <v>PV_.PX.YAK._.PTC.Utility_Scale - 27% Capacity Factor</v>
      </c>
    </row>
    <row r="10" spans="2:29">
      <c r="B10" s="69">
        <v>2024</v>
      </c>
      <c r="C10" s="175">
        <f>INDEX('2025 IRP Assumptions'!$E$2:$E$28,MATCH($T$52,'2025 IRP Assumptions'!$C$2:$C$28,0),1)</f>
        <v>1240.8800000000001</v>
      </c>
      <c r="D10" s="71"/>
      <c r="E10" s="250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1321.6485975202402</v>
      </c>
      <c r="D11" s="71"/>
      <c r="E11" s="71" cm="1">
        <f t="array" ref="E11">$E$10*INDEX('2025 IRP Assumptions'!$E$275:$E$298,'PV_.PX.YAK._.PTC.2032'!$B11-2023,1)</f>
        <v>20.967336</v>
      </c>
      <c r="F11" s="71"/>
      <c r="G11" s="72"/>
      <c r="H11" s="71"/>
      <c r="I11" s="71"/>
      <c r="J11" s="72"/>
      <c r="K11" s="72"/>
      <c r="L11" s="71"/>
      <c r="R11" s="71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1296.47259911336</v>
      </c>
      <c r="D12" s="71"/>
      <c r="E12" s="71" cm="1">
        <f t="array" ref="E12">$E$10*INDEX('2025 IRP Assumptions'!$E$275:$E$298,'PV_.PX.YAK._.PTC.2032'!$B12-2023,1)</f>
        <v>21.424423924799999</v>
      </c>
      <c r="F12" s="71"/>
      <c r="G12" s="72"/>
      <c r="H12" s="71"/>
      <c r="I12" s="71"/>
      <c r="J12" s="72"/>
      <c r="K12" s="72"/>
      <c r="L12" s="71"/>
      <c r="R12" s="71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1269.57082575152</v>
      </c>
      <c r="D13" s="71"/>
      <c r="E13" s="71" cm="1">
        <f t="array" ref="E13">$E$10*INDEX('2025 IRP Assumptions'!$E$275:$E$298,'PV_.PX.YAK._.PTC.2032'!$B13-2023,1)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R13" s="71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1240.8800000000001</v>
      </c>
      <c r="D14" s="71"/>
      <c r="E14" s="71" cm="1">
        <f t="array" ref="E14">$E$10*INDEX('2025 IRP Assumptions'!$E$275:$E$298,'PV_.PX.YAK._.PTC.2032'!$B14-2023,1)</f>
        <v>22.36871055564</v>
      </c>
      <c r="F14" s="284"/>
      <c r="G14" s="72"/>
      <c r="H14" s="71"/>
      <c r="I14" s="71"/>
      <c r="J14" s="72"/>
      <c r="K14" s="72"/>
      <c r="L14" s="71"/>
      <c r="P14" s="88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1210.3349036877601</v>
      </c>
      <c r="D15" s="71"/>
      <c r="E15" s="71" cm="1">
        <f t="array" ref="E15">$E$10*INDEX('2025 IRP Assumptions'!$E$275:$E$298,'PV_.PX.YAK._.PTC.2032'!$B15-2023,1)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1177.8683245496002</v>
      </c>
      <c r="D16" s="71"/>
      <c r="E16" s="71" cm="1">
        <f t="array" ref="E16">$E$10*INDEX('2025 IRP Assumptions'!$E$275:$E$298,'PV_.PX.YAK._.PTC.2032'!$B16-2023,1)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1143.4110028683201</v>
      </c>
      <c r="D17" s="71"/>
      <c r="E17" s="71" cm="1">
        <f t="array" ref="E17">$E$10*INDEX('2025 IRP Assumptions'!$E$275:$E$298,'PV_.PX.YAK._.PTC.2032'!$B17-2023,1)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1106.89157315336</v>
      </c>
      <c r="D18" s="250">
        <f>C18*$C$60</f>
        <v>75.943830834052036</v>
      </c>
      <c r="E18" s="71" cm="1">
        <f t="array" ref="E18">$E$10*INDEX('2025 IRP Assumptions'!$E$275:$E$298,'PV_.PX.YAK._.PTC.2032'!$B18-2023,1)</f>
        <v>24.383977170120001</v>
      </c>
      <c r="F18" s="71"/>
      <c r="G18" s="72">
        <f t="shared" ref="G18:G36" si="1">(D18+E18+F18)/(8.76*$C$61)</f>
        <v>42.455959014457974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-2.6240409855420239</v>
      </c>
      <c r="K18" s="72">
        <f t="shared" ref="K18:K36" si="3">ROUND(J18*$C$61*8.76,2)</f>
        <v>-6.2</v>
      </c>
      <c r="L18" s="71">
        <f t="shared" ref="L18:L36" si="4">(D18+E18+F18)</f>
        <v>100.32780800417204</v>
      </c>
      <c r="P18" s="88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Assumptions'!$E$275:$E$298,'PV_.PX.YAK._.PTC.2032'!$B19-2023,1)/INDEX('2025 IRP Assumptions'!$E$275:$E$298,'PV_.PX.YAK._.PTC.2032'!$B19-2023-1,1)</f>
        <v>77.599406347141866</v>
      </c>
      <c r="E19" s="71" cm="1">
        <f t="array" ref="E19">$E$10*INDEX('2025 IRP Assumptions'!$E$275:$E$298,'PV_.PX.YAK._.PTC.2032'!$B19-2023,1)</f>
        <v>24.915547872719998</v>
      </c>
      <c r="F19" s="71"/>
      <c r="G19" s="72">
        <f t="shared" si="1"/>
        <v>43.381498921480485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-3.0285010785195112</v>
      </c>
      <c r="K19" s="72">
        <f t="shared" si="3"/>
        <v>-7.16</v>
      </c>
      <c r="L19" s="71">
        <f t="shared" si="4"/>
        <v>102.51495421986186</v>
      </c>
      <c r="P19" s="88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Assumptions'!$E$275:$E$298,'PV_.PX.YAK._.PTC.2032'!$B20-2023,1)/INDEX('2025 IRP Assumptions'!$E$275:$E$298,'PV_.PX.YAK._.PTC.2032'!$B20-2023-1,1)</f>
        <v>79.291073463360433</v>
      </c>
      <c r="E20" s="71" cm="1">
        <f t="array" ref="E20">$E$10*INDEX('2025 IRP Assumptions'!$E$275:$E$298,'PV_.PX.YAK._.PTC.2032'!$B20-2023,1)</f>
        <v>25.458706834919997</v>
      </c>
      <c r="F20" s="71"/>
      <c r="G20" s="72">
        <f t="shared" si="1"/>
        <v>44.327215630309958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-3.4127843696900442</v>
      </c>
      <c r="K20" s="72">
        <f t="shared" si="3"/>
        <v>-8.06</v>
      </c>
      <c r="L20" s="71">
        <f t="shared" si="4"/>
        <v>104.74978029828043</v>
      </c>
      <c r="P20" s="88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Assumptions'!$E$275:$E$298,'PV_.PX.YAK._.PTC.2032'!$B21-2023,1)/INDEX('2025 IRP Assumptions'!$E$275:$E$298,'PV_.PX.YAK._.PTC.2032'!$B21-2023-1,1)</f>
        <v>81.01961884455126</v>
      </c>
      <c r="E21" s="71" cm="1">
        <f t="array" ref="E21">$E$10*INDEX('2025 IRP Assumptions'!$E$275:$E$298,'PV_.PX.YAK._.PTC.2032'!$B21-2023,1)</f>
        <v>26.013706637399999</v>
      </c>
      <c r="F21" s="71"/>
      <c r="G21" s="72">
        <f t="shared" si="1"/>
        <v>45.293548919696285</v>
      </c>
      <c r="H21" s="71"/>
      <c r="I21" s="71">
        <f>-INDEX('2025 IRP Assumptions'!$E$243:$E$272,MATCH(B21,'2025 IRP Assumptions'!$S$243:$S$272,0),1)</f>
        <v>-47.74</v>
      </c>
      <c r="J21" s="72">
        <f t="shared" si="2"/>
        <v>-2.4464510803037172</v>
      </c>
      <c r="K21" s="72">
        <f t="shared" si="3"/>
        <v>-5.78</v>
      </c>
      <c r="L21" s="71">
        <f t="shared" si="4"/>
        <v>107.03332548195127</v>
      </c>
      <c r="P21" s="88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Assumptions'!$E$275:$E$298,'PV_.PX.YAK._.PTC.2032'!$B22-2023,1)/INDEX('2025 IRP Assumptions'!$E$275:$E$298,'PV_.PX.YAK._.PTC.2032'!$B22-2023-1,1)</f>
        <v>82.785846535937651</v>
      </c>
      <c r="E22" s="71" cm="1">
        <f t="array" ref="E22">$E$10*INDEX('2025 IRP Assumptions'!$E$275:$E$298,'PV_.PX.YAK._.PTC.2032'!$B22-2023,1)</f>
        <v>26.580805442279999</v>
      </c>
      <c r="F22" s="71"/>
      <c r="G22" s="72">
        <f t="shared" si="1"/>
        <v>46.280948286467215</v>
      </c>
      <c r="H22" s="71"/>
      <c r="I22" s="71">
        <f>-INDEX('2025 IRP Assumptions'!$E$243:$E$272,MATCH(B22,'2025 IRP Assumptions'!$S$243:$S$272,0),1)</f>
        <v>-49.06</v>
      </c>
      <c r="J22" s="72">
        <f t="shared" si="2"/>
        <v>-2.7790517135327875</v>
      </c>
      <c r="K22" s="72">
        <f t="shared" si="3"/>
        <v>-6.57</v>
      </c>
      <c r="L22" s="71">
        <f t="shared" si="4"/>
        <v>109.36665197821765</v>
      </c>
      <c r="P22" s="88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Assumptions'!$E$275:$E$298,'PV_.PX.YAK._.PTC.2032'!$B23-2023,1)/INDEX('2025 IRP Assumptions'!$E$275:$E$298,'PV_.PX.YAK._.PTC.2032'!$B23-2023-1,1)</f>
        <v>84.590577966122709</v>
      </c>
      <c r="E23" s="71" cm="1">
        <f t="array" ref="E23">$E$10*INDEX('2025 IRP Assumptions'!$E$275:$E$298,'PV_.PX.YAK._.PTC.2032'!$B23-2023,1)</f>
        <v>27.160266993119997</v>
      </c>
      <c r="F23" s="71"/>
      <c r="G23" s="72">
        <f t="shared" si="1"/>
        <v>47.289872945528323</v>
      </c>
      <c r="H23" s="71"/>
      <c r="I23" s="71">
        <f>-INDEX('2025 IRP Assumptions'!$E$243:$E$272,MATCH(B23,'2025 IRP Assumptions'!$S$243:$S$272,0),1)</f>
        <v>-50.39</v>
      </c>
      <c r="J23" s="72">
        <f t="shared" si="2"/>
        <v>-3.1001270544716775</v>
      </c>
      <c r="K23" s="72">
        <f t="shared" si="3"/>
        <v>-7.33</v>
      </c>
      <c r="L23" s="71">
        <f t="shared" si="4"/>
        <v>111.7508449592427</v>
      </c>
      <c r="P23" s="88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Assumptions'!$E$275:$E$298,'PV_.PX.YAK._.PTC.2032'!$B24-2023,1)/INDEX('2025 IRP Assumptions'!$E$275:$E$298,'PV_.PX.YAK._.PTC.2032'!$B24-2023-1,1)</f>
        <v>86.4346525861841</v>
      </c>
      <c r="E24" s="71" cm="1">
        <f t="array" ref="E24">$E$10*INDEX('2025 IRP Assumptions'!$E$275:$E$298,'PV_.PX.YAK._.PTC.2032'!$B24-2023,1)</f>
        <v>27.75236082012</v>
      </c>
      <c r="F24" s="71"/>
      <c r="G24" s="72">
        <f t="shared" si="1"/>
        <v>48.320792187145301</v>
      </c>
      <c r="H24" s="71"/>
      <c r="I24" s="71">
        <f>-INDEX('2025 IRP Assumptions'!$E$243:$E$272,MATCH(B24,'2025 IRP Assumptions'!$S$243:$S$272,0),1)</f>
        <v>-51.71</v>
      </c>
      <c r="J24" s="72">
        <f t="shared" si="2"/>
        <v>-3.3892078128546999</v>
      </c>
      <c r="K24" s="72">
        <f t="shared" si="3"/>
        <v>-8.01</v>
      </c>
      <c r="L24" s="71">
        <f t="shared" si="4"/>
        <v>114.1870134063041</v>
      </c>
      <c r="P24" s="88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Assumptions'!$E$275:$E$298,'PV_.PX.YAK._.PTC.2032'!$B25-2023,1)/INDEX('2025 IRP Assumptions'!$E$275:$E$298,'PV_.PX.YAK._.PTC.2032'!$B25-2023-1,1)</f>
        <v>88.318927997493063</v>
      </c>
      <c r="E25" s="71" cm="1">
        <f t="array" ref="E25">$E$10*INDEX('2025 IRP Assumptions'!$E$275:$E$298,'PV_.PX.YAK._.PTC.2032'!$B25-2023,1)</f>
        <v>28.35736228116</v>
      </c>
      <c r="F25" s="71"/>
      <c r="G25" s="72">
        <f t="shared" si="1"/>
        <v>49.374185448400354</v>
      </c>
      <c r="H25" s="71"/>
      <c r="I25" s="71">
        <f>-INDEX('2025 IRP Assumptions'!$E$243:$E$272,MATCH(B25,'2025 IRP Assumptions'!$S$243:$S$272,0),1)</f>
        <v>-51.71</v>
      </c>
      <c r="J25" s="72">
        <f t="shared" si="2"/>
        <v>-2.3358145515996469</v>
      </c>
      <c r="K25" s="72">
        <f t="shared" si="3"/>
        <v>-5.52</v>
      </c>
      <c r="L25" s="71">
        <f t="shared" si="4"/>
        <v>116.67629027865306</v>
      </c>
      <c r="P25" s="88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Assumptions'!$E$275:$E$298,'PV_.PX.YAK._.PTC.2032'!$B26-2023,1)/INDEX('2025 IRP Assumptions'!$E$275:$E$298,'PV_.PX.YAK._.PTC.2032'!$B26-2023-1,1)</f>
        <v>90.244280654718736</v>
      </c>
      <c r="E26" s="71" cm="1">
        <f t="array" ref="E26">$E$10*INDEX('2025 IRP Assumptions'!$E$275:$E$298,'PV_.PX.YAK._.PTC.2032'!$B26-2023,1)</f>
        <v>28.975552787519998</v>
      </c>
      <c r="F26" s="71"/>
      <c r="G26" s="72">
        <f t="shared" si="1"/>
        <v>50.450542706202775</v>
      </c>
      <c r="H26" s="71"/>
      <c r="I26" s="71">
        <f>-INDEX('2025 IRP Assumptions'!$E$243:$E$272,MATCH(B26,'2025 IRP Assumptions'!$S$243:$S$272,0),1)</f>
        <v>-53.04</v>
      </c>
      <c r="J26" s="72">
        <f t="shared" si="2"/>
        <v>-2.5894572937972242</v>
      </c>
      <c r="K26" s="72">
        <f t="shared" si="3"/>
        <v>-6.12</v>
      </c>
      <c r="L26" s="71">
        <f t="shared" si="4"/>
        <v>119.21983344223874</v>
      </c>
      <c r="P26" s="88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Assumptions'!$E$275:$E$298,'PV_.PX.YAK._.PTC.2032'!$B27-2023,1)/INDEX('2025 IRP Assumptions'!$E$275:$E$298,'PV_.PX.YAK._.PTC.2032'!$B27-2023-1,1)</f>
        <v>92.211605929737658</v>
      </c>
      <c r="E27" s="71" cm="1">
        <f t="array" ref="E27">$E$10*INDEX('2025 IRP Assumptions'!$E$275:$E$298,'PV_.PX.YAK._.PTC.2032'!$B27-2023,1)</f>
        <v>29.607219824399998</v>
      </c>
      <c r="F27" s="71"/>
      <c r="G27" s="72">
        <f t="shared" si="1"/>
        <v>51.550364513017129</v>
      </c>
      <c r="H27" s="71"/>
      <c r="I27" s="71"/>
      <c r="J27" s="72">
        <f t="shared" si="2"/>
        <v>51.550364513017129</v>
      </c>
      <c r="K27" s="72">
        <f t="shared" si="3"/>
        <v>121.82</v>
      </c>
      <c r="L27" s="71">
        <f t="shared" si="4"/>
        <v>121.81882575413766</v>
      </c>
      <c r="P27" s="88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Assumptions'!$E$275:$E$298,'PV_.PX.YAK._.PTC.2032'!$B28-2023,1)/INDEX('2025 IRP Assumptions'!$E$275:$E$298,'PV_.PX.YAK._.PTC.2032'!$B28-2023-1,1)</f>
        <v>94.221818942457062</v>
      </c>
      <c r="E28" s="71" cm="1">
        <f t="array" ref="E28">$E$10*INDEX('2025 IRP Assumptions'!$E$275:$E$298,'PV_.PX.YAK._.PTC.2032'!$B28-2023,1)</f>
        <v>30.252657217679999</v>
      </c>
      <c r="F28" s="71"/>
      <c r="G28" s="72">
        <f t="shared" si="1"/>
        <v>52.674162461330226</v>
      </c>
      <c r="H28" s="71"/>
      <c r="I28" s="71"/>
      <c r="J28" s="72">
        <f t="shared" si="2"/>
        <v>52.674162461330226</v>
      </c>
      <c r="K28" s="72">
        <f t="shared" si="3"/>
        <v>124.47</v>
      </c>
      <c r="L28" s="71">
        <f t="shared" si="4"/>
        <v>124.47447616013706</v>
      </c>
      <c r="P28" s="88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Assumptions'!$E$275:$E$298,'PV_.PX.YAK._.PTC.2032'!$B29-2023,1)/INDEX('2025 IRP Assumptions'!$E$275:$E$298,'PV_.PX.YAK._.PTC.2032'!$B29-2023-1,1)</f>
        <v>96.275854624724303</v>
      </c>
      <c r="E29" s="71" cm="1">
        <f t="array" ref="E29">$E$10*INDEX('2025 IRP Assumptions'!$E$275:$E$298,'PV_.PX.YAK._.PTC.2032'!$B29-2023,1)</f>
        <v>30.91216515444</v>
      </c>
      <c r="F29" s="71"/>
      <c r="G29" s="72">
        <f t="shared" si="1"/>
        <v>53.82245921937934</v>
      </c>
      <c r="H29" s="71"/>
      <c r="I29" s="71"/>
      <c r="J29" s="72">
        <f t="shared" si="2"/>
        <v>53.82245921937934</v>
      </c>
      <c r="K29" s="72">
        <f t="shared" si="3"/>
        <v>127.19</v>
      </c>
      <c r="L29" s="71">
        <f t="shared" si="4"/>
        <v>127.18801977916431</v>
      </c>
      <c r="P29" s="88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Assumptions'!$E$275:$E$298,'PV_.PX.YAK._.PTC.2032'!$B30-2023,1)/INDEX('2025 IRP Assumptions'!$E$275:$E$298,'PV_.PX.YAK._.PTC.2032'!$B30-2023-1,1)</f>
        <v>98.374668231602811</v>
      </c>
      <c r="E30" s="71" cm="1">
        <f t="array" ref="E30">$E$10*INDEX('2025 IRP Assumptions'!$E$275:$E$298,'PV_.PX.YAK._.PTC.2032'!$B30-2023,1)</f>
        <v>31.58605034712</v>
      </c>
      <c r="F30" s="71"/>
      <c r="G30" s="72">
        <f t="shared" si="1"/>
        <v>54.995788816978013</v>
      </c>
      <c r="H30" s="71"/>
      <c r="I30" s="71"/>
      <c r="J30" s="72">
        <f t="shared" si="2"/>
        <v>54.995788816978013</v>
      </c>
      <c r="K30" s="72">
        <f t="shared" si="3"/>
        <v>129.96</v>
      </c>
      <c r="L30" s="71">
        <f t="shared" si="4"/>
        <v>129.9607185787228</v>
      </c>
      <c r="P30" s="88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Assumptions'!$E$275:$E$298,'PV_.PX.YAK._.PTC.2032'!$B31-2023,1)/INDEX('2025 IRP Assumptions'!$E$275:$E$298,'PV_.PX.YAK._.PTC.2032'!$B31-2023-1,1)</f>
        <v>100.51923604437636</v>
      </c>
      <c r="E31" s="71" cm="1">
        <f t="array" ref="E31">$E$10*INDEX('2025 IRP Assumptions'!$E$275:$E$298,'PV_.PX.YAK._.PTC.2032'!$B31-2023,1)</f>
        <v>32.274626259240002</v>
      </c>
      <c r="F31" s="71"/>
      <c r="G31" s="72">
        <f t="shared" si="1"/>
        <v>56.194697038526598</v>
      </c>
      <c r="H31" s="71"/>
      <c r="I31" s="71"/>
      <c r="J31" s="72">
        <f t="shared" si="2"/>
        <v>56.194697038526598</v>
      </c>
      <c r="K31" s="72">
        <f t="shared" si="3"/>
        <v>132.79</v>
      </c>
      <c r="L31" s="71">
        <f t="shared" si="4"/>
        <v>132.79386230361635</v>
      </c>
      <c r="P31" s="88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Assumptions'!$E$275:$E$298,'PV_.PX.YAK._.PTC.2032'!$B32-2023,1)/INDEX('2025 IRP Assumptions'!$E$275:$E$298,'PV_.PX.YAK._.PTC.2032'!$B32-2023-1,1)</f>
        <v>102.71055537054912</v>
      </c>
      <c r="E32" s="71" cm="1">
        <f t="array" ref="E32">$E$10*INDEX('2025 IRP Assumptions'!$E$275:$E$298,'PV_.PX.YAK._.PTC.2032'!$B32-2023,1)</f>
        <v>32.978213105400002</v>
      </c>
      <c r="F32" s="71"/>
      <c r="G32" s="72">
        <f t="shared" si="1"/>
        <v>57.419741423012212</v>
      </c>
      <c r="H32" s="71"/>
      <c r="I32" s="71"/>
      <c r="J32" s="72">
        <f t="shared" si="2"/>
        <v>57.419741423012212</v>
      </c>
      <c r="K32" s="72">
        <f t="shared" si="3"/>
        <v>135.69</v>
      </c>
      <c r="L32" s="71">
        <f t="shared" si="4"/>
        <v>135.68876847594913</v>
      </c>
      <c r="P32" s="88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Assumptions'!$E$275:$E$298,'PV_.PX.YAK._.PTC.2032'!$B33-2023,1)/INDEX('2025 IRP Assumptions'!$E$275:$E$298,'PV_.PX.YAK._.PTC.2032'!$B33-2023-1,1)</f>
        <v>104.94964543857839</v>
      </c>
      <c r="E33" s="71" cm="1">
        <f t="array" ref="E33">$E$10*INDEX('2025 IRP Assumptions'!$E$275:$E$298,'PV_.PX.YAK._.PTC.2032'!$B33-2023,1)</f>
        <v>33.69713813856</v>
      </c>
      <c r="F33" s="71"/>
      <c r="G33" s="72">
        <f t="shared" si="1"/>
        <v>58.671491764203921</v>
      </c>
      <c r="H33" s="71"/>
      <c r="I33" s="71"/>
      <c r="J33" s="72">
        <f t="shared" si="2"/>
        <v>58.671491764203921</v>
      </c>
      <c r="K33" s="72">
        <f t="shared" si="3"/>
        <v>138.65</v>
      </c>
      <c r="L33" s="71">
        <f t="shared" si="4"/>
        <v>138.64678357713839</v>
      </c>
      <c r="P33" s="88"/>
      <c r="R33" s="71"/>
    </row>
    <row r="34" spans="2:18" ht="15">
      <c r="B34" s="69">
        <f t="shared" si="0"/>
        <v>2048</v>
      </c>
      <c r="C34" s="73"/>
      <c r="D34" s="277">
        <f t="shared" ref="D34:E36" si="5">D33*D33/D32</f>
        <v>107.23754766923943</v>
      </c>
      <c r="E34" s="277">
        <f t="shared" si="5"/>
        <v>34.431735737169561</v>
      </c>
      <c r="F34" s="71"/>
      <c r="G34" s="72">
        <f t="shared" si="1"/>
        <v>59.950530262357724</v>
      </c>
      <c r="H34" s="71"/>
      <c r="I34" s="71"/>
      <c r="J34" s="72">
        <f t="shared" si="2"/>
        <v>59.950530262357724</v>
      </c>
      <c r="K34" s="72">
        <f t="shared" si="3"/>
        <v>141.66999999999999</v>
      </c>
      <c r="L34" s="71">
        <f t="shared" si="4"/>
        <v>141.66928340640899</v>
      </c>
      <c r="P34" s="88"/>
      <c r="R34" s="71"/>
    </row>
    <row r="35" spans="2:18" ht="15">
      <c r="B35" s="69">
        <f t="shared" si="0"/>
        <v>2049</v>
      </c>
      <c r="C35" s="73"/>
      <c r="D35" s="277">
        <f t="shared" si="5"/>
        <v>109.57532616765907</v>
      </c>
      <c r="E35" s="277">
        <f t="shared" si="5"/>
        <v>35.182347563149534</v>
      </c>
      <c r="F35" s="71"/>
      <c r="G35" s="72">
        <f t="shared" si="1"/>
        <v>61.257451799285015</v>
      </c>
      <c r="H35" s="71"/>
      <c r="I35" s="71"/>
      <c r="J35" s="72">
        <f t="shared" si="2"/>
        <v>61.257451799285015</v>
      </c>
      <c r="K35" s="72">
        <f t="shared" si="3"/>
        <v>144.76</v>
      </c>
      <c r="L35" s="71">
        <f t="shared" si="4"/>
        <v>144.75767373080862</v>
      </c>
      <c r="P35" s="88"/>
      <c r="R35" s="71"/>
    </row>
    <row r="36" spans="2:18" ht="15">
      <c r="B36" s="69">
        <f t="shared" si="0"/>
        <v>2050</v>
      </c>
      <c r="C36" s="73"/>
      <c r="D36" s="277">
        <f t="shared" si="5"/>
        <v>111.96406823645547</v>
      </c>
      <c r="E36" s="277">
        <f t="shared" si="5"/>
        <v>35.9493227266505</v>
      </c>
      <c r="F36" s="71"/>
      <c r="G36" s="72">
        <f t="shared" si="1"/>
        <v>62.592864225220445</v>
      </c>
      <c r="H36" s="71"/>
      <c r="I36" s="71"/>
      <c r="J36" s="72">
        <f t="shared" si="2"/>
        <v>62.592864225220445</v>
      </c>
      <c r="K36" s="72">
        <f t="shared" si="3"/>
        <v>147.91</v>
      </c>
      <c r="L36" s="71">
        <f t="shared" si="4"/>
        <v>147.91339096310597</v>
      </c>
      <c r="P36" s="88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197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27.0%)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PV_.PX.YAK._.PTC.Utility_Scale - 27%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153</v>
      </c>
    </row>
    <row r="53" spans="2:20">
      <c r="B53" t="s">
        <v>196</v>
      </c>
      <c r="C53" s="168"/>
      <c r="D53" s="62" t="s">
        <v>62</v>
      </c>
      <c r="P53" s="156"/>
      <c r="T53" s="174"/>
    </row>
    <row r="54" spans="2:20">
      <c r="B54" t="s">
        <v>196</v>
      </c>
      <c r="C54" s="85"/>
      <c r="D54" s="62" t="s">
        <v>64</v>
      </c>
      <c r="Q54" s="62" t="s">
        <v>215</v>
      </c>
      <c r="R54" s="62">
        <v>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196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283</v>
      </c>
      <c r="E60" s="165"/>
      <c r="J60" s="276"/>
      <c r="L60" s="158"/>
      <c r="M60" s="90"/>
      <c r="N60" s="90"/>
      <c r="P60" s="91"/>
    </row>
    <row r="61" spans="2:20">
      <c r="C61" s="173">
        <v>0.2697606268956857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view="pageBreakPreview" topLeftCell="A7" zoomScale="70" zoomScaleNormal="80" zoomScaleSheetLayoutView="70" workbookViewId="0">
      <selection activeCell="G22" sqref="G22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3" customWidth="1"/>
    <col min="19" max="20" width="2.33203125" customWidth="1"/>
    <col min="21" max="21" width="16.33203125" customWidth="1"/>
    <col min="22" max="25" width="1.1640625" customWidth="1"/>
    <col min="26" max="26" width="1.1640625" style="46" customWidth="1"/>
    <col min="27" max="30" width="1.1640625" customWidth="1"/>
    <col min="31" max="31" width="2.33203125" customWidth="1"/>
    <col min="32" max="32" width="15.1640625" customWidth="1"/>
    <col min="33" max="33" width="2.1640625" customWidth="1"/>
    <col min="34" max="34" width="15.1640625" customWidth="1"/>
    <col min="35" max="35" width="2.83203125" customWidth="1"/>
    <col min="36" max="39" width="2.1640625" customWidth="1"/>
    <col min="40" max="40" width="2.33203125" customWidth="1"/>
    <col min="41" max="48" width="3.5" customWidth="1"/>
    <col min="50" max="51" width="10" customWidth="1"/>
    <col min="52" max="54" width="2.6640625" customWidth="1"/>
    <col min="55" max="55" width="15.33203125" customWidth="1"/>
    <col min="56" max="65" width="1.33203125" customWidth="1"/>
    <col min="66" max="66" width="15.33203125" customWidth="1"/>
    <col min="67" max="67" width="2.33203125" customWidth="1"/>
    <col min="68" max="68" width="15.33203125" customWidth="1"/>
    <col min="69" max="69" width="1.33203125" customWidth="1"/>
    <col min="70" max="84" width="2.33203125" customWidth="1"/>
    <col min="85" max="85" width="10.6640625" customWidth="1"/>
    <col min="86" max="87" width="16.1640625" customWidth="1"/>
    <col min="88" max="90" width="2.33203125" customWidth="1"/>
    <col min="91" max="91" width="16.6640625" customWidth="1"/>
    <col min="92" max="100" width="2.83203125" customWidth="1"/>
    <col min="101" max="102" width="16" customWidth="1"/>
    <col min="103" max="103" width="1.83203125" customWidth="1"/>
    <col min="104" max="105" width="16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94" t="s">
        <v>55</v>
      </c>
      <c r="Q4" s="94"/>
      <c r="R4" s="94"/>
    </row>
    <row r="5" spans="1:161" ht="15.75">
      <c r="A5"/>
      <c r="B5" s="4" t="str">
        <f ca="1">'Table 5'!M4&amp; " - "&amp;TEXT(Study_MW,"#.0")&amp;" MW and "&amp;TEXT(Study_CF,"#.0%")&amp;" CF"</f>
        <v>QF - Sch38 - UT - Solar T - 80.0 MW and 30.2% CF</v>
      </c>
      <c r="C5" s="4"/>
      <c r="D5" s="4"/>
      <c r="E5" s="4"/>
      <c r="F5" s="4"/>
      <c r="G5" s="1"/>
      <c r="H5" s="33"/>
      <c r="P5" s="393">
        <v>0.25792015761805415</v>
      </c>
      <c r="Q5" s="393">
        <v>0.25792015761805415</v>
      </c>
      <c r="R5" s="393"/>
      <c r="S5" s="393"/>
      <c r="T5" s="393"/>
      <c r="U5" s="393">
        <v>0.36325285332579199</v>
      </c>
      <c r="V5" s="393"/>
      <c r="W5" s="393"/>
      <c r="X5" s="393"/>
      <c r="Y5" s="393"/>
      <c r="Z5" s="393"/>
      <c r="AA5" s="393"/>
      <c r="AB5" s="393"/>
      <c r="AC5" s="393"/>
      <c r="AD5" s="393"/>
      <c r="AE5" s="393"/>
      <c r="AF5" s="393">
        <v>0.10731919069805435</v>
      </c>
      <c r="AG5" s="393"/>
      <c r="AH5" s="393">
        <v>0.10731919069805435</v>
      </c>
      <c r="AI5" s="393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FD5" s="397"/>
      <c r="FE5" t="s">
        <v>78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103" customFormat="1" ht="63.75">
      <c r="B7" s="105"/>
      <c r="C7" s="324"/>
      <c r="D7" s="324"/>
      <c r="E7" s="105"/>
      <c r="F7" s="105"/>
      <c r="G7" s="105"/>
      <c r="H7" s="109"/>
      <c r="N7" s="103" t="s">
        <v>332</v>
      </c>
      <c r="P7" s="103" t="str">
        <f>CH7</f>
        <v>WD_.PX.WYE._.PTC.Utility_Scale</v>
      </c>
      <c r="Q7" s="103" t="str">
        <f t="shared" ref="Q7:AH7" si="0">CI7</f>
        <v>WD_.PX.WYE._.PTC.Utility_Scale</v>
      </c>
      <c r="U7" s="103" t="str">
        <f t="shared" si="0"/>
        <v>WD_.PX.WMV._.PTC.Utility_Scale</v>
      </c>
      <c r="AF7" s="103" t="str">
        <f t="shared" si="0"/>
        <v>PV_.PX.WMV._.PTC.Utility_Scale</v>
      </c>
      <c r="AH7" s="103" t="str">
        <f t="shared" si="0"/>
        <v>PV_.PX.WMV._.PTC.Utility_Scale</v>
      </c>
      <c r="AW7" s="112" t="s">
        <v>70</v>
      </c>
      <c r="AX7" s="103" t="str">
        <f>CH7</f>
        <v>WD_.PX.WYE._.PTC.Utility_Scale</v>
      </c>
      <c r="AY7" s="103" t="str">
        <f t="shared" ref="AY7:BP7" si="1">CI7</f>
        <v>WD_.PX.WYE._.PTC.Utility_Scale</v>
      </c>
      <c r="BC7" s="103" t="str">
        <f t="shared" si="1"/>
        <v>WD_.PX.WMV._.PTC.Utility_Scale</v>
      </c>
      <c r="BN7" s="103" t="str">
        <f t="shared" si="1"/>
        <v>PV_.PX.WMV._.PTC.Utility_Scale</v>
      </c>
      <c r="BP7" s="103" t="str">
        <f t="shared" si="1"/>
        <v>PV_.PX.WMV._.PTC.Utility_Scale</v>
      </c>
      <c r="CG7" s="103" t="s">
        <v>333</v>
      </c>
      <c r="CH7" s="103" t="s">
        <v>162</v>
      </c>
      <c r="CI7" s="103" t="s">
        <v>162</v>
      </c>
      <c r="CM7" s="103" t="str">
        <f t="shared" ref="CM7" si="2">CM8</f>
        <v>WD_.PX.WMV._.PTC.Utility_Scale</v>
      </c>
      <c r="CX7" s="103" t="str">
        <f>CX8</f>
        <v>PV_.PX.WMV._.PTC.Utility_Scale</v>
      </c>
      <c r="CZ7" s="103" t="str">
        <f>CZ8</f>
        <v>PV_.PX.WMV._.PTC.Utility_Scale</v>
      </c>
    </row>
    <row r="8" spans="1:161" s="103" customFormat="1" ht="40.700000000000003" customHeight="1">
      <c r="B8" s="105"/>
      <c r="C8" s="105"/>
      <c r="D8" s="105"/>
      <c r="E8" s="106"/>
      <c r="F8" s="107"/>
      <c r="G8" s="106" t="s">
        <v>14</v>
      </c>
      <c r="H8" s="109"/>
      <c r="I8" s="111"/>
      <c r="K8"/>
      <c r="L8"/>
      <c r="M8"/>
      <c r="P8" s="103" t="str">
        <f t="shared" ref="P8:AH9" si="3">AX8</f>
        <v>WD_.PX.DJW._.PTC.Utility_Scale</v>
      </c>
      <c r="Q8" s="103" t="str">
        <f t="shared" ref="Q8" si="4">AY8</f>
        <v>WD_.PX.DJW._.PTC.Utility_Scale</v>
      </c>
      <c r="U8" s="103" t="str">
        <f t="shared" ref="U8" si="5">BC8</f>
        <v>WD_.PX.WMV._.PTC.Utility_Scale</v>
      </c>
      <c r="AF8" s="103" t="str">
        <f t="shared" ref="AF8" si="6">BN8</f>
        <v>PV_.PX.WMV._.PTC.Utility_Scale</v>
      </c>
      <c r="AH8" s="103" t="str">
        <f t="shared" ref="AH8" si="7">BP8</f>
        <v>PV_.PX.WMV._.PTC.Utility_Scale</v>
      </c>
      <c r="AX8" s="103" t="str">
        <f>CH8</f>
        <v>WD_.PX.DJW._.PTC.Utility_Scale</v>
      </c>
      <c r="AY8" s="103" t="str">
        <f t="shared" ref="AY8:BP8" si="8">CI8</f>
        <v>WD_.PX.DJW._.PTC.Utility_Scale</v>
      </c>
      <c r="BC8" s="103" t="str">
        <f t="shared" si="8"/>
        <v>WD_.PX.WMV._.PTC.Utility_Scale</v>
      </c>
      <c r="BN8" s="103" t="str">
        <f t="shared" si="8"/>
        <v>PV_.PX.WMV._.PTC.Utility_Scale</v>
      </c>
      <c r="BP8" s="103" t="str">
        <f t="shared" si="8"/>
        <v>PV_.PX.WMV._.PTC.Utility_Scale</v>
      </c>
      <c r="CG8" s="112" t="s">
        <v>71</v>
      </c>
      <c r="CH8" s="103" t="s">
        <v>157</v>
      </c>
      <c r="CI8" s="103" t="s">
        <v>157</v>
      </c>
      <c r="CM8" s="103" t="s">
        <v>158</v>
      </c>
      <c r="CX8" s="103" t="s">
        <v>152</v>
      </c>
      <c r="CZ8" s="103" t="s">
        <v>152</v>
      </c>
      <c r="DR8" s="112" t="s">
        <v>72</v>
      </c>
      <c r="DS8" s="112"/>
      <c r="DT8" s="112"/>
      <c r="FD8" s="99" t="s">
        <v>71</v>
      </c>
      <c r="FE8" s="100" t="s">
        <v>72</v>
      </c>
    </row>
    <row r="9" spans="1:161" s="103" customFormat="1" ht="76.7" customHeight="1">
      <c r="B9" s="105"/>
      <c r="C9" s="106" t="s">
        <v>6</v>
      </c>
      <c r="D9" s="106"/>
      <c r="E9" s="106" t="s">
        <v>18</v>
      </c>
      <c r="F9" s="107"/>
      <c r="G9" s="108">
        <f ca="1">Study_CF</f>
        <v>0.3019</v>
      </c>
      <c r="H9" s="33"/>
      <c r="K9"/>
      <c r="L9"/>
      <c r="M9"/>
      <c r="P9" s="251" t="str">
        <f t="shared" si="3"/>
        <v>WD_.PX.DJW._.PTC.Utility_Scale2028</v>
      </c>
      <c r="Q9" s="251" t="str">
        <f t="shared" si="3"/>
        <v>WD_.PX.DJW._.PTC.Utility_Scale2029</v>
      </c>
      <c r="R9" s="251"/>
      <c r="S9" s="251"/>
      <c r="T9" s="251"/>
      <c r="U9" s="251" t="str">
        <f t="shared" si="3"/>
        <v>WD_.PX.WMV._.PTC.Utility_Scale2032</v>
      </c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 t="str">
        <f t="shared" si="3"/>
        <v>PV_.PX.WMV._.PTC.Utility_Scale2032</v>
      </c>
      <c r="AG9" s="198"/>
      <c r="AH9" s="198" t="str">
        <f t="shared" si="3"/>
        <v>PV_.PX.WMV._.PTC.Utility_Scale2036</v>
      </c>
      <c r="AI9" s="198"/>
      <c r="AJ9" s="198"/>
      <c r="AK9" s="198"/>
      <c r="AL9" s="198"/>
      <c r="AX9" s="251" t="str">
        <f>CH9</f>
        <v>WD_.PX.DJW._.PTC.Utility_Scale2028</v>
      </c>
      <c r="AY9" s="251" t="str">
        <f t="shared" ref="AY9" si="9">CI9</f>
        <v>WD_.PX.DJW._.PTC.Utility_Scale2029</v>
      </c>
      <c r="AZ9" s="251"/>
      <c r="BA9" s="251"/>
      <c r="BB9" s="251"/>
      <c r="BC9" s="251" t="str">
        <f t="shared" ref="BC9:BP9" si="10">CM9</f>
        <v>WD_.PX.WMV._.PTC.Utility_Scale2032</v>
      </c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 t="str">
        <f t="shared" si="10"/>
        <v>PV_.PX.WMV._.PTC.Utility_Scale2032</v>
      </c>
      <c r="BO9" s="198"/>
      <c r="BP9" s="198" t="str">
        <f t="shared" si="10"/>
        <v>PV_.PX.WMV._.PTC.Utility_Scale2036</v>
      </c>
      <c r="BQ9" s="198"/>
      <c r="BR9" s="198"/>
      <c r="BS9" s="198"/>
      <c r="BT9" s="198"/>
      <c r="BU9" s="198"/>
      <c r="CH9" s="251" t="s">
        <v>278</v>
      </c>
      <c r="CI9" s="251" t="s">
        <v>279</v>
      </c>
      <c r="CJ9" s="251"/>
      <c r="CK9" s="251"/>
      <c r="CL9" s="251"/>
      <c r="CM9" s="251" t="s">
        <v>280</v>
      </c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 t="s">
        <v>275</v>
      </c>
      <c r="CY9" s="198"/>
      <c r="CZ9" s="198" t="s">
        <v>276</v>
      </c>
      <c r="DA9" s="198"/>
      <c r="DR9" s="103" t="str">
        <f t="shared" ref="DR9:ET9" si="11">CH9</f>
        <v>WD_.PX.DJW._.PTC.Utility_Scale2028</v>
      </c>
      <c r="DS9" s="103" t="str">
        <f t="shared" si="11"/>
        <v>WD_.PX.DJW._.PTC.Utility_Scale2029</v>
      </c>
      <c r="DT9" s="103">
        <f t="shared" si="11"/>
        <v>0</v>
      </c>
      <c r="DU9" s="103">
        <f t="shared" si="11"/>
        <v>0</v>
      </c>
      <c r="DV9" s="114">
        <f t="shared" si="11"/>
        <v>0</v>
      </c>
      <c r="DW9" s="103" t="str">
        <f t="shared" si="11"/>
        <v>WD_.PX.WMV._.PTC.Utility_Scale2032</v>
      </c>
      <c r="DX9" s="114">
        <f t="shared" si="11"/>
        <v>0</v>
      </c>
      <c r="DY9" s="103">
        <f t="shared" si="11"/>
        <v>0</v>
      </c>
      <c r="DZ9" s="103">
        <f t="shared" si="11"/>
        <v>0</v>
      </c>
      <c r="EA9" s="103">
        <f t="shared" si="11"/>
        <v>0</v>
      </c>
      <c r="EB9" s="103">
        <f t="shared" si="11"/>
        <v>0</v>
      </c>
      <c r="EC9" s="103">
        <f t="shared" si="11"/>
        <v>0</v>
      </c>
      <c r="ED9" s="103">
        <f t="shared" si="11"/>
        <v>0</v>
      </c>
      <c r="EE9" s="103">
        <f t="shared" si="11"/>
        <v>0</v>
      </c>
      <c r="EF9" s="103">
        <f t="shared" si="11"/>
        <v>0</v>
      </c>
      <c r="EG9" s="103">
        <f t="shared" si="11"/>
        <v>0</v>
      </c>
      <c r="EH9" s="103" t="str">
        <f t="shared" si="11"/>
        <v>PV_.PX.WMV._.PTC.Utility_Scale2032</v>
      </c>
      <c r="EI9" s="103">
        <f t="shared" si="11"/>
        <v>0</v>
      </c>
      <c r="EJ9" s="103" t="str">
        <f t="shared" si="11"/>
        <v>PV_.PX.WMV._.PTC.Utility_Scale2036</v>
      </c>
      <c r="EK9" s="103">
        <f t="shared" si="11"/>
        <v>0</v>
      </c>
      <c r="EL9" s="103">
        <f t="shared" si="11"/>
        <v>0</v>
      </c>
      <c r="EM9" s="103">
        <f t="shared" si="11"/>
        <v>0</v>
      </c>
      <c r="EN9" s="103">
        <f t="shared" si="11"/>
        <v>0</v>
      </c>
      <c r="EO9" s="103">
        <f t="shared" si="11"/>
        <v>0</v>
      </c>
      <c r="EP9" s="103">
        <f t="shared" si="11"/>
        <v>0</v>
      </c>
      <c r="EQ9" s="103">
        <f t="shared" si="11"/>
        <v>0</v>
      </c>
      <c r="ER9" s="103">
        <f t="shared" si="11"/>
        <v>0</v>
      </c>
      <c r="ES9" s="103">
        <f t="shared" si="11"/>
        <v>0</v>
      </c>
      <c r="ET9" s="103">
        <f t="shared" si="11"/>
        <v>0</v>
      </c>
      <c r="FA9" s="103" t="s">
        <v>73</v>
      </c>
      <c r="FD9" s="103" t="s">
        <v>335</v>
      </c>
      <c r="FE9" s="103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91"/>
      <c r="I10" s="196"/>
      <c r="J10" s="191"/>
      <c r="K10" s="196"/>
    </row>
    <row r="11" spans="1:161" ht="13.5">
      <c r="A11"/>
      <c r="B11" s="5"/>
      <c r="C11" s="5" t="s">
        <v>16</v>
      </c>
      <c r="D11" s="5"/>
      <c r="E11" s="254" t="s">
        <v>50</v>
      </c>
      <c r="F11" s="35"/>
      <c r="G11" s="5" t="s">
        <v>31</v>
      </c>
      <c r="H11" s="5"/>
      <c r="I11" s="5"/>
      <c r="J11" s="191"/>
      <c r="P11" t="s">
        <v>32</v>
      </c>
      <c r="Q11" t="s">
        <v>32</v>
      </c>
      <c r="U11" t="s">
        <v>32</v>
      </c>
      <c r="AF11" t="s">
        <v>32</v>
      </c>
      <c r="AH11" t="s">
        <v>32</v>
      </c>
      <c r="AX11" t="s">
        <v>32</v>
      </c>
      <c r="AY11" t="s">
        <v>32</v>
      </c>
      <c r="BC11" t="s">
        <v>32</v>
      </c>
      <c r="BN11" t="s">
        <v>32</v>
      </c>
      <c r="BP11" t="s">
        <v>32</v>
      </c>
      <c r="CH11" t="s">
        <v>74</v>
      </c>
      <c r="CI11" t="s">
        <v>74</v>
      </c>
      <c r="CM11" t="s">
        <v>74</v>
      </c>
      <c r="CX11" t="s">
        <v>74</v>
      </c>
      <c r="CZ11" t="s">
        <v>74</v>
      </c>
      <c r="DR11" t="s">
        <v>75</v>
      </c>
      <c r="DS11" t="s">
        <v>75</v>
      </c>
      <c r="DT11" t="s">
        <v>75</v>
      </c>
      <c r="DU11" t="s">
        <v>75</v>
      </c>
      <c r="DV11" t="s">
        <v>75</v>
      </c>
      <c r="DW11" t="s">
        <v>75</v>
      </c>
      <c r="DX11" t="s">
        <v>75</v>
      </c>
      <c r="DY11" t="s">
        <v>75</v>
      </c>
      <c r="DZ11" t="s">
        <v>75</v>
      </c>
      <c r="EA11" t="s">
        <v>75</v>
      </c>
      <c r="EB11" t="s">
        <v>75</v>
      </c>
      <c r="EC11" t="s">
        <v>75</v>
      </c>
      <c r="ED11" t="s">
        <v>75</v>
      </c>
      <c r="EE11" t="s">
        <v>75</v>
      </c>
      <c r="EF11" t="s">
        <v>75</v>
      </c>
      <c r="EG11" t="s">
        <v>75</v>
      </c>
      <c r="EH11" t="s">
        <v>75</v>
      </c>
      <c r="EI11" t="s">
        <v>75</v>
      </c>
      <c r="EJ11" t="s">
        <v>75</v>
      </c>
      <c r="EK11" t="s">
        <v>75</v>
      </c>
      <c r="EL11" t="s">
        <v>75</v>
      </c>
      <c r="EM11" t="s">
        <v>75</v>
      </c>
      <c r="EN11" t="s">
        <v>75</v>
      </c>
      <c r="EO11" t="s">
        <v>75</v>
      </c>
      <c r="EP11" t="s">
        <v>75</v>
      </c>
      <c r="EQ11" t="s">
        <v>75</v>
      </c>
      <c r="ER11" t="s">
        <v>75</v>
      </c>
      <c r="ES11" t="s">
        <v>75</v>
      </c>
      <c r="ET11" t="s">
        <v>75</v>
      </c>
      <c r="FA11" t="s">
        <v>75</v>
      </c>
      <c r="FD11" t="s">
        <v>74</v>
      </c>
      <c r="FE11" t="s">
        <v>75</v>
      </c>
    </row>
    <row r="12" spans="1:161">
      <c r="A12"/>
      <c r="B12" s="5"/>
      <c r="C12" s="119"/>
      <c r="D12" s="5"/>
      <c r="E12" s="5"/>
      <c r="F12" s="5"/>
      <c r="H12" s="109"/>
      <c r="I12" s="105"/>
      <c r="J12" s="103"/>
      <c r="K12" s="103"/>
      <c r="L12" s="103"/>
      <c r="M12" s="103"/>
    </row>
    <row r="13" spans="1:161">
      <c r="A13"/>
      <c r="B13" s="255">
        <f>'Table 5'!J13</f>
        <v>2025</v>
      </c>
      <c r="C13" s="8">
        <f t="shared" ref="C13:C32" si="12">(INDEX($FA:$FA,MATCH(B13,$O:$O,0),1)+INDEX($FE:$FE,MATCH(B13,$O:$O,0),1))*1000/Study_MW</f>
        <v>0</v>
      </c>
      <c r="D13" s="256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21.550799899865304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21.550799899865304</v>
      </c>
      <c r="H13" s="8"/>
      <c r="I13" s="8"/>
      <c r="J13" s="8"/>
      <c r="K13" s="8"/>
      <c r="O13">
        <f t="shared" ref="O13:O32" si="13">B13</f>
        <v>2025</v>
      </c>
      <c r="P13">
        <v>0</v>
      </c>
      <c r="Q13">
        <v>0</v>
      </c>
      <c r="U13">
        <v>0</v>
      </c>
      <c r="Z13"/>
      <c r="AF13">
        <v>0</v>
      </c>
      <c r="AH13">
        <v>0</v>
      </c>
      <c r="AX13">
        <f t="shared" ref="AX13:AX35" si="14">P13/P$5</f>
        <v>0</v>
      </c>
      <c r="AY13">
        <f t="shared" ref="AY13:AY35" si="15">Q13/Q$5</f>
        <v>0</v>
      </c>
      <c r="BC13">
        <f t="shared" ref="BC13:BC35" si="16">U13/U$5</f>
        <v>0</v>
      </c>
      <c r="BN13">
        <f t="shared" ref="BN13:BN35" si="17">AF13/AF$5</f>
        <v>0</v>
      </c>
      <c r="BP13">
        <f t="shared" ref="BP13:BP35" si="18">AH13/AH$5</f>
        <v>0</v>
      </c>
      <c r="CG13" s="158">
        <f t="shared" ref="CG13:CG39" si="19">O13</f>
        <v>2025</v>
      </c>
      <c r="CH13" s="72">
        <f>INDEX(Table3Compare!$B$6:$H$32,MATCH($CG13,Table3Compare!$A$6:$A$32,0),MATCH(CH$9,Table3Compare!$B$5:$H$5,0))</f>
        <v>0</v>
      </c>
      <c r="CI13" s="72">
        <f>INDEX(Table3Compare!$B$6:$H$32,MATCH($CG13,Table3Compare!$A$6:$A$32,0),MATCH(CI$9,Table3Compare!$B$5:$H$5,0))</f>
        <v>0</v>
      </c>
      <c r="CJ13" s="72"/>
      <c r="CK13" s="72"/>
      <c r="CL13" s="72"/>
      <c r="CM13" s="72">
        <f>INDEX(Table3Compare!$B$6:$H$32,MATCH($CG13,Table3Compare!$A$6:$A$32,0),MATCH(CM$9,Table3Compare!$B$5:$H$5,0))</f>
        <v>0</v>
      </c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>
        <f>INDEX(Table3Compare!$B$6:$H$32,MATCH($CG13,Table3Compare!$A$6:$A$32,0),MATCH(CX$9,Table3Compare!$B$5:$H$5,0))</f>
        <v>0</v>
      </c>
      <c r="CY13" s="72"/>
      <c r="CZ13" s="72">
        <f>INDEX(Table3Compare!$B$6:$H$32,MATCH($CG13,Table3Compare!$A$6:$A$32,0),MATCH(CZ$9,Table3Compare!$B$5:$H$5,0))</f>
        <v>0</v>
      </c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167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5" si="20">SUM(DR13:EZ13)</f>
        <v>0</v>
      </c>
      <c r="FC13">
        <f t="shared" ref="FC13:FC35" si="21">O13</f>
        <v>2025</v>
      </c>
      <c r="FD13" s="46"/>
      <c r="FE13" s="98">
        <f>$FD$5*FD13/1000</f>
        <v>0</v>
      </c>
    </row>
    <row r="14" spans="1:161">
      <c r="A14"/>
      <c r="B14" s="255">
        <f t="shared" ref="B14:B39" si="22">B13+1</f>
        <v>2026</v>
      </c>
      <c r="C14" s="8">
        <f t="shared" si="12"/>
        <v>0</v>
      </c>
      <c r="D14" s="256"/>
      <c r="E14" s="8">
        <f t="shared" ref="E14:E27" ca="1" si="23">SUMIF(INDIRECT("'Table 5'!$J$"&amp;$K$3&amp;":$J$"&amp;$K$4),B14,INDIRECT("'Table 5'!$c$"&amp;$K$3&amp;":$c$"&amp;$K$4))/SUMIF(INDIRECT("'Table 5'!$J$"&amp;$K$3&amp;":$J$"&amp;$K$4),B14,INDIRECT("'Table 5'!$f$"&amp;$K$3&amp;":$f$"&amp;$K$4))</f>
        <v>20.647965312720938</v>
      </c>
      <c r="F14" s="33"/>
      <c r="G14" s="8">
        <f ca="1">SUMIF(INDIRECT("'Table 5'!$J$"&amp;$K$3&amp;":$J$"&amp;$K$4),B14,INDIRECT("'Table 5'!$e$"&amp;$K$3&amp;":$e$"&amp;$K$4))/SUMIF(INDIRECT("'Table 5'!$J$"&amp;$K$3&amp;":$J$"&amp;$K$4),B14,INDIRECT("'Table 5'!$f$"&amp;$K$3&amp;":$f$"&amp;$K$4))</f>
        <v>20.647965312720938</v>
      </c>
      <c r="H14" s="8"/>
      <c r="I14" s="8"/>
      <c r="J14" s="8"/>
      <c r="K14" s="8"/>
      <c r="O14">
        <f t="shared" si="13"/>
        <v>2026</v>
      </c>
      <c r="P14">
        <v>0</v>
      </c>
      <c r="Q14">
        <v>0</v>
      </c>
      <c r="U14">
        <v>0</v>
      </c>
      <c r="Z14"/>
      <c r="AF14">
        <v>0</v>
      </c>
      <c r="AH14">
        <v>0</v>
      </c>
      <c r="AX14">
        <f t="shared" si="14"/>
        <v>0</v>
      </c>
      <c r="AY14">
        <f t="shared" si="15"/>
        <v>0</v>
      </c>
      <c r="BC14">
        <f t="shared" si="16"/>
        <v>0</v>
      </c>
      <c r="BN14">
        <f t="shared" si="17"/>
        <v>0</v>
      </c>
      <c r="BP14">
        <f t="shared" si="18"/>
        <v>0</v>
      </c>
      <c r="CG14" s="158">
        <f t="shared" si="19"/>
        <v>2026</v>
      </c>
      <c r="CH14" s="72">
        <f>INDEX(Table3Compare!$B$6:$H$32,MATCH($CG14,Table3Compare!$A$6:$A$32,0),MATCH(CH$9,Table3Compare!$B$5:$H$5,0))</f>
        <v>0</v>
      </c>
      <c r="CI14" s="72">
        <f>INDEX(Table3Compare!$B$6:$H$32,MATCH($CG14,Table3Compare!$A$6:$A$32,0),MATCH(CI$9,Table3Compare!$B$5:$H$5,0))</f>
        <v>0</v>
      </c>
      <c r="CJ14" s="72"/>
      <c r="CK14" s="72"/>
      <c r="CL14" s="72"/>
      <c r="CM14" s="72">
        <f>INDEX(Table3Compare!$B$6:$H$32,MATCH($CG14,Table3Compare!$A$6:$A$32,0),MATCH(CM$9,Table3Compare!$B$5:$H$5,0))</f>
        <v>0</v>
      </c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>
        <f>INDEX(Table3Compare!$B$6:$H$32,MATCH($CG14,Table3Compare!$A$6:$A$32,0),MATCH(CX$9,Table3Compare!$B$5:$H$5,0))</f>
        <v>0</v>
      </c>
      <c r="CY14" s="72"/>
      <c r="CZ14" s="72">
        <f>INDEX(Table3Compare!$B$6:$H$32,MATCH($CG14,Table3Compare!$A$6:$A$32,0),MATCH(CZ$9,Table3Compare!$B$5:$H$5,0))</f>
        <v>0</v>
      </c>
      <c r="DA14" s="72"/>
      <c r="DB14" s="72"/>
      <c r="DC14" s="72"/>
      <c r="DD14" s="72"/>
      <c r="DE14" s="72"/>
      <c r="DF14" s="167"/>
      <c r="DG14" s="167"/>
      <c r="DH14" s="72"/>
      <c r="DI14" s="167"/>
      <c r="DJ14" s="167"/>
      <c r="DK14" s="167"/>
      <c r="DL14" s="167"/>
      <c r="DM14" s="167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2026</v>
      </c>
      <c r="FD14" s="46"/>
      <c r="FE14" s="98">
        <f t="shared" ref="FE14:FE30" si="24">$FD$5*FD14/1000</f>
        <v>0</v>
      </c>
    </row>
    <row r="15" spans="1:161">
      <c r="A15"/>
      <c r="B15" s="255">
        <f t="shared" si="22"/>
        <v>2027</v>
      </c>
      <c r="C15" s="8">
        <f t="shared" si="12"/>
        <v>0</v>
      </c>
      <c r="D15" s="256"/>
      <c r="E15" s="8">
        <f t="shared" ca="1" si="23"/>
        <v>22.605025980963109</v>
      </c>
      <c r="F15" s="33"/>
      <c r="G15" s="8">
        <f t="shared" ref="G15:G27" ca="1" si="25">SUMIF(INDIRECT("'Table 5'!$J$"&amp;$K$3&amp;":$J$"&amp;$K$4),B15,INDIRECT("'Table 5'!$e$"&amp;$K$3&amp;":$e$"&amp;$K$4))/SUMIF(INDIRECT("'Table 5'!$J$"&amp;$K$3&amp;":$J$"&amp;$K$4),B15,INDIRECT("'Table 5'!$f$"&amp;$K$3&amp;":$f$"&amp;$K$4))</f>
        <v>22.605025980963109</v>
      </c>
      <c r="H15" s="8"/>
      <c r="I15" s="8"/>
      <c r="J15" s="8"/>
      <c r="K15" s="8"/>
      <c r="O15">
        <f t="shared" si="13"/>
        <v>2027</v>
      </c>
      <c r="P15">
        <v>0</v>
      </c>
      <c r="Q15">
        <v>0</v>
      </c>
      <c r="U15">
        <v>0</v>
      </c>
      <c r="Z15"/>
      <c r="AF15">
        <v>0</v>
      </c>
      <c r="AH15">
        <v>0</v>
      </c>
      <c r="AX15">
        <f t="shared" si="14"/>
        <v>0</v>
      </c>
      <c r="AY15">
        <f t="shared" si="15"/>
        <v>0</v>
      </c>
      <c r="BC15">
        <f t="shared" si="16"/>
        <v>0</v>
      </c>
      <c r="BN15">
        <f t="shared" si="17"/>
        <v>0</v>
      </c>
      <c r="BP15">
        <f t="shared" si="18"/>
        <v>0</v>
      </c>
      <c r="CG15" s="158">
        <f t="shared" si="19"/>
        <v>2027</v>
      </c>
      <c r="CH15" s="72">
        <f>INDEX(Table3Compare!$B$6:$H$32,MATCH($CG15,Table3Compare!$A$6:$A$32,0),MATCH(CH$9,Table3Compare!$B$5:$H$5,0))</f>
        <v>0</v>
      </c>
      <c r="CI15" s="72">
        <f>INDEX(Table3Compare!$B$6:$H$32,MATCH($CG15,Table3Compare!$A$6:$A$32,0),MATCH(CI$9,Table3Compare!$B$5:$H$5,0))</f>
        <v>0</v>
      </c>
      <c r="CJ15" s="72"/>
      <c r="CK15" s="72"/>
      <c r="CL15" s="72"/>
      <c r="CM15" s="72">
        <f>INDEX(Table3Compare!$B$6:$H$32,MATCH($CG15,Table3Compare!$A$6:$A$32,0),MATCH(CM$9,Table3Compare!$B$5:$H$5,0))</f>
        <v>0</v>
      </c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>
        <f>INDEX(Table3Compare!$B$6:$H$32,MATCH($CG15,Table3Compare!$A$6:$A$32,0),MATCH(CX$9,Table3Compare!$B$5:$H$5,0))</f>
        <v>0</v>
      </c>
      <c r="CY15" s="72"/>
      <c r="CZ15" s="72">
        <f>INDEX(Table3Compare!$B$6:$H$32,MATCH($CG15,Table3Compare!$A$6:$A$32,0),MATCH(CZ$9,Table3Compare!$B$5:$H$5,0))</f>
        <v>0</v>
      </c>
      <c r="DA15" s="72"/>
      <c r="DB15" s="72"/>
      <c r="DC15" s="72"/>
      <c r="DD15" s="72"/>
      <c r="DE15" s="72"/>
      <c r="DF15" s="167"/>
      <c r="DG15" s="167"/>
      <c r="DH15" s="72"/>
      <c r="DI15" s="167"/>
      <c r="DJ15" s="167"/>
      <c r="DK15" s="167"/>
      <c r="DL15" s="167"/>
      <c r="DM15" s="167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2027</v>
      </c>
      <c r="FD15" s="46"/>
      <c r="FE15" s="98">
        <f t="shared" si="24"/>
        <v>0</v>
      </c>
    </row>
    <row r="16" spans="1:161">
      <c r="A16"/>
      <c r="B16" s="255">
        <f t="shared" si="22"/>
        <v>2028</v>
      </c>
      <c r="C16" s="8">
        <f t="shared" si="12"/>
        <v>0</v>
      </c>
      <c r="D16" s="256"/>
      <c r="E16" s="8">
        <f t="shared" ca="1" si="23"/>
        <v>25.610755979825655</v>
      </c>
      <c r="F16" s="33"/>
      <c r="G16" s="8">
        <f t="shared" ca="1" si="25"/>
        <v>25.610755979825655</v>
      </c>
      <c r="H16" s="8"/>
      <c r="I16" s="8"/>
      <c r="J16" s="8"/>
      <c r="K16" s="8"/>
      <c r="O16">
        <f t="shared" si="13"/>
        <v>2028</v>
      </c>
      <c r="P16" s="46">
        <v>0</v>
      </c>
      <c r="Q16">
        <v>0</v>
      </c>
      <c r="U16">
        <v>0</v>
      </c>
      <c r="Z16"/>
      <c r="AF16">
        <v>0</v>
      </c>
      <c r="AH16">
        <v>0</v>
      </c>
      <c r="AX16" s="323">
        <f t="shared" si="14"/>
        <v>0</v>
      </c>
      <c r="AY16">
        <f t="shared" si="15"/>
        <v>0</v>
      </c>
      <c r="BC16">
        <f t="shared" si="16"/>
        <v>0</v>
      </c>
      <c r="BN16">
        <f t="shared" si="17"/>
        <v>0</v>
      </c>
      <c r="BP16">
        <f t="shared" si="18"/>
        <v>0</v>
      </c>
      <c r="CG16" s="158">
        <f t="shared" si="19"/>
        <v>2028</v>
      </c>
      <c r="CH16" s="72">
        <f>INDEX(Table3Compare!$B$6:$H$32,MATCH($CG16,Table3Compare!$A$6:$A$32,0),MATCH(CH$9,Table3Compare!$B$5:$H$5,0))</f>
        <v>122.60687306314156</v>
      </c>
      <c r="CI16" s="72">
        <f>INDEX(Table3Compare!$B$6:$H$32,MATCH($CG16,Table3Compare!$A$6:$A$32,0),MATCH(CI$9,Table3Compare!$B$5:$H$5,0))</f>
        <v>0</v>
      </c>
      <c r="CJ16" s="72"/>
      <c r="CK16" s="72"/>
      <c r="CL16" s="72"/>
      <c r="CM16" s="72">
        <f>INDEX(Table3Compare!$B$6:$H$32,MATCH($CG16,Table3Compare!$A$6:$A$32,0),MATCH(CM$9,Table3Compare!$B$5:$H$5,0))</f>
        <v>0</v>
      </c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>
        <f>INDEX(Table3Compare!$B$6:$H$32,MATCH($CG16,Table3Compare!$A$6:$A$32,0),MATCH(CX$9,Table3Compare!$B$5:$H$5,0))</f>
        <v>0</v>
      </c>
      <c r="CY16" s="72"/>
      <c r="CZ16" s="72">
        <f>INDEX(Table3Compare!$B$6:$H$32,MATCH($CG16,Table3Compare!$A$6:$A$32,0),MATCH(CZ$9,Table3Compare!$B$5:$H$5,0))</f>
        <v>0</v>
      </c>
      <c r="DA16" s="72"/>
      <c r="DB16" s="72"/>
      <c r="DC16" s="72"/>
      <c r="DD16" s="72"/>
      <c r="DE16" s="72"/>
      <c r="DF16" s="167"/>
      <c r="DG16" s="167"/>
      <c r="DH16" s="72"/>
      <c r="DI16" s="167"/>
      <c r="DJ16" s="167"/>
      <c r="DK16" s="167"/>
      <c r="DL16" s="167"/>
      <c r="DM16" s="167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6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2028</v>
      </c>
      <c r="FD16" s="46"/>
      <c r="FE16" s="98">
        <f t="shared" si="24"/>
        <v>0</v>
      </c>
    </row>
    <row r="17" spans="2:161">
      <c r="B17" s="255">
        <f t="shared" si="22"/>
        <v>2029</v>
      </c>
      <c r="C17" s="8">
        <f t="shared" si="12"/>
        <v>0</v>
      </c>
      <c r="D17" s="256"/>
      <c r="E17" s="8">
        <f t="shared" ca="1" si="23"/>
        <v>29.100644721636929</v>
      </c>
      <c r="F17" s="33"/>
      <c r="G17" s="8">
        <f t="shared" ca="1" si="25"/>
        <v>29.100644721636929</v>
      </c>
      <c r="H17" s="8"/>
      <c r="I17" s="8"/>
      <c r="J17" s="8"/>
      <c r="K17" s="8"/>
      <c r="O17">
        <f t="shared" si="13"/>
        <v>2029</v>
      </c>
      <c r="P17">
        <v>0</v>
      </c>
      <c r="Q17">
        <v>0</v>
      </c>
      <c r="U17">
        <v>0</v>
      </c>
      <c r="Z17"/>
      <c r="AF17">
        <v>0</v>
      </c>
      <c r="AH17">
        <v>0</v>
      </c>
      <c r="AX17">
        <f t="shared" si="14"/>
        <v>0</v>
      </c>
      <c r="AY17">
        <f t="shared" si="15"/>
        <v>0</v>
      </c>
      <c r="BC17">
        <f t="shared" si="16"/>
        <v>0</v>
      </c>
      <c r="BN17">
        <f t="shared" si="17"/>
        <v>0</v>
      </c>
      <c r="BP17">
        <f t="shared" si="18"/>
        <v>0</v>
      </c>
      <c r="CC17" s="98"/>
      <c r="CG17" s="158">
        <f t="shared" si="19"/>
        <v>2029</v>
      </c>
      <c r="CH17" s="72">
        <f>INDEX(Table3Compare!$B$6:$H$32,MATCH($CG17,Table3Compare!$A$6:$A$32,0),MATCH(CH$9,Table3Compare!$B$5:$H$5,0))</f>
        <v>125.27970292599355</v>
      </c>
      <c r="CI17" s="72">
        <f>INDEX(Table3Compare!$B$6:$H$32,MATCH($CG17,Table3Compare!$A$6:$A$32,0),MATCH(CI$9,Table3Compare!$B$5:$H$5,0))</f>
        <v>123.30914837857404</v>
      </c>
      <c r="CJ17" s="72"/>
      <c r="CK17" s="72"/>
      <c r="CL17" s="72"/>
      <c r="CM17" s="72">
        <f>INDEX(Table3Compare!$B$6:$H$32,MATCH($CG17,Table3Compare!$A$6:$A$32,0),MATCH(CM$9,Table3Compare!$B$5:$H$5,0))</f>
        <v>0</v>
      </c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>
        <f>INDEX(Table3Compare!$B$6:$H$32,MATCH($CG17,Table3Compare!$A$6:$A$32,0),MATCH(CX$9,Table3Compare!$B$5:$H$5,0))</f>
        <v>0</v>
      </c>
      <c r="CY17" s="72"/>
      <c r="CZ17" s="72">
        <f>INDEX(Table3Compare!$B$6:$H$32,MATCH($CG17,Table3Compare!$A$6:$A$32,0),MATCH(CZ$9,Table3Compare!$B$5:$H$5,0))</f>
        <v>0</v>
      </c>
      <c r="DA17" s="72"/>
      <c r="DB17" s="72"/>
      <c r="DC17" s="72"/>
      <c r="DD17" s="72"/>
      <c r="DE17" s="72"/>
      <c r="DF17" s="167"/>
      <c r="DG17" s="167"/>
      <c r="DH17" s="72"/>
      <c r="DI17" s="167"/>
      <c r="DJ17" s="167"/>
      <c r="DK17" s="167"/>
      <c r="DL17" s="167"/>
      <c r="DM17" s="167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2029</v>
      </c>
      <c r="FD17" s="46"/>
      <c r="FE17" s="98">
        <f t="shared" si="24"/>
        <v>0</v>
      </c>
    </row>
    <row r="18" spans="2:161">
      <c r="B18" s="255">
        <f t="shared" si="22"/>
        <v>2030</v>
      </c>
      <c r="C18" s="8">
        <f t="shared" si="12"/>
        <v>0</v>
      </c>
      <c r="D18" s="256"/>
      <c r="E18" s="8">
        <f t="shared" ca="1" si="23"/>
        <v>25.9827329067299</v>
      </c>
      <c r="F18" s="33"/>
      <c r="G18" s="8">
        <f t="shared" ca="1" si="25"/>
        <v>25.9827329067299</v>
      </c>
      <c r="H18" s="8"/>
      <c r="I18" s="8"/>
      <c r="J18" s="8"/>
      <c r="K18" s="8"/>
      <c r="O18">
        <f t="shared" si="13"/>
        <v>2030</v>
      </c>
      <c r="P18">
        <v>0</v>
      </c>
      <c r="Q18">
        <v>0</v>
      </c>
      <c r="U18">
        <v>0</v>
      </c>
      <c r="Z18"/>
      <c r="AF18">
        <v>0</v>
      </c>
      <c r="AH18">
        <v>0</v>
      </c>
      <c r="AX18">
        <f t="shared" si="14"/>
        <v>0</v>
      </c>
      <c r="AY18">
        <f t="shared" si="15"/>
        <v>0</v>
      </c>
      <c r="BC18">
        <f t="shared" si="16"/>
        <v>0</v>
      </c>
      <c r="BN18">
        <f t="shared" si="17"/>
        <v>0</v>
      </c>
      <c r="BP18">
        <f t="shared" si="18"/>
        <v>0</v>
      </c>
      <c r="CG18" s="158">
        <f t="shared" si="19"/>
        <v>2030</v>
      </c>
      <c r="CH18" s="72">
        <f>INDEX(Table3Compare!$B$6:$H$32,MATCH($CG18,Table3Compare!$A$6:$A$32,0),MATCH(CH$9,Table3Compare!$B$5:$H$5,0))</f>
        <v>128.01080038380309</v>
      </c>
      <c r="CI18" s="72">
        <f>INDEX(Table3Compare!$B$6:$H$32,MATCH($CG18,Table3Compare!$A$6:$A$32,0),MATCH(CI$9,Table3Compare!$B$5:$H$5,0))</f>
        <v>125.99728774828759</v>
      </c>
      <c r="CJ18" s="72"/>
      <c r="CK18" s="72"/>
      <c r="CL18" s="72"/>
      <c r="CM18" s="72">
        <f>INDEX(Table3Compare!$B$6:$H$32,MATCH($CG18,Table3Compare!$A$6:$A$32,0),MATCH(CM$9,Table3Compare!$B$5:$H$5,0))</f>
        <v>0</v>
      </c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>
        <f>INDEX(Table3Compare!$B$6:$H$32,MATCH($CG18,Table3Compare!$A$6:$A$32,0),MATCH(CX$9,Table3Compare!$B$5:$H$5,0))</f>
        <v>0</v>
      </c>
      <c r="CY18" s="72"/>
      <c r="CZ18" s="72">
        <f>INDEX(Table3Compare!$B$6:$H$32,MATCH($CG18,Table3Compare!$A$6:$A$32,0),MATCH(CZ$9,Table3Compare!$B$5:$H$5,0))</f>
        <v>0</v>
      </c>
      <c r="DA18" s="72"/>
      <c r="DB18" s="72"/>
      <c r="DC18" s="72"/>
      <c r="DD18" s="72"/>
      <c r="DE18" s="72"/>
      <c r="DF18" s="167"/>
      <c r="DG18" s="167"/>
      <c r="DH18" s="72"/>
      <c r="DI18" s="167"/>
      <c r="DJ18" s="167"/>
      <c r="DK18" s="167"/>
      <c r="DL18" s="167"/>
      <c r="DM18" s="167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2030</v>
      </c>
      <c r="FD18" s="46"/>
      <c r="FE18" s="98">
        <f t="shared" si="24"/>
        <v>0</v>
      </c>
    </row>
    <row r="19" spans="2:161">
      <c r="B19" s="255">
        <f t="shared" si="22"/>
        <v>2031</v>
      </c>
      <c r="C19" s="8">
        <f t="shared" si="12"/>
        <v>0</v>
      </c>
      <c r="D19" s="256"/>
      <c r="E19" s="8">
        <f t="shared" ca="1" si="23"/>
        <v>24.920194588007408</v>
      </c>
      <c r="F19" s="33"/>
      <c r="G19" s="8">
        <f t="shared" ca="1" si="25"/>
        <v>24.920194588007408</v>
      </c>
      <c r="H19" s="8"/>
      <c r="I19" s="8"/>
      <c r="J19" s="8"/>
      <c r="K19" s="8"/>
      <c r="O19">
        <f t="shared" si="13"/>
        <v>2031</v>
      </c>
      <c r="P19">
        <v>0</v>
      </c>
      <c r="Q19">
        <v>0</v>
      </c>
      <c r="U19">
        <v>0</v>
      </c>
      <c r="Z19"/>
      <c r="AF19">
        <v>0</v>
      </c>
      <c r="AH19">
        <v>0</v>
      </c>
      <c r="AX19">
        <f t="shared" si="14"/>
        <v>0</v>
      </c>
      <c r="AY19">
        <f t="shared" si="15"/>
        <v>0</v>
      </c>
      <c r="BC19">
        <f t="shared" si="16"/>
        <v>0</v>
      </c>
      <c r="BN19">
        <f t="shared" si="17"/>
        <v>0</v>
      </c>
      <c r="BP19">
        <f t="shared" si="18"/>
        <v>0</v>
      </c>
      <c r="CG19" s="158">
        <f t="shared" si="19"/>
        <v>2031</v>
      </c>
      <c r="CH19" s="72">
        <f>INDEX(Table3Compare!$B$6:$H$32,MATCH($CG19,Table3Compare!$A$6:$A$32,0),MATCH(CH$9,Table3Compare!$B$5:$H$5,0))</f>
        <v>130.80143582771603</v>
      </c>
      <c r="CI19" s="72">
        <f>INDEX(Table3Compare!$B$6:$H$32,MATCH($CG19,Table3Compare!$A$6:$A$32,0),MATCH(CI$9,Table3Compare!$B$5:$H$5,0))</f>
        <v>128.74402861681637</v>
      </c>
      <c r="CJ19" s="72"/>
      <c r="CK19" s="72"/>
      <c r="CL19" s="72"/>
      <c r="CM19" s="72">
        <f>INDEX(Table3Compare!$B$6:$H$32,MATCH($CG19,Table3Compare!$A$6:$A$32,0),MATCH(CM$9,Table3Compare!$B$5:$H$5,0))</f>
        <v>0</v>
      </c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>
        <f>INDEX(Table3Compare!$B$6:$H$32,MATCH($CG19,Table3Compare!$A$6:$A$32,0),MATCH(CX$9,Table3Compare!$B$5:$H$5,0))</f>
        <v>0</v>
      </c>
      <c r="CY19" s="72"/>
      <c r="CZ19" s="72">
        <f>INDEX(Table3Compare!$B$6:$H$32,MATCH($CG19,Table3Compare!$A$6:$A$32,0),MATCH(CZ$9,Table3Compare!$B$5:$H$5,0))</f>
        <v>0</v>
      </c>
      <c r="DA19" s="72"/>
      <c r="DB19" s="72"/>
      <c r="DC19" s="72"/>
      <c r="DD19" s="72"/>
      <c r="DE19" s="72"/>
      <c r="DF19" s="167"/>
      <c r="DG19" s="167"/>
      <c r="DH19" s="72"/>
      <c r="DI19" s="167"/>
      <c r="DJ19" s="167"/>
      <c r="DK19" s="167"/>
      <c r="DL19" s="167"/>
      <c r="DM19" s="167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2031</v>
      </c>
      <c r="FD19" s="46"/>
      <c r="FE19" s="98">
        <f t="shared" si="24"/>
        <v>0</v>
      </c>
    </row>
    <row r="20" spans="2:161">
      <c r="B20" s="255">
        <f t="shared" si="22"/>
        <v>2032</v>
      </c>
      <c r="C20" s="8">
        <f t="shared" si="12"/>
        <v>118.93773045375903</v>
      </c>
      <c r="D20" s="256"/>
      <c r="E20" s="8">
        <f t="shared" ca="1" si="23"/>
        <v>-16.280441758652447</v>
      </c>
      <c r="F20" s="33"/>
      <c r="G20" s="8">
        <f t="shared" ca="1" si="25"/>
        <v>30.320948119467911</v>
      </c>
      <c r="H20" s="8"/>
      <c r="I20" s="8"/>
      <c r="J20" s="8"/>
      <c r="K20" s="8"/>
      <c r="O20">
        <f t="shared" si="13"/>
        <v>2032</v>
      </c>
      <c r="P20">
        <v>0</v>
      </c>
      <c r="Q20">
        <v>0</v>
      </c>
      <c r="U20">
        <v>0</v>
      </c>
      <c r="Z20"/>
      <c r="AF20" s="46">
        <v>8.3420983884339464</v>
      </c>
      <c r="AH20">
        <v>0</v>
      </c>
      <c r="AX20">
        <f t="shared" si="14"/>
        <v>0</v>
      </c>
      <c r="AY20">
        <f t="shared" si="15"/>
        <v>0</v>
      </c>
      <c r="BC20">
        <f t="shared" si="16"/>
        <v>0</v>
      </c>
      <c r="BN20" s="46">
        <f t="shared" si="17"/>
        <v>77.731655766065941</v>
      </c>
      <c r="BP20">
        <f t="shared" si="18"/>
        <v>0</v>
      </c>
      <c r="CG20" s="158">
        <f t="shared" si="19"/>
        <v>2032</v>
      </c>
      <c r="CH20" s="72">
        <f>INDEX(Table3Compare!$B$6:$H$32,MATCH($CG20,Table3Compare!$A$6:$A$32,0),MATCH(CH$9,Table3Compare!$B$5:$H$5,0))</f>
        <v>133.6529070924762</v>
      </c>
      <c r="CI20" s="72">
        <f>INDEX(Table3Compare!$B$6:$H$32,MATCH($CG20,Table3Compare!$A$6:$A$32,0),MATCH(CI$9,Table3Compare!$B$5:$H$5,0))</f>
        <v>131.55064840494967</v>
      </c>
      <c r="CJ20" s="72"/>
      <c r="CK20" s="72"/>
      <c r="CL20" s="72"/>
      <c r="CM20" s="72">
        <f>INDEX(Table3Compare!$B$6:$H$32,MATCH($CG20,Table3Compare!$A$6:$A$32,0),MATCH(CM$9,Table3Compare!$B$5:$H$5,0))</f>
        <v>158.5684942399154</v>
      </c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>
        <f>INDEX(Table3Compare!$B$6:$H$32,MATCH($CG20,Table3Compare!$A$6:$A$32,0),MATCH(CX$9,Table3Compare!$B$5:$H$5,0))</f>
        <v>122.40853925633913</v>
      </c>
      <c r="CY20" s="72"/>
      <c r="CZ20" s="72">
        <f>INDEX(Table3Compare!$B$6:$H$32,MATCH($CG20,Table3Compare!$A$6:$A$32,0),MATCH(CZ$9,Table3Compare!$B$5:$H$5,0))</f>
        <v>0</v>
      </c>
      <c r="DA20" s="72"/>
      <c r="DB20" s="72"/>
      <c r="DC20" s="72"/>
      <c r="DD20" s="72"/>
      <c r="DE20" s="72"/>
      <c r="DF20" s="167"/>
      <c r="DG20" s="167"/>
      <c r="DH20" s="72"/>
      <c r="DI20" s="167"/>
      <c r="DJ20" s="167"/>
      <c r="DK20" s="167"/>
      <c r="DL20" s="167"/>
      <c r="DM20" s="167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9.5150184363007231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9.5150184363007231</v>
      </c>
      <c r="FC20">
        <f t="shared" si="21"/>
        <v>2032</v>
      </c>
      <c r="FD20" s="396">
        <f>'Table 3 TransCost'!T17</f>
        <v>19.102049794900221</v>
      </c>
      <c r="FE20" s="98">
        <f t="shared" si="24"/>
        <v>0</v>
      </c>
    </row>
    <row r="21" spans="2:161">
      <c r="B21" s="255">
        <f t="shared" si="22"/>
        <v>2033</v>
      </c>
      <c r="C21" s="8">
        <f t="shared" si="12"/>
        <v>121.53057297907223</v>
      </c>
      <c r="D21" s="256"/>
      <c r="E21" s="8">
        <f t="shared" ca="1" si="23"/>
        <v>-18.358761677089198</v>
      </c>
      <c r="F21" s="33"/>
      <c r="G21" s="8">
        <f t="shared" ca="1" si="25"/>
        <v>29.525222262295625</v>
      </c>
      <c r="H21" s="8"/>
      <c r="I21" s="8"/>
      <c r="J21" s="8"/>
      <c r="K21" s="8"/>
      <c r="O21">
        <f t="shared" si="13"/>
        <v>2033</v>
      </c>
      <c r="P21">
        <v>0</v>
      </c>
      <c r="Q21">
        <v>0</v>
      </c>
      <c r="U21">
        <v>0</v>
      </c>
      <c r="Z21"/>
      <c r="AF21">
        <v>0</v>
      </c>
      <c r="AH21">
        <v>0</v>
      </c>
      <c r="AX21">
        <f t="shared" si="14"/>
        <v>0</v>
      </c>
      <c r="AY21">
        <f t="shared" si="15"/>
        <v>0</v>
      </c>
      <c r="BC21">
        <f t="shared" si="16"/>
        <v>0</v>
      </c>
      <c r="BN21">
        <f t="shared" si="17"/>
        <v>0</v>
      </c>
      <c r="BP21">
        <f t="shared" si="18"/>
        <v>0</v>
      </c>
      <c r="CG21" s="158">
        <f t="shared" si="19"/>
        <v>2033</v>
      </c>
      <c r="CH21" s="72">
        <f>INDEX(Table3Compare!$B$6:$H$32,MATCH($CG21,Table3Compare!$A$6:$A$32,0),MATCH(CH$9,Table3Compare!$B$5:$H$5,0))</f>
        <v>136.56654046868928</v>
      </c>
      <c r="CI21" s="72">
        <f>INDEX(Table3Compare!$B$6:$H$32,MATCH($CG21,Table3Compare!$A$6:$A$32,0),MATCH(CI$9,Table3Compare!$B$5:$H$5,0))</f>
        <v>134.41845254174956</v>
      </c>
      <c r="CJ21" s="72"/>
      <c r="CK21" s="72"/>
      <c r="CL21" s="72"/>
      <c r="CM21" s="72">
        <f>INDEX(Table3Compare!$B$6:$H$32,MATCH($CG21,Table3Compare!$A$6:$A$32,0),MATCH(CM$9,Table3Compare!$B$5:$H$5,0))</f>
        <v>162.02528741624042</v>
      </c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>
        <f>INDEX(Table3Compare!$B$6:$H$32,MATCH($CG21,Table3Compare!$A$6:$A$32,0),MATCH(CX$9,Table3Compare!$B$5:$H$5,0))</f>
        <v>125.07704541359004</v>
      </c>
      <c r="CY21" s="72"/>
      <c r="CZ21" s="72">
        <f>INDEX(Table3Compare!$B$6:$H$32,MATCH($CG21,Table3Compare!$A$6:$A$32,0),MATCH(CZ$9,Table3Compare!$B$5:$H$5,0))</f>
        <v>0</v>
      </c>
      <c r="DA21" s="72"/>
      <c r="DB21" s="72"/>
      <c r="DC21" s="72"/>
      <c r="DD21" s="72"/>
      <c r="DE21" s="72"/>
      <c r="DF21" s="167"/>
      <c r="DG21" s="167"/>
      <c r="DH21" s="72"/>
      <c r="DI21" s="167"/>
      <c r="DJ21" s="167"/>
      <c r="DK21" s="167"/>
      <c r="DL21" s="167"/>
      <c r="DM21" s="167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9.722445838325779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9.722445838325779</v>
      </c>
      <c r="FC21">
        <f t="shared" si="21"/>
        <v>2033</v>
      </c>
      <c r="FD21" s="71" cm="1">
        <f t="array" ref="FD21">FD20*INDEX('2025 IRP Assumptions'!$E$275:$E$298,'PV_.PX.WMV._.PTC.2032'!$B21-2023,1)/INDEX('2025 IRP Assumptions'!$E$275:$E$298,'PV_.PX.WMV._.PTC.2032'!$B21-2023-1,1)</f>
        <v>19.518474475536049</v>
      </c>
      <c r="FE21" s="98">
        <f t="shared" si="24"/>
        <v>0</v>
      </c>
    </row>
    <row r="22" spans="2:161">
      <c r="B22" s="255">
        <f t="shared" si="22"/>
        <v>2034</v>
      </c>
      <c r="C22" s="8">
        <f t="shared" si="12"/>
        <v>124.17993956061784</v>
      </c>
      <c r="D22" s="256"/>
      <c r="E22" s="8">
        <f t="shared" ca="1" si="23"/>
        <v>-19.749846124703616</v>
      </c>
      <c r="F22" s="33"/>
      <c r="G22" s="8">
        <f t="shared" ca="1" si="25"/>
        <v>29.372127345898683</v>
      </c>
      <c r="H22" s="8"/>
      <c r="I22" s="8"/>
      <c r="J22" s="8"/>
      <c r="K22" s="8"/>
      <c r="O22">
        <f t="shared" si="13"/>
        <v>2034</v>
      </c>
      <c r="P22">
        <v>0</v>
      </c>
      <c r="Q22">
        <v>0</v>
      </c>
      <c r="U22">
        <v>0</v>
      </c>
      <c r="Z22"/>
      <c r="AF22">
        <v>0</v>
      </c>
      <c r="AH22">
        <v>0</v>
      </c>
      <c r="AX22">
        <f t="shared" si="14"/>
        <v>0</v>
      </c>
      <c r="AY22">
        <f t="shared" si="15"/>
        <v>0</v>
      </c>
      <c r="BC22">
        <f t="shared" si="16"/>
        <v>0</v>
      </c>
      <c r="BN22">
        <f t="shared" si="17"/>
        <v>0</v>
      </c>
      <c r="BP22">
        <f t="shared" si="18"/>
        <v>0</v>
      </c>
      <c r="CG22" s="158">
        <f t="shared" si="19"/>
        <v>2034</v>
      </c>
      <c r="CH22" s="72">
        <f>INDEX(Table3Compare!$B$6:$H$32,MATCH($CG22,Table3Compare!$A$6:$A$32,0),MATCH(CH$9,Table3Compare!$B$5:$H$5,0))</f>
        <v>139.54369115271797</v>
      </c>
      <c r="CI22" s="72">
        <f>INDEX(Table3Compare!$B$6:$H$32,MATCH($CG22,Table3Compare!$A$6:$A$32,0),MATCH(CI$9,Table3Compare!$B$5:$H$5,0))</f>
        <v>137.34877490736955</v>
      </c>
      <c r="CJ22" s="72"/>
      <c r="CK22" s="72"/>
      <c r="CL22" s="72"/>
      <c r="CM22" s="72">
        <f>INDEX(Table3Compare!$B$6:$H$32,MATCH($CG22,Table3Compare!$A$6:$A$32,0),MATCH(CM$9,Table3Compare!$B$5:$H$5,0))</f>
        <v>165.55743880270538</v>
      </c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>
        <f>INDEX(Table3Compare!$B$6:$H$32,MATCH($CG22,Table3Compare!$A$6:$A$32,0),MATCH(CX$9,Table3Compare!$B$5:$H$5,0))</f>
        <v>127.80372509685208</v>
      </c>
      <c r="CY22" s="72"/>
      <c r="CZ22" s="72">
        <f>INDEX(Table3Compare!$B$6:$H$32,MATCH($CG22,Table3Compare!$A$6:$A$32,0),MATCH(CZ$9,Table3Compare!$B$5:$H$5,0))</f>
        <v>0</v>
      </c>
      <c r="DA22" s="72"/>
      <c r="DB22" s="72"/>
      <c r="DC22" s="72"/>
      <c r="DD22" s="72"/>
      <c r="DE22" s="72"/>
      <c r="DF22" s="167"/>
      <c r="DG22" s="167"/>
      <c r="DH22" s="72"/>
      <c r="DI22" s="167"/>
      <c r="DJ22" s="167"/>
      <c r="DK22" s="167"/>
      <c r="DL22" s="167"/>
      <c r="DM22" s="167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9.9343951648494269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9.9343951648494269</v>
      </c>
      <c r="FC22">
        <f t="shared" si="21"/>
        <v>2034</v>
      </c>
      <c r="FD22" s="71" cm="1">
        <f t="array" ref="FD22">FD21*INDEX('2025 IRP Assumptions'!$E$275:$E$298,'PV_.PX.WMV._.PTC.2032'!$B22-2023,1)/INDEX('2025 IRP Assumptions'!$E$275:$E$298,'PV_.PX.WMV._.PTC.2032'!$B22-2023-1,1)</f>
        <v>19.943977219241305</v>
      </c>
      <c r="FE22" s="98">
        <f t="shared" si="24"/>
        <v>0</v>
      </c>
    </row>
    <row r="23" spans="2:161">
      <c r="B23" s="255">
        <f t="shared" si="22"/>
        <v>2035</v>
      </c>
      <c r="C23" s="8">
        <f t="shared" si="12"/>
        <v>126.88706221123057</v>
      </c>
      <c r="D23" s="256"/>
      <c r="E23" s="8">
        <f t="shared" ca="1" si="23"/>
        <v>-22.78702230128274</v>
      </c>
      <c r="F23" s="33"/>
      <c r="G23" s="8">
        <f t="shared" ca="1" si="25"/>
        <v>27.713388819081466</v>
      </c>
      <c r="H23" s="8"/>
      <c r="I23" s="8"/>
      <c r="J23" s="8"/>
      <c r="K23" s="8"/>
      <c r="O23">
        <f t="shared" si="13"/>
        <v>2035</v>
      </c>
      <c r="P23">
        <v>0</v>
      </c>
      <c r="Q23">
        <v>0</v>
      </c>
      <c r="U23">
        <v>0</v>
      </c>
      <c r="Z23"/>
      <c r="AF23">
        <v>0</v>
      </c>
      <c r="AH23">
        <v>0</v>
      </c>
      <c r="AX23">
        <f t="shared" si="14"/>
        <v>0</v>
      </c>
      <c r="AY23">
        <f t="shared" si="15"/>
        <v>0</v>
      </c>
      <c r="BC23">
        <f t="shared" si="16"/>
        <v>0</v>
      </c>
      <c r="BN23">
        <f t="shared" si="17"/>
        <v>0</v>
      </c>
      <c r="BP23">
        <f t="shared" si="18"/>
        <v>0</v>
      </c>
      <c r="CG23" s="158">
        <f t="shared" si="19"/>
        <v>2035</v>
      </c>
      <c r="CH23" s="72">
        <f>INDEX(Table3Compare!$B$6:$H$32,MATCH($CG23,Table3Compare!$A$6:$A$32,0),MATCH(CH$9,Table3Compare!$B$5:$H$5,0))</f>
        <v>142.58574358410306</v>
      </c>
      <c r="CI23" s="72">
        <f>INDEX(Table3Compare!$B$6:$H$32,MATCH($CG23,Table3Compare!$A$6:$A$32,0),MATCH(CI$9,Table3Compare!$B$5:$H$5,0))</f>
        <v>140.34297816516823</v>
      </c>
      <c r="CJ23" s="72"/>
      <c r="CK23" s="72"/>
      <c r="CL23" s="72"/>
      <c r="CM23" s="72">
        <f>INDEX(Table3Compare!$B$6:$H$32,MATCH($CG23,Table3Compare!$A$6:$A$32,0),MATCH(CM$9,Table3Compare!$B$5:$H$5,0))</f>
        <v>169.16659092619676</v>
      </c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>
        <f>INDEX(Table3Compare!$B$6:$H$32,MATCH($CG23,Table3Compare!$A$6:$A$32,0),MATCH(CX$9,Table3Compare!$B$5:$H$5,0))</f>
        <v>130.58984627122646</v>
      </c>
      <c r="CY23" s="72"/>
      <c r="CZ23" s="72">
        <f>INDEX(Table3Compare!$B$6:$H$32,MATCH($CG23,Table3Compare!$A$6:$A$32,0),MATCH(CZ$9,Table3Compare!$B$5:$H$5,0))</f>
        <v>0</v>
      </c>
      <c r="DA23" s="72"/>
      <c r="DB23" s="72"/>
      <c r="DC23" s="72"/>
      <c r="DD23" s="72"/>
      <c r="DE23" s="72"/>
      <c r="DF23" s="167"/>
      <c r="DG23" s="167"/>
      <c r="DH23" s="72"/>
      <c r="DI23" s="167"/>
      <c r="DJ23" s="167"/>
      <c r="DK23" s="167"/>
      <c r="DL23" s="167"/>
      <c r="DM23" s="167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10.150964976898445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10.150964976898445</v>
      </c>
      <c r="FC23">
        <f t="shared" si="21"/>
        <v>2035</v>
      </c>
      <c r="FD23" s="71" cm="1">
        <f t="array" ref="FD23">FD22*INDEX('2025 IRP Assumptions'!$E$275:$E$298,'PV_.PX.WMV._.PTC.2032'!$B23-2023,1)/INDEX('2025 IRP Assumptions'!$E$275:$E$298,'PV_.PX.WMV._.PTC.2032'!$B23-2023-1,1)</f>
        <v>20.378755916767027</v>
      </c>
      <c r="FE23" s="98">
        <f t="shared" si="24"/>
        <v>0</v>
      </c>
    </row>
    <row r="24" spans="2:161">
      <c r="B24" s="255">
        <f t="shared" si="22"/>
        <v>2036</v>
      </c>
      <c r="C24" s="8">
        <f t="shared" si="12"/>
        <v>129.65320016833621</v>
      </c>
      <c r="D24" s="256"/>
      <c r="E24" s="8">
        <f t="shared" ca="1" si="23"/>
        <v>-22.970687658163637</v>
      </c>
      <c r="F24" s="33"/>
      <c r="G24" s="8">
        <f t="shared" ca="1" si="25"/>
        <v>28.914139807695033</v>
      </c>
      <c r="H24" s="8"/>
      <c r="I24" s="8"/>
      <c r="J24" s="8"/>
      <c r="K24" s="8"/>
      <c r="O24">
        <f t="shared" si="13"/>
        <v>2036</v>
      </c>
      <c r="P24">
        <v>0</v>
      </c>
      <c r="Q24">
        <v>0</v>
      </c>
      <c r="U24">
        <v>0</v>
      </c>
      <c r="Z24"/>
      <c r="AF24">
        <v>0</v>
      </c>
      <c r="AH24">
        <v>0</v>
      </c>
      <c r="AX24">
        <f t="shared" si="14"/>
        <v>0</v>
      </c>
      <c r="AY24">
        <f t="shared" si="15"/>
        <v>0</v>
      </c>
      <c r="BC24">
        <f t="shared" si="16"/>
        <v>0</v>
      </c>
      <c r="BN24">
        <f t="shared" si="17"/>
        <v>0</v>
      </c>
      <c r="BP24">
        <f t="shared" si="18"/>
        <v>0</v>
      </c>
      <c r="CG24" s="158">
        <f t="shared" si="19"/>
        <v>2036</v>
      </c>
      <c r="CH24" s="72">
        <f>INDEX(Table3Compare!$B$6:$H$32,MATCH($CG24,Table3Compare!$A$6:$A$32,0),MATCH(CH$9,Table3Compare!$B$5:$H$5,0))</f>
        <v>145.69411279524877</v>
      </c>
      <c r="CI24" s="72">
        <f>INDEX(Table3Compare!$B$6:$H$32,MATCH($CG24,Table3Compare!$A$6:$A$32,0),MATCH(CI$9,Table3Compare!$B$5:$H$5,0))</f>
        <v>143.40245509016526</v>
      </c>
      <c r="CJ24" s="72"/>
      <c r="CK24" s="72"/>
      <c r="CL24" s="72"/>
      <c r="CM24" s="72">
        <f>INDEX(Table3Compare!$B$6:$H$32,MATCH($CG24,Table3Compare!$A$6:$A$32,0),MATCH(CM$9,Table3Compare!$B$5:$H$5,0))</f>
        <v>172.8544226095888</v>
      </c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>
        <f>INDEX(Table3Compare!$B$6:$H$32,MATCH($CG24,Table3Compare!$A$6:$A$32,0),MATCH(CX$9,Table3Compare!$B$5:$H$5,0))</f>
        <v>133.4367049208663</v>
      </c>
      <c r="CY24" s="72"/>
      <c r="CZ24" s="72">
        <f>INDEX(Table3Compare!$B$6:$H$32,MATCH($CG24,Table3Compare!$A$6:$A$32,0),MATCH(CZ$9,Table3Compare!$B$5:$H$5,0))</f>
        <v>167.09145087116482</v>
      </c>
      <c r="DA24" s="72"/>
      <c r="DB24" s="72"/>
      <c r="DC24" s="72"/>
      <c r="DD24" s="72"/>
      <c r="DE24" s="72"/>
      <c r="DF24" s="167"/>
      <c r="DG24" s="167"/>
      <c r="DH24" s="72"/>
      <c r="DI24" s="167"/>
      <c r="DJ24" s="167"/>
      <c r="DK24" s="167"/>
      <c r="DL24" s="167"/>
      <c r="DM24" s="167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10.372256013466897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10.372256013466897</v>
      </c>
      <c r="FC24">
        <f t="shared" si="21"/>
        <v>2036</v>
      </c>
      <c r="FD24" s="71" cm="1">
        <f t="array" ref="FD24">FD23*INDEX('2025 IRP Assumptions'!$E$275:$E$298,'PV_.PX.WMV._.PTC.2032'!$B24-2023,1)/INDEX('2025 IRP Assumptions'!$E$275:$E$298,'PV_.PX.WMV._.PTC.2032'!$B24-2023-1,1)</f>
        <v>20.823012800667101</v>
      </c>
      <c r="FE24" s="98">
        <f t="shared" si="24"/>
        <v>0</v>
      </c>
    </row>
    <row r="25" spans="2:161">
      <c r="B25" s="255">
        <f t="shared" si="22"/>
        <v>2037</v>
      </c>
      <c r="C25" s="8">
        <f t="shared" si="12"/>
        <v>132.47963989395157</v>
      </c>
      <c r="D25" s="256"/>
      <c r="E25" s="8">
        <f t="shared" ca="1" si="23"/>
        <v>-26.603814772631257</v>
      </c>
      <c r="F25" s="33"/>
      <c r="G25" s="8">
        <f t="shared" ca="1" si="25"/>
        <v>26.619590690067579</v>
      </c>
      <c r="H25" s="8"/>
      <c r="I25" s="8"/>
      <c r="J25" s="8"/>
      <c r="K25" s="8"/>
      <c r="O25">
        <f t="shared" si="13"/>
        <v>2037</v>
      </c>
      <c r="P25">
        <v>0</v>
      </c>
      <c r="Q25">
        <v>0</v>
      </c>
      <c r="U25">
        <v>0</v>
      </c>
      <c r="Z25"/>
      <c r="AF25">
        <v>0</v>
      </c>
      <c r="AH25">
        <v>0</v>
      </c>
      <c r="AX25">
        <f t="shared" si="14"/>
        <v>0</v>
      </c>
      <c r="AY25">
        <f t="shared" si="15"/>
        <v>0</v>
      </c>
      <c r="BC25">
        <f t="shared" si="16"/>
        <v>0</v>
      </c>
      <c r="BN25">
        <f t="shared" si="17"/>
        <v>0</v>
      </c>
      <c r="BP25">
        <f t="shared" si="18"/>
        <v>0</v>
      </c>
      <c r="CG25" s="158">
        <f t="shared" si="19"/>
        <v>2037</v>
      </c>
      <c r="CH25" s="72">
        <f>INDEX(Table3Compare!$B$6:$H$32,MATCH($CG25,Table3Compare!$A$6:$A$32,0),MATCH(CH$9,Table3Compare!$B$5:$H$5,0))</f>
        <v>148.87024441142265</v>
      </c>
      <c r="CI25" s="72">
        <f>INDEX(Table3Compare!$B$6:$H$32,MATCH($CG25,Table3Compare!$A$6:$A$32,0),MATCH(CI$9,Table3Compare!$B$5:$H$5,0))</f>
        <v>146.52862856904096</v>
      </c>
      <c r="CJ25" s="72"/>
      <c r="CK25" s="72"/>
      <c r="CL25" s="72"/>
      <c r="CM25" s="72">
        <f>INDEX(Table3Compare!$B$6:$H$32,MATCH($CG25,Table3Compare!$A$6:$A$32,0),MATCH(CM$9,Table3Compare!$B$5:$H$5,0))</f>
        <v>176.6226489717435</v>
      </c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>
        <f>INDEX(Table3Compare!$B$6:$H$32,MATCH($CG25,Table3Compare!$A$6:$A$32,0),MATCH(CX$9,Table3Compare!$B$5:$H$5,0))</f>
        <v>136.34562504897633</v>
      </c>
      <c r="CY25" s="72"/>
      <c r="CZ25" s="72">
        <f>INDEX(Table3Compare!$B$6:$H$32,MATCH($CG25,Table3Compare!$A$6:$A$32,0),MATCH(CZ$9,Table3Compare!$B$5:$H$5,0))</f>
        <v>170.73404445111339</v>
      </c>
      <c r="DA25" s="72"/>
      <c r="DB25" s="72"/>
      <c r="DC25" s="72"/>
      <c r="DD25" s="72"/>
      <c r="DE25" s="72"/>
      <c r="DF25" s="167"/>
      <c r="DG25" s="167"/>
      <c r="DH25" s="72"/>
      <c r="DI25" s="167"/>
      <c r="DJ25" s="167"/>
      <c r="DK25" s="167"/>
      <c r="DL25" s="167"/>
      <c r="DM25" s="167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10.598371191516126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10.598371191516126</v>
      </c>
      <c r="FC25">
        <f t="shared" si="21"/>
        <v>2037</v>
      </c>
      <c r="FD25" s="71" cm="1">
        <f t="array" ref="FD25">FD24*INDEX('2025 IRP Assumptions'!$E$275:$E$298,'PV_.PX.WMV._.PTC.2032'!$B25-2023,1)/INDEX('2025 IRP Assumptions'!$E$275:$E$298,'PV_.PX.WMV._.PTC.2032'!$B25-2023-1,1)</f>
        <v>21.276954476091156</v>
      </c>
      <c r="FE25" s="98">
        <f t="shared" si="24"/>
        <v>0</v>
      </c>
    </row>
    <row r="26" spans="2:161">
      <c r="B26" s="255">
        <f t="shared" si="22"/>
        <v>2038</v>
      </c>
      <c r="C26" s="8">
        <f t="shared" si="12"/>
        <v>135.36769607558858</v>
      </c>
      <c r="D26" s="256"/>
      <c r="E26" s="8">
        <f t="shared" ca="1" si="23"/>
        <v>-32.847716648334888</v>
      </c>
      <c r="F26" s="33"/>
      <c r="G26" s="8">
        <f t="shared" ca="1" si="25"/>
        <v>21.856540207796417</v>
      </c>
      <c r="H26" s="8"/>
      <c r="I26" s="8"/>
      <c r="J26" s="8"/>
      <c r="K26" s="8"/>
      <c r="O26">
        <f t="shared" si="13"/>
        <v>2038</v>
      </c>
      <c r="P26">
        <v>0</v>
      </c>
      <c r="Q26">
        <v>0</v>
      </c>
      <c r="U26">
        <v>0</v>
      </c>
      <c r="Z26"/>
      <c r="AF26">
        <v>0</v>
      </c>
      <c r="AH26">
        <v>0</v>
      </c>
      <c r="AX26">
        <f t="shared" si="14"/>
        <v>0</v>
      </c>
      <c r="AY26">
        <f t="shared" si="15"/>
        <v>0</v>
      </c>
      <c r="BC26">
        <f t="shared" si="16"/>
        <v>0</v>
      </c>
      <c r="BN26">
        <f t="shared" si="17"/>
        <v>0</v>
      </c>
      <c r="BP26">
        <f t="shared" si="18"/>
        <v>0</v>
      </c>
      <c r="CG26" s="158">
        <f t="shared" si="19"/>
        <v>2038</v>
      </c>
      <c r="CH26" s="72">
        <f>INDEX(Table3Compare!$B$6:$H$32,MATCH($CG26,Table3Compare!$A$6:$A$32,0),MATCH(CH$9,Table3Compare!$B$5:$H$5,0))</f>
        <v>152.11561577549332</v>
      </c>
      <c r="CI26" s="72">
        <f>INDEX(Table3Compare!$B$6:$H$32,MATCH($CG26,Table3Compare!$A$6:$A$32,0),MATCH(CI$9,Table3Compare!$B$5:$H$5,0))</f>
        <v>149.72295270718297</v>
      </c>
      <c r="CJ26" s="72"/>
      <c r="CK26" s="72"/>
      <c r="CL26" s="72"/>
      <c r="CM26" s="72">
        <f>INDEX(Table3Compare!$B$6:$H$32,MATCH($CG26,Table3Compare!$A$6:$A$32,0),MATCH(CM$9,Table3Compare!$B$5:$H$5,0))</f>
        <v>180.47302276192192</v>
      </c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>
        <f>INDEX(Table3Compare!$B$6:$H$32,MATCH($CG26,Table3Compare!$A$6:$A$32,0),MATCH(CX$9,Table3Compare!$B$5:$H$5,0))</f>
        <v>139.31795970792521</v>
      </c>
      <c r="CY26" s="72"/>
      <c r="CZ26" s="72">
        <f>INDEX(Table3Compare!$B$6:$H$32,MATCH($CG26,Table3Compare!$A$6:$A$32,0),MATCH(CZ$9,Table3Compare!$B$5:$H$5,0))</f>
        <v>174.45604666132198</v>
      </c>
      <c r="DA26" s="72"/>
      <c r="DB26" s="72"/>
      <c r="DC26" s="72"/>
      <c r="DD26" s="72"/>
      <c r="DE26" s="72"/>
      <c r="DF26" s="167"/>
      <c r="DG26" s="167"/>
      <c r="DH26" s="72"/>
      <c r="DI26" s="167"/>
      <c r="DJ26" s="167"/>
      <c r="DK26" s="167"/>
      <c r="DL26" s="167"/>
      <c r="DM26" s="167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10.829415686047087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10.829415686047087</v>
      </c>
      <c r="FC26">
        <f t="shared" si="21"/>
        <v>2038</v>
      </c>
      <c r="FD26" s="71" cm="1">
        <f t="array" ref="FD26">FD25*INDEX('2025 IRP Assumptions'!$E$275:$E$298,'PV_.PX.WMV._.PTC.2032'!$B26-2023,1)/INDEX('2025 IRP Assumptions'!$E$275:$E$298,'PV_.PX.WMV._.PTC.2032'!$B26-2023-1,1)</f>
        <v>21.740792090145696</v>
      </c>
      <c r="FE26" s="98">
        <f t="shared" si="24"/>
        <v>0</v>
      </c>
    </row>
    <row r="27" spans="2:161">
      <c r="B27" s="255">
        <f t="shared" si="22"/>
        <v>2039</v>
      </c>
      <c r="C27" s="8">
        <f t="shared" si="12"/>
        <v>138.31871182643511</v>
      </c>
      <c r="D27" s="256"/>
      <c r="E27" s="8">
        <f t="shared" ca="1" si="23"/>
        <v>-35.623096420490803</v>
      </c>
      <c r="F27" s="33"/>
      <c r="G27" s="8">
        <f t="shared" ca="1" si="25"/>
        <v>20.541632585529133</v>
      </c>
      <c r="H27" s="8"/>
      <c r="I27" s="8"/>
      <c r="J27" s="8"/>
      <c r="K27" s="8"/>
      <c r="O27">
        <f t="shared" si="13"/>
        <v>2039</v>
      </c>
      <c r="P27">
        <v>0</v>
      </c>
      <c r="Q27">
        <v>0</v>
      </c>
      <c r="U27">
        <v>0</v>
      </c>
      <c r="Z27"/>
      <c r="AF27">
        <v>0</v>
      </c>
      <c r="AH27">
        <v>0</v>
      </c>
      <c r="AX27">
        <f t="shared" si="14"/>
        <v>0</v>
      </c>
      <c r="AY27">
        <f t="shared" si="15"/>
        <v>0</v>
      </c>
      <c r="BC27">
        <f t="shared" si="16"/>
        <v>0</v>
      </c>
      <c r="BN27">
        <f t="shared" si="17"/>
        <v>0</v>
      </c>
      <c r="BP27">
        <f t="shared" si="18"/>
        <v>0</v>
      </c>
      <c r="CG27" s="158">
        <f t="shared" si="19"/>
        <v>2039</v>
      </c>
      <c r="CH27" s="72">
        <f>INDEX(Table3Compare!$B$6:$H$32,MATCH($CG27,Table3Compare!$A$6:$A$32,0),MATCH(CH$9,Table3Compare!$B$5:$H$5,0))</f>
        <v>155.43173617287775</v>
      </c>
      <c r="CI27" s="72">
        <f>INDEX(Table3Compare!$B$6:$H$32,MATCH($CG27,Table3Compare!$A$6:$A$32,0),MATCH(CI$9,Table3Compare!$B$5:$H$5,0))</f>
        <v>152.98691305009541</v>
      </c>
      <c r="CJ27" s="72"/>
      <c r="CK27" s="72"/>
      <c r="CL27" s="72"/>
      <c r="CM27" s="72">
        <f>INDEX(Table3Compare!$B$6:$H$32,MATCH($CG27,Table3Compare!$A$6:$A$32,0),MATCH(CM$9,Table3Compare!$B$5:$H$5,0))</f>
        <v>184.40733462666643</v>
      </c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>
        <f>INDEX(Table3Compare!$B$6:$H$32,MATCH($CG27,Table3Compare!$A$6:$A$32,0),MATCH(CX$9,Table3Compare!$B$5:$H$5,0))</f>
        <v>142.35509120526794</v>
      </c>
      <c r="CY27" s="72"/>
      <c r="CZ27" s="72">
        <f>INDEX(Table3Compare!$B$6:$H$32,MATCH($CG27,Table3Compare!$A$6:$A$32,0),MATCH(CZ$9,Table3Compare!$B$5:$H$5,0))</f>
        <v>178.25918844812242</v>
      </c>
      <c r="DA27" s="72"/>
      <c r="DB27" s="72"/>
      <c r="DC27" s="72"/>
      <c r="DD27" s="72"/>
      <c r="DE27" s="72"/>
      <c r="DF27" s="167"/>
      <c r="DG27" s="167"/>
      <c r="DH27" s="72"/>
      <c r="DI27" s="167"/>
      <c r="DJ27" s="167"/>
      <c r="DK27" s="167"/>
      <c r="DL27" s="167"/>
      <c r="DM27" s="167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11.065496946114809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11.065496946114809</v>
      </c>
      <c r="FC27">
        <f t="shared" si="21"/>
        <v>2039</v>
      </c>
      <c r="FD27" s="71" cm="1">
        <f t="array" ref="FD27">FD26*INDEX('2025 IRP Assumptions'!$E$275:$E$298,'PV_.PX.WMV._.PTC.2032'!$B27-2023,1)/INDEX('2025 IRP Assumptions'!$E$275:$E$298,'PV_.PX.WMV._.PTC.2032'!$B27-2023-1,1)</f>
        <v>22.214741347290545</v>
      </c>
      <c r="FE27" s="98">
        <f t="shared" si="24"/>
        <v>0</v>
      </c>
    </row>
    <row r="28" spans="2:161">
      <c r="B28" s="255">
        <f t="shared" si="22"/>
        <v>2040</v>
      </c>
      <c r="C28" s="8">
        <f t="shared" si="12"/>
        <v>141.33405978634943</v>
      </c>
      <c r="D28" s="256"/>
      <c r="E28" s="8">
        <f t="shared" ref="E28:E31" ca="1" si="26">SUMIF(INDIRECT("'Table 5'!$J$"&amp;$K$3&amp;":$J$"&amp;$K$4),B28,INDIRECT("'Table 5'!$c$"&amp;$K$3&amp;":$c$"&amp;$K$4))/SUMIF(INDIRECT("'Table 5'!$J$"&amp;$K$3&amp;":$J$"&amp;$K$4),B28,INDIRECT("'Table 5'!$f$"&amp;$K$3&amp;":$f$"&amp;$K$4))</f>
        <v>-38.650090548311418</v>
      </c>
      <c r="F28" s="33"/>
      <c r="G28" s="8">
        <f t="shared" ref="G28:G31" ca="1" si="27">SUMIF(INDIRECT("'Table 5'!$J$"&amp;$K$3&amp;":$J$"&amp;$K$4),B28,INDIRECT("'Table 5'!$e$"&amp;$K$3&amp;":$e$"&amp;$K$4))/SUMIF(INDIRECT("'Table 5'!$J$"&amp;$K$3&amp;":$J$"&amp;$K$4),B28,INDIRECT("'Table 5'!$f$"&amp;$K$3&amp;":$f$"&amp;$K$4))</f>
        <v>18.960172050231527</v>
      </c>
      <c r="H28" s="33"/>
      <c r="I28" s="8"/>
      <c r="J28" s="152"/>
      <c r="M28" s="46"/>
      <c r="O28">
        <f t="shared" si="13"/>
        <v>2040</v>
      </c>
      <c r="P28">
        <v>0</v>
      </c>
      <c r="Q28">
        <v>0</v>
      </c>
      <c r="U28">
        <v>0</v>
      </c>
      <c r="Z28"/>
      <c r="AF28">
        <v>0</v>
      </c>
      <c r="AH28">
        <v>0</v>
      </c>
      <c r="AX28">
        <f t="shared" si="14"/>
        <v>0</v>
      </c>
      <c r="AY28">
        <f t="shared" si="15"/>
        <v>0</v>
      </c>
      <c r="BC28">
        <f t="shared" si="16"/>
        <v>0</v>
      </c>
      <c r="BN28">
        <f t="shared" si="17"/>
        <v>0</v>
      </c>
      <c r="BP28">
        <f t="shared" si="18"/>
        <v>0</v>
      </c>
      <c r="CG28" s="158">
        <f t="shared" si="19"/>
        <v>2040</v>
      </c>
      <c r="CH28" s="72">
        <f>INDEX(Table3Compare!$B$6:$H$32,MATCH($CG28,Table3Compare!$A$6:$A$32,0),MATCH(CH$9,Table3Compare!$B$5:$H$5,0))</f>
        <v>158.82014806875296</v>
      </c>
      <c r="CI28" s="72">
        <f>INDEX(Table3Compare!$B$6:$H$32,MATCH($CG28,Table3Compare!$A$6:$A$32,0),MATCH(CI$9,Table3Compare!$B$5:$H$5,0))</f>
        <v>156.32202780114989</v>
      </c>
      <c r="CJ28" s="72"/>
      <c r="CK28" s="72"/>
      <c r="CL28" s="72"/>
      <c r="CM28" s="72">
        <f>INDEX(Table3Compare!$B$6:$H$32,MATCH($CG28,Table3Compare!$A$6:$A$32,0),MATCH(CM$9,Table3Compare!$B$5:$H$5,0))</f>
        <v>188.42741457765308</v>
      </c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>
        <f>INDEX(Table3Compare!$B$6:$H$32,MATCH($CG28,Table3Compare!$A$6:$A$32,0),MATCH(CX$9,Table3Compare!$B$5:$H$5,0))</f>
        <v>145.4584322368693</v>
      </c>
      <c r="CY28" s="72"/>
      <c r="CZ28" s="72">
        <f>INDEX(Table3Compare!$B$6:$H$32,MATCH($CG28,Table3Compare!$A$6:$A$32,0),MATCH(CZ$9,Table3Compare!$B$5:$H$5,0))</f>
        <v>182.14523881054561</v>
      </c>
      <c r="DA28" s="72"/>
      <c r="DB28" s="72"/>
      <c r="DC28" s="72"/>
      <c r="DD28" s="72"/>
      <c r="DE28" s="72"/>
      <c r="DF28" s="167"/>
      <c r="DG28" s="167"/>
      <c r="DH28" s="72"/>
      <c r="DI28" s="167"/>
      <c r="DJ28" s="167"/>
      <c r="DK28" s="167"/>
      <c r="DL28" s="167"/>
      <c r="DM28" s="167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11.306724782907953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11.306724782907953</v>
      </c>
      <c r="FC28">
        <f t="shared" si="21"/>
        <v>2040</v>
      </c>
      <c r="FD28" s="71" cm="1">
        <f t="array" ref="FD28">FD27*INDEX('2025 IRP Assumptions'!$E$275:$E$298,'PV_.PX.WMV._.PTC.2032'!$B28-2023,1)/INDEX('2025 IRP Assumptions'!$E$275:$E$298,'PV_.PX.WMV._.PTC.2032'!$B28-2023-1,1)</f>
        <v>22.699022709492887</v>
      </c>
      <c r="FE28" s="98">
        <f t="shared" si="24"/>
        <v>0</v>
      </c>
    </row>
    <row r="29" spans="2:161">
      <c r="B29" s="255">
        <f t="shared" si="22"/>
        <v>2041</v>
      </c>
      <c r="C29" s="8">
        <f t="shared" si="12"/>
        <v>144.41514222195062</v>
      </c>
      <c r="D29" s="256"/>
      <c r="E29" s="8">
        <f t="shared" ca="1" si="26"/>
        <v>-38.119912305088135</v>
      </c>
      <c r="F29" s="33"/>
      <c r="G29" s="8">
        <f t="shared" ca="1" si="27"/>
        <v>21.109322863432332</v>
      </c>
      <c r="H29" s="33"/>
      <c r="I29" s="8"/>
      <c r="J29" s="152"/>
      <c r="M29" s="98"/>
      <c r="O29">
        <f t="shared" si="13"/>
        <v>2041</v>
      </c>
      <c r="P29">
        <v>0</v>
      </c>
      <c r="Q29">
        <v>0</v>
      </c>
      <c r="U29">
        <v>0</v>
      </c>
      <c r="Z29"/>
      <c r="AF29">
        <v>0</v>
      </c>
      <c r="AH29">
        <v>0</v>
      </c>
      <c r="AX29">
        <f t="shared" si="14"/>
        <v>0</v>
      </c>
      <c r="AY29">
        <f t="shared" si="15"/>
        <v>0</v>
      </c>
      <c r="BC29">
        <f t="shared" si="16"/>
        <v>0</v>
      </c>
      <c r="BN29">
        <f t="shared" si="17"/>
        <v>0</v>
      </c>
      <c r="BP29">
        <f t="shared" si="18"/>
        <v>0</v>
      </c>
      <c r="CG29" s="158">
        <f t="shared" si="19"/>
        <v>2041</v>
      </c>
      <c r="CH29" s="72">
        <f>INDEX(Table3Compare!$B$6:$H$32,MATCH($CG29,Table3Compare!$A$6:$A$32,0),MATCH(CH$9,Table3Compare!$B$5:$H$5,0))</f>
        <v>162.28242722052951</v>
      </c>
      <c r="CI29" s="72">
        <f>INDEX(Table3Compare!$B$6:$H$32,MATCH($CG29,Table3Compare!$A$6:$A$32,0),MATCH(CI$9,Table3Compare!$B$5:$H$5,0))</f>
        <v>159.72984793229006</v>
      </c>
      <c r="CJ29" s="72"/>
      <c r="CK29" s="72"/>
      <c r="CL29" s="72"/>
      <c r="CM29" s="72">
        <f>INDEX(Table3Compare!$B$6:$H$32,MATCH($CG29,Table3Compare!$A$6:$A$32,0),MATCH(CM$9,Table3Compare!$B$5:$H$5,0))</f>
        <v>192.53513212513292</v>
      </c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>
        <f>INDEX(Table3Compare!$B$6:$H$32,MATCH($CG29,Table3Compare!$A$6:$A$32,0),MATCH(CX$9,Table3Compare!$B$5:$H$5,0))</f>
        <v>148.62942598991503</v>
      </c>
      <c r="CY29" s="72"/>
      <c r="CZ29" s="72">
        <f>INDEX(Table3Compare!$B$6:$H$32,MATCH($CG29,Table3Compare!$A$6:$A$32,0),MATCH(CZ$9,Table3Compare!$B$5:$H$5,0))</f>
        <v>186.11600492931359</v>
      </c>
      <c r="DA29" s="72"/>
      <c r="DB29" s="72"/>
      <c r="DC29" s="72"/>
      <c r="DD29" s="72"/>
      <c r="DE29" s="72"/>
      <c r="DF29" s="167"/>
      <c r="DG29" s="167"/>
      <c r="DH29" s="72"/>
      <c r="DI29" s="167"/>
      <c r="DJ29" s="167"/>
      <c r="DK29" s="167"/>
      <c r="DL29" s="167"/>
      <c r="DM29" s="167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11.55321137775605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11.55321137775605</v>
      </c>
      <c r="FC29">
        <f t="shared" si="21"/>
        <v>2041</v>
      </c>
      <c r="FD29" s="71" cm="1">
        <f t="array" ref="FD29">FD28*INDEX('2025 IRP Assumptions'!$E$275:$E$298,'PV_.PX.WMV._.PTC.2032'!$B29-2023,1)/INDEX('2025 IRP Assumptions'!$E$275:$E$298,'PV_.PX.WMV._.PTC.2032'!$B29-2023-1,1)</f>
        <v>23.193861411623729</v>
      </c>
      <c r="FE29" s="98">
        <f t="shared" si="24"/>
        <v>0</v>
      </c>
    </row>
    <row r="30" spans="2:161">
      <c r="B30" s="255">
        <f t="shared" si="22"/>
        <v>2042</v>
      </c>
      <c r="C30" s="8">
        <f t="shared" si="12"/>
        <v>147.56339232779405</v>
      </c>
      <c r="D30" s="256"/>
      <c r="E30" s="8">
        <f t="shared" ca="1" si="26"/>
        <v>9.908756061494616</v>
      </c>
      <c r="F30" s="33"/>
      <c r="G30" s="8">
        <f t="shared" ca="1" si="27"/>
        <v>70.679886082995608</v>
      </c>
      <c r="H30" s="33"/>
      <c r="I30" s="8"/>
      <c r="J30" s="152"/>
      <c r="M30" s="98"/>
      <c r="O30">
        <f t="shared" si="13"/>
        <v>2042</v>
      </c>
      <c r="P30">
        <v>0</v>
      </c>
      <c r="Q30">
        <v>0</v>
      </c>
      <c r="U30">
        <v>0</v>
      </c>
      <c r="Z30"/>
      <c r="AF30">
        <v>0</v>
      </c>
      <c r="AH30">
        <v>0</v>
      </c>
      <c r="AX30">
        <f t="shared" si="14"/>
        <v>0</v>
      </c>
      <c r="AY30">
        <f t="shared" si="15"/>
        <v>0</v>
      </c>
      <c r="BC30">
        <f t="shared" si="16"/>
        <v>0</v>
      </c>
      <c r="BN30">
        <f t="shared" si="17"/>
        <v>0</v>
      </c>
      <c r="BP30">
        <f t="shared" si="18"/>
        <v>0</v>
      </c>
      <c r="CG30" s="158">
        <f t="shared" si="19"/>
        <v>2042</v>
      </c>
      <c r="CH30" s="72">
        <f>INDEX(Table3Compare!$B$6:$H$32,MATCH($CG30,Table3Compare!$A$6:$A$32,0),MATCH(CH$9,Table3Compare!$B$5:$H$5,0))</f>
        <v>165.82018414001064</v>
      </c>
      <c r="CI30" s="72">
        <f>INDEX(Table3Compare!$B$6:$H$32,MATCH($CG30,Table3Compare!$A$6:$A$32,0),MATCH(CI$9,Table3Compare!$B$5:$H$5,0))</f>
        <v>163.21195862319203</v>
      </c>
      <c r="CJ30" s="72"/>
      <c r="CK30" s="72"/>
      <c r="CL30" s="72"/>
      <c r="CM30" s="72">
        <f>INDEX(Table3Compare!$B$6:$H$32,MATCH($CG30,Table3Compare!$A$6:$A$32,0),MATCH(CM$9,Table3Compare!$B$5:$H$5,0))</f>
        <v>196.73239801266666</v>
      </c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>
        <f>INDEX(Table3Compare!$B$6:$H$32,MATCH($CG30,Table3Compare!$A$6:$A$32,0),MATCH(CX$9,Table3Compare!$B$5:$H$5,0))</f>
        <v>151.86954748205781</v>
      </c>
      <c r="CY30" s="72"/>
      <c r="CZ30" s="72">
        <f>INDEX(Table3Compare!$B$6:$H$32,MATCH($CG30,Table3Compare!$A$6:$A$32,0),MATCH(CZ$9,Table3Compare!$B$5:$H$5,0))</f>
        <v>190.17333384373819</v>
      </c>
      <c r="DA30" s="72"/>
      <c r="DB30" s="72"/>
      <c r="DC30" s="72"/>
      <c r="DD30" s="72"/>
      <c r="DE30" s="72"/>
      <c r="DF30" s="167"/>
      <c r="DG30" s="167"/>
      <c r="DH30" s="72"/>
      <c r="DI30" s="167"/>
      <c r="DJ30" s="167"/>
      <c r="DK30" s="167"/>
      <c r="DL30" s="167"/>
      <c r="DM30" s="167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11.805071386223524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11.805071386223524</v>
      </c>
      <c r="FC30">
        <f t="shared" si="21"/>
        <v>2042</v>
      </c>
      <c r="FD30" s="71" cm="1">
        <f t="array" ref="FD30">FD29*INDEX('2025 IRP Assumptions'!$E$275:$E$298,'PV_.PX.WMV._.PTC.2032'!$B30-2023,1)/INDEX('2025 IRP Assumptions'!$E$275:$E$298,'PV_.PX.WMV._.PTC.2032'!$B30-2023-1,1)</f>
        <v>23.699487584629612</v>
      </c>
      <c r="FE30" s="98">
        <f t="shared" si="24"/>
        <v>0</v>
      </c>
    </row>
    <row r="31" spans="2:161">
      <c r="B31" s="255">
        <f t="shared" si="22"/>
        <v>2043</v>
      </c>
      <c r="C31" s="8">
        <f t="shared" si="12"/>
        <v>150.78027432646144</v>
      </c>
      <c r="D31" s="256"/>
      <c r="E31" s="8">
        <f t="shared" ca="1" si="26"/>
        <v>9.3388553699743184</v>
      </c>
      <c r="F31" s="33"/>
      <c r="G31" s="8">
        <f t="shared" ca="1" si="27"/>
        <v>71.762430756720576</v>
      </c>
      <c r="H31" s="33"/>
      <c r="I31" s="8"/>
      <c r="J31" s="152"/>
      <c r="M31" s="98"/>
      <c r="O31">
        <f t="shared" si="13"/>
        <v>2043</v>
      </c>
      <c r="P31">
        <v>0</v>
      </c>
      <c r="Q31">
        <v>0</v>
      </c>
      <c r="U31">
        <v>0</v>
      </c>
      <c r="Z31"/>
      <c r="AF31">
        <v>0</v>
      </c>
      <c r="AH31">
        <v>0</v>
      </c>
      <c r="AX31">
        <f t="shared" si="14"/>
        <v>0</v>
      </c>
      <c r="AY31">
        <f t="shared" si="15"/>
        <v>0</v>
      </c>
      <c r="BC31">
        <f t="shared" si="16"/>
        <v>0</v>
      </c>
      <c r="BN31">
        <f t="shared" si="17"/>
        <v>0</v>
      </c>
      <c r="BP31">
        <f t="shared" si="18"/>
        <v>0</v>
      </c>
      <c r="CG31" s="158">
        <f t="shared" si="19"/>
        <v>2043</v>
      </c>
      <c r="CH31" s="72">
        <f>INDEX(Table3Compare!$B$6:$H$32,MATCH($CG31,Table3Compare!$A$6:$A$32,0),MATCH(CH$9,Table3Compare!$B$5:$H$5,0))</f>
        <v>169.43506420586584</v>
      </c>
      <c r="CI31" s="72">
        <f>INDEX(Table3Compare!$B$6:$H$32,MATCH($CG31,Table3Compare!$A$6:$A$32,0),MATCH(CI$9,Table3Compare!$B$5:$H$5,0))</f>
        <v>166.7699793719689</v>
      </c>
      <c r="CJ31" s="72"/>
      <c r="CK31" s="72"/>
      <c r="CL31" s="72"/>
      <c r="CM31" s="72">
        <f>INDEX(Table3Compare!$B$6:$H$32,MATCH($CG31,Table3Compare!$A$6:$A$32,0),MATCH(CM$9,Table3Compare!$B$5:$H$5,0))</f>
        <v>201.02116435056558</v>
      </c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>
        <f>INDEX(Table3Compare!$B$6:$H$32,MATCH($CG31,Table3Compare!$A$6:$A$32,0),MATCH(CX$9,Table3Compare!$B$5:$H$5,0))</f>
        <v>155.18030366442821</v>
      </c>
      <c r="CY31" s="72"/>
      <c r="CZ31" s="72">
        <f>INDEX(Table3Compare!$B$6:$H$32,MATCH($CG31,Table3Compare!$A$6:$A$32,0),MATCH(CZ$9,Table3Compare!$B$5:$H$5,0))</f>
        <v>194.31911258071329</v>
      </c>
      <c r="DA31" s="72"/>
      <c r="DB31" s="72"/>
      <c r="DC31" s="72"/>
      <c r="DD31" s="72"/>
      <c r="DE31" s="72"/>
      <c r="DF31" s="167"/>
      <c r="DG31" s="167"/>
      <c r="DH31" s="72"/>
      <c r="DI31" s="167"/>
      <c r="DJ31" s="167"/>
      <c r="DK31" s="167"/>
      <c r="DL31" s="167"/>
      <c r="DM31" s="167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12.062421946116913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12.062421946116913</v>
      </c>
      <c r="FC31">
        <f t="shared" si="21"/>
        <v>2043</v>
      </c>
      <c r="FD31" s="71" cm="1">
        <f t="array" ref="FD31">FD30*INDEX('2025 IRP Assumptions'!$E$275:$E$298,'PV_.PX.WMV._.PTC.2032'!$B31-2023,1)/INDEX('2025 IRP Assumptions'!$E$275:$E$298,'PV_.PX.WMV._.PTC.2032'!$B31-2023-1,1)</f>
        <v>24.216136424893708</v>
      </c>
      <c r="FE31" s="98">
        <f t="shared" ref="FE31:FE32" si="28">$FD$5*FD31/1000</f>
        <v>0</v>
      </c>
    </row>
    <row r="32" spans="2:161">
      <c r="B32" s="255">
        <f t="shared" si="22"/>
        <v>2044</v>
      </c>
      <c r="C32" s="8">
        <f t="shared" si="12"/>
        <v>154.06728426928444</v>
      </c>
      <c r="D32" s="256"/>
      <c r="E32" s="8">
        <f t="shared" ref="E32" ca="1" si="29">SUMIF(INDIRECT("'Table 5'!$J$"&amp;$K$3&amp;":$J$"&amp;$K$4),B32,INDIRECT("'Table 5'!$c$"&amp;$K$3&amp;":$c$"&amp;$K$4))/SUMIF(INDIRECT("'Table 5'!$J$"&amp;$K$3&amp;":$J$"&amp;$K$4),B32,INDIRECT("'Table 5'!$f$"&amp;$K$3&amp;":$f$"&amp;$K$4))</f>
        <v>6.8935430709334238</v>
      </c>
      <c r="F32" s="33"/>
      <c r="G32" s="8">
        <f t="shared" ref="G32" ca="1" si="30">SUMIF(INDIRECT("'Table 5'!$J$"&amp;$K$3&amp;":$J$"&amp;$K$4),B32,INDIRECT("'Table 5'!$e$"&amp;$K$3&amp;":$e$"&amp;$K$4))/SUMIF(INDIRECT("'Table 5'!$J$"&amp;$K$3&amp;":$J$"&amp;$K$4),B32,INDIRECT("'Table 5'!$f$"&amp;$K$3&amp;":$f$"&amp;$K$4))</f>
        <v>71.055050998459393</v>
      </c>
      <c r="H32" s="33"/>
      <c r="I32" s="8"/>
      <c r="J32" s="98"/>
      <c r="M32" s="98"/>
      <c r="O32">
        <f t="shared" si="13"/>
        <v>2044</v>
      </c>
      <c r="P32">
        <v>0</v>
      </c>
      <c r="Q32">
        <v>0</v>
      </c>
      <c r="U32">
        <v>0</v>
      </c>
      <c r="Z32"/>
      <c r="AF32">
        <v>0</v>
      </c>
      <c r="AH32">
        <v>0</v>
      </c>
      <c r="AX32">
        <f t="shared" si="14"/>
        <v>0</v>
      </c>
      <c r="AY32">
        <f t="shared" si="15"/>
        <v>0</v>
      </c>
      <c r="BC32">
        <f t="shared" si="16"/>
        <v>0</v>
      </c>
      <c r="BN32">
        <f t="shared" si="17"/>
        <v>0</v>
      </c>
      <c r="BP32">
        <f t="shared" si="18"/>
        <v>0</v>
      </c>
      <c r="CG32" s="158">
        <f t="shared" si="19"/>
        <v>2044</v>
      </c>
      <c r="CH32" s="72">
        <f>INDEX(Table3Compare!$B$6:$H$32,MATCH($CG32,Table3Compare!$A$6:$A$32,0),MATCH(CH$9,Table3Compare!$B$5:$H$5,0))</f>
        <v>173.12874856342106</v>
      </c>
      <c r="CI32" s="72">
        <f>INDEX(Table3Compare!$B$6:$H$32,MATCH($CG32,Table3Compare!$A$6:$A$32,0),MATCH(CI$9,Table3Compare!$B$5:$H$5,0))</f>
        <v>170.40556488080787</v>
      </c>
      <c r="CJ32" s="72"/>
      <c r="CK32" s="72"/>
      <c r="CL32" s="72"/>
      <c r="CM32" s="72">
        <f>INDEX(Table3Compare!$B$6:$H$32,MATCH($CG32,Table3Compare!$A$6:$A$32,0),MATCH(CM$9,Table3Compare!$B$5:$H$5,0))</f>
        <v>205.40342568342086</v>
      </c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>
        <f>INDEX(Table3Compare!$B$6:$H$32,MATCH($CG32,Table3Compare!$A$6:$A$32,0),MATCH(CX$9,Table3Compare!$B$5:$H$5,0))</f>
        <v>158.56323424572474</v>
      </c>
      <c r="CY32" s="72"/>
      <c r="CZ32" s="72">
        <f>INDEX(Table3Compare!$B$6:$H$32,MATCH($CG32,Table3Compare!$A$6:$A$32,0),MATCH(CZ$9,Table3Compare!$B$5:$H$5,0))</f>
        <v>198.55526918665237</v>
      </c>
      <c r="DA32" s="72"/>
      <c r="DB32" s="72"/>
      <c r="DC32" s="72"/>
      <c r="DD32" s="72"/>
      <c r="DE32" s="72"/>
      <c r="DF32" s="167"/>
      <c r="DG32" s="167"/>
      <c r="DH32" s="72"/>
      <c r="DI32" s="167"/>
      <c r="DJ32" s="167"/>
      <c r="DK32" s="167"/>
      <c r="DL32" s="167"/>
      <c r="DM32" s="167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12.325382741542755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12.325382741542755</v>
      </c>
      <c r="FC32">
        <f t="shared" si="21"/>
        <v>2044</v>
      </c>
      <c r="FD32" s="71" cm="1">
        <f t="array" ref="FD32">FD31*INDEX('2025 IRP Assumptions'!$E$275:$E$298,'PV_.PX.WMV._.PTC.2032'!$B32-2023,1)/INDEX('2025 IRP Assumptions'!$E$275:$E$298,'PV_.PX.WMV._.PTC.2032'!$B32-2023-1,1)</f>
        <v>24.744048194235834</v>
      </c>
      <c r="FE32" s="98">
        <f t="shared" si="28"/>
        <v>0</v>
      </c>
    </row>
    <row r="33" spans="1:161">
      <c r="B33" s="255">
        <f t="shared" si="22"/>
        <v>2045</v>
      </c>
      <c r="C33" s="8">
        <f t="shared" ref="C33" si="31">(INDEX($FA:$FA,MATCH(B33,$O:$O,0),1)+INDEX($FE:$FE,MATCH(B33,$O:$O,0),1))*1000/Study_MW</f>
        <v>157.42595113733893</v>
      </c>
      <c r="D33" s="256"/>
      <c r="E33" s="8">
        <f t="shared" ref="E33" ca="1" si="32">SUMIF(INDIRECT("'Table 5'!$J$"&amp;$K$3&amp;":$J$"&amp;$K$4),B33,INDIRECT("'Table 5'!$c$"&amp;$K$3&amp;":$c$"&amp;$K$4))/SUMIF(INDIRECT("'Table 5'!$J$"&amp;$K$3&amp;":$J$"&amp;$K$4),B33,INDIRECT("'Table 5'!$f$"&amp;$K$3&amp;":$f$"&amp;$K$4))</f>
        <v>7.0438223098797739</v>
      </c>
      <c r="F33" s="33"/>
      <c r="G33" s="8">
        <f t="shared" ref="G33" ca="1" si="33">SUMIF(INDIRECT("'Table 5'!$J$"&amp;$K$3&amp;":$J$"&amp;$K$4),B33,INDIRECT("'Table 5'!$e$"&amp;$K$3&amp;":$e$"&amp;$K$4))/SUMIF(INDIRECT("'Table 5'!$J$"&amp;$K$3&amp;":$J$"&amp;$K$4),B33,INDIRECT("'Table 5'!$f$"&amp;$K$3&amp;":$f$"&amp;$K$4))</f>
        <v>72.604051139787217</v>
      </c>
      <c r="H33" s="33"/>
      <c r="I33" s="8"/>
      <c r="J33" s="98"/>
      <c r="M33" s="98"/>
      <c r="O33">
        <f t="shared" ref="O33" si="34">B33</f>
        <v>2045</v>
      </c>
      <c r="P33">
        <v>0</v>
      </c>
      <c r="Q33">
        <v>0</v>
      </c>
      <c r="U33">
        <v>0</v>
      </c>
      <c r="Z33"/>
      <c r="AF33">
        <v>0</v>
      </c>
      <c r="AH33">
        <v>0</v>
      </c>
      <c r="AX33">
        <f t="shared" si="14"/>
        <v>0</v>
      </c>
      <c r="AY33">
        <f t="shared" si="15"/>
        <v>0</v>
      </c>
      <c r="BC33">
        <f t="shared" si="16"/>
        <v>0</v>
      </c>
      <c r="BN33">
        <f t="shared" si="17"/>
        <v>0</v>
      </c>
      <c r="BP33">
        <f t="shared" si="18"/>
        <v>0</v>
      </c>
      <c r="CG33" s="158">
        <f t="shared" si="19"/>
        <v>2045</v>
      </c>
      <c r="CH33" s="72">
        <f>INDEX(Table3Compare!$B$6:$H$32,MATCH($CG33,Table3Compare!$A$6:$A$32,0),MATCH(CH$9,Table3Compare!$B$5:$H$5,0))</f>
        <v>176.90295536187003</v>
      </c>
      <c r="CI33" s="72">
        <f>INDEX(Table3Compare!$B$6:$H$32,MATCH($CG33,Table3Compare!$A$6:$A$32,0),MATCH(CI$9,Table3Compare!$B$5:$H$5,0))</f>
        <v>174.12040627372122</v>
      </c>
      <c r="CJ33" s="72"/>
      <c r="CK33" s="72"/>
      <c r="CL33" s="72"/>
      <c r="CM33" s="72">
        <f>INDEX(Table3Compare!$B$6:$H$32,MATCH($CG33,Table3Compare!$A$6:$A$32,0),MATCH(CM$9,Table3Compare!$B$5:$H$5,0))</f>
        <v>209.88122045795592</v>
      </c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>
        <f>INDEX(Table3Compare!$B$6:$H$32,MATCH($CG33,Table3Compare!$A$6:$A$32,0),MATCH(CX$9,Table3Compare!$B$5:$H$5,0))</f>
        <v>162.01991282533709</v>
      </c>
      <c r="CY33" s="72"/>
      <c r="CZ33" s="72">
        <f>INDEX(Table3Compare!$B$6:$H$32,MATCH($CG33,Table3Compare!$A$6:$A$32,0),MATCH(CZ$9,Table3Compare!$B$5:$H$5,0))</f>
        <v>202.88377414640269</v>
      </c>
      <c r="DA33" s="72"/>
      <c r="DB33" s="72"/>
      <c r="DC33" s="72"/>
      <c r="DD33" s="72"/>
      <c r="DE33" s="72"/>
      <c r="DF33" s="167"/>
      <c r="DG33" s="167"/>
      <c r="DH33" s="72"/>
      <c r="DI33" s="167"/>
      <c r="DJ33" s="167"/>
      <c r="DK33" s="167"/>
      <c r="DL33" s="167"/>
      <c r="DM33" s="167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12.594076090987116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si="20"/>
        <v>12.594076090987116</v>
      </c>
      <c r="FC33">
        <f t="shared" si="21"/>
        <v>2045</v>
      </c>
      <c r="FD33" s="71" cm="1">
        <f t="array" ref="FD33">FD32*INDEX('2025 IRP Assumptions'!$E$275:$E$298,'PV_.PX.WMV._.PTC.2032'!$B33-2023,1)/INDEX('2025 IRP Assumptions'!$E$275:$E$298,'PV_.PX.WMV._.PTC.2032'!$B33-2023-1,1)</f>
        <v>25.283468435462936</v>
      </c>
      <c r="FE33" s="98">
        <f t="shared" ref="FE33:FE35" si="35">$FD$5*FD33/1000</f>
        <v>0</v>
      </c>
    </row>
    <row r="34" spans="1:161" hidden="1">
      <c r="B34" s="255">
        <f t="shared" si="22"/>
        <v>2046</v>
      </c>
      <c r="C34" s="8"/>
      <c r="D34" s="256"/>
      <c r="E34" s="8"/>
      <c r="F34" s="33"/>
      <c r="G34" s="8"/>
      <c r="H34" s="33"/>
      <c r="I34" s="8"/>
      <c r="J34" s="98"/>
      <c r="M34" s="98"/>
      <c r="O34">
        <f t="shared" ref="O34:O39" si="36">B34</f>
        <v>2046</v>
      </c>
      <c r="P34" t="e">
        <v>#N/A</v>
      </c>
      <c r="Q34" t="e">
        <v>#N/A</v>
      </c>
      <c r="U34" t="e">
        <v>#N/A</v>
      </c>
      <c r="Z34"/>
      <c r="AF34" t="e">
        <v>#N/A</v>
      </c>
      <c r="AH34" t="e">
        <v>#N/A</v>
      </c>
      <c r="AX34" t="e">
        <f t="shared" si="14"/>
        <v>#N/A</v>
      </c>
      <c r="AY34" t="e">
        <f t="shared" si="15"/>
        <v>#N/A</v>
      </c>
      <c r="BC34" t="e">
        <f t="shared" si="16"/>
        <v>#N/A</v>
      </c>
      <c r="BN34" t="e">
        <f t="shared" si="17"/>
        <v>#N/A</v>
      </c>
      <c r="BP34" t="e">
        <f t="shared" si="18"/>
        <v>#N/A</v>
      </c>
      <c r="CG34" s="158">
        <f t="shared" si="19"/>
        <v>2046</v>
      </c>
      <c r="CH34" s="72">
        <f>INDEX(Table3Compare!$B$6:$H$32,MATCH($CG34,Table3Compare!$A$6:$A$32,0),MATCH(CH$9,Table3Compare!$B$5:$H$5,0))</f>
        <v>180.7594397542743</v>
      </c>
      <c r="CI34" s="72">
        <f>INDEX(Table3Compare!$B$6:$H$32,MATCH($CG34,Table3Compare!$A$6:$A$32,0),MATCH(CI$9,Table3Compare!$B$5:$H$5,0))</f>
        <v>177.91623109654628</v>
      </c>
      <c r="CJ34" s="72"/>
      <c r="CK34" s="72"/>
      <c r="CL34" s="72"/>
      <c r="CM34" s="72">
        <f>INDEX(Table3Compare!$B$6:$H$32,MATCH($CG34,Table3Compare!$A$6:$A$32,0),MATCH(CM$9,Table3Compare!$B$5:$H$5,0))</f>
        <v>214.45663102302626</v>
      </c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>
        <f>INDEX(Table3Compare!$B$6:$H$32,MATCH($CG34,Table3Compare!$A$6:$A$32,0),MATCH(CX$9,Table3Compare!$B$5:$H$5,0))</f>
        <v>165.55194689334618</v>
      </c>
      <c r="CY34" s="72"/>
      <c r="CZ34" s="72">
        <f>INDEX(Table3Compare!$B$6:$H$32,MATCH($CG34,Table3Compare!$A$6:$A$32,0),MATCH(CZ$9,Table3Compare!$B$5:$H$5,0))</f>
        <v>207.30664038324522</v>
      </c>
      <c r="DA34" s="72"/>
      <c r="DB34" s="72"/>
      <c r="DC34" s="72"/>
      <c r="DD34" s="72"/>
      <c r="DE34" s="72"/>
      <c r="DF34" s="167"/>
      <c r="DG34" s="167"/>
      <c r="DH34" s="72"/>
      <c r="DI34" s="167"/>
      <c r="DJ34" s="167"/>
      <c r="DK34" s="167"/>
      <c r="DL34" s="167"/>
      <c r="DM34" s="167"/>
      <c r="DR34" t="e">
        <f>SUM(AX$13:AX34)*CH34/1000</f>
        <v>#N/A</v>
      </c>
      <c r="DS34" t="e">
        <f>SUM(AY$13:AY34)*CI34/1000</f>
        <v>#N/A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 t="e">
        <f>SUM(BC$13:BC34)*CM34/1000</f>
        <v>#N/A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 t="e">
        <f>SUM(BN$13:BN34)*CX34/1000</f>
        <v>#N/A</v>
      </c>
      <c r="EI34">
        <f>SUM(BO$13:BO34)*CY34/1000</f>
        <v>0</v>
      </c>
      <c r="EJ34" t="e">
        <f>SUM(BP$13:BP34)*CZ34/1000</f>
        <v>#N/A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2046</v>
      </c>
      <c r="FD34" s="71" t="e" cm="1">
        <f t="array" ref="FD34">FD33*INDEX('2025 IRP Assumptions'!$E$275:$E$298,'PV_.PX.WMV._.PTC.2032'!$B34-2023,1)/INDEX('2025 IRP Assumptions'!$E$275:$E$298,'PV_.PX.WMV._.PTC.2032'!$B34-2023-1,1)</f>
        <v>#REF!</v>
      </c>
      <c r="FE34" s="98" t="e">
        <f t="shared" si="35"/>
        <v>#REF!</v>
      </c>
    </row>
    <row r="35" spans="1:161" hidden="1">
      <c r="B35" s="255">
        <f t="shared" si="22"/>
        <v>2047</v>
      </c>
      <c r="C35" s="8"/>
      <c r="D35" s="256"/>
      <c r="E35" s="8"/>
      <c r="F35" s="33"/>
      <c r="G35" s="8"/>
      <c r="H35" s="33"/>
      <c r="I35" s="8"/>
      <c r="J35" s="98"/>
      <c r="M35" s="98"/>
      <c r="O35">
        <f t="shared" si="36"/>
        <v>2047</v>
      </c>
      <c r="P35" t="e">
        <v>#N/A</v>
      </c>
      <c r="Q35" t="e">
        <v>#N/A</v>
      </c>
      <c r="U35" t="e">
        <v>#N/A</v>
      </c>
      <c r="Z35"/>
      <c r="AF35" t="e">
        <v>#N/A</v>
      </c>
      <c r="AH35" t="e">
        <v>#N/A</v>
      </c>
      <c r="AX35" t="e">
        <f t="shared" si="14"/>
        <v>#N/A</v>
      </c>
      <c r="AY35" t="e">
        <f t="shared" si="15"/>
        <v>#N/A</v>
      </c>
      <c r="BC35" t="e">
        <f t="shared" si="16"/>
        <v>#N/A</v>
      </c>
      <c r="BN35" t="e">
        <f t="shared" si="17"/>
        <v>#N/A</v>
      </c>
      <c r="BP35" t="e">
        <f t="shared" si="18"/>
        <v>#N/A</v>
      </c>
      <c r="CG35" s="158">
        <f t="shared" si="19"/>
        <v>2047</v>
      </c>
      <c r="CH35" s="72">
        <f>INDEX(Table3Compare!$B$6:$H$32,MATCH($CG35,Table3Compare!$A$6:$A$32,0),MATCH(CH$9,Table3Compare!$B$5:$H$5,0))</f>
        <v>184.69999547219604</v>
      </c>
      <c r="CI35" s="72">
        <f>INDEX(Table3Compare!$B$6:$H$32,MATCH($CG35,Table3Compare!$A$6:$A$32,0),MATCH(CI$9,Table3Compare!$B$5:$H$5,0))</f>
        <v>181.79480486681047</v>
      </c>
      <c r="CJ35" s="72"/>
      <c r="CK35" s="72"/>
      <c r="CL35" s="72"/>
      <c r="CM35" s="72">
        <f>INDEX(Table3Compare!$B$6:$H$32,MATCH($CG35,Table3Compare!$A$6:$A$32,0),MATCH(CM$9,Table3Compare!$B$5:$H$5,0))</f>
        <v>219.13178549779573</v>
      </c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>
        <f>INDEX(Table3Compare!$B$6:$H$32,MATCH($CG35,Table3Compare!$A$6:$A$32,0),MATCH(CX$9,Table3Compare!$B$5:$H$5,0))</f>
        <v>169.16097927268129</v>
      </c>
      <c r="CY35" s="72"/>
      <c r="CZ35" s="72">
        <f>INDEX(Table3Compare!$B$6:$H$32,MATCH($CG35,Table3Compare!$A$6:$A$32,0),MATCH(CZ$9,Table3Compare!$B$5:$H$5,0))</f>
        <v>211.82592506478574</v>
      </c>
      <c r="DA35" s="72"/>
      <c r="DB35" s="72"/>
      <c r="DC35" s="72"/>
      <c r="DD35" s="72"/>
      <c r="DE35" s="72"/>
      <c r="DF35" s="167"/>
      <c r="DG35" s="167"/>
      <c r="DH35" s="72"/>
      <c r="DI35" s="167"/>
      <c r="DJ35" s="167"/>
      <c r="DK35" s="167"/>
      <c r="DL35" s="167"/>
      <c r="DM35" s="167"/>
      <c r="DR35" t="e">
        <f>SUM(AX$13:AX35)*CH35/1000</f>
        <v>#N/A</v>
      </c>
      <c r="DS35" t="e">
        <f>SUM(AY$13:AY35)*CI35/1000</f>
        <v>#N/A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 t="e">
        <f>SUM(BC$13:BC35)*CM35/1000</f>
        <v>#N/A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 t="e">
        <f>SUM(BN$13:BN35)*CX35/1000</f>
        <v>#N/A</v>
      </c>
      <c r="EI35">
        <f>SUM(BO$13:BO35)*CY35/1000</f>
        <v>0</v>
      </c>
      <c r="EJ35" t="e">
        <f>SUM(BP$13:BP35)*CZ35/1000</f>
        <v>#N/A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 t="e">
        <f t="shared" si="20"/>
        <v>#N/A</v>
      </c>
      <c r="FC35">
        <f t="shared" si="21"/>
        <v>2047</v>
      </c>
      <c r="FD35" s="71" t="e" cm="1">
        <f t="array" ref="FD35">FD34*INDEX('2025 IRP Assumptions'!$E$275:$E$298,'PV_.PX.WMV._.PTC.2032'!$B35-2023,1)/INDEX('2025 IRP Assumptions'!$E$275:$E$298,'PV_.PX.WMV._.PTC.2032'!$B35-2023-1,1)</f>
        <v>#REF!</v>
      </c>
      <c r="FE35" s="98" t="e">
        <f t="shared" si="35"/>
        <v>#REF!</v>
      </c>
    </row>
    <row r="36" spans="1:161" hidden="1">
      <c r="B36" s="255">
        <f t="shared" si="22"/>
        <v>2048</v>
      </c>
      <c r="C36" s="8"/>
      <c r="D36" s="256"/>
      <c r="E36" s="8"/>
      <c r="F36" s="33"/>
      <c r="G36" s="8"/>
      <c r="H36" s="33"/>
      <c r="J36" s="98"/>
      <c r="K36" s="98"/>
      <c r="O36">
        <f t="shared" si="36"/>
        <v>2048</v>
      </c>
      <c r="P36" t="e">
        <v>#N/A</v>
      </c>
      <c r="Q36" t="e">
        <v>#N/A</v>
      </c>
      <c r="U36" t="e">
        <v>#N/A</v>
      </c>
      <c r="Z36"/>
      <c r="AF36" t="e">
        <v>#N/A</v>
      </c>
      <c r="AH36" t="e">
        <v>#N/A</v>
      </c>
      <c r="CG36" s="158">
        <f t="shared" si="19"/>
        <v>2048</v>
      </c>
      <c r="CH36" s="72">
        <f>INDEX(Table3Compare!$B$6:$H$32,MATCH($CG36,Table3Compare!$A$6:$A$32,0),MATCH(CH$9,Table3Compare!$B$5:$H$5,0))</f>
        <v>188.72645530327031</v>
      </c>
      <c r="CI36" s="72">
        <f>INDEX(Table3Compare!$B$6:$H$32,MATCH($CG36,Table3Compare!$A$6:$A$32,0),MATCH(CI$9,Table3Compare!$B$5:$H$5,0))</f>
        <v>185.75793154379184</v>
      </c>
      <c r="CJ36" s="72"/>
      <c r="CK36" s="72"/>
      <c r="CL36" s="72"/>
      <c r="CM36" s="72">
        <f>INDEX(Table3Compare!$B$6:$H$32,MATCH($CG36,Table3Compare!$A$6:$A$32,0),MATCH(CM$9,Table3Compare!$B$5:$H$5,0))</f>
        <v>223.90885833833772</v>
      </c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>
        <f>INDEX(Table3Compare!$B$6:$H$32,MATCH($CG36,Table3Compare!$A$6:$A$32,0),MATCH(CX$9,Table3Compare!$B$5:$H$5,0))</f>
        <v>172.84868855651376</v>
      </c>
      <c r="CY36" s="72"/>
      <c r="CZ36" s="72">
        <f>INDEX(Table3Compare!$B$6:$H$32,MATCH($CG36,Table3Compare!$A$6:$A$32,0),MATCH(CZ$9,Table3Compare!$B$5:$H$5,0))</f>
        <v>216.44373015066566</v>
      </c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FD36" s="46"/>
      <c r="FE36" s="98"/>
    </row>
    <row r="37" spans="1:161" hidden="1">
      <c r="B37" s="255">
        <f t="shared" si="22"/>
        <v>2049</v>
      </c>
      <c r="C37" s="8"/>
      <c r="D37" s="256"/>
      <c r="E37" s="8"/>
      <c r="F37" s="33"/>
      <c r="G37" s="8"/>
      <c r="H37" s="33"/>
      <c r="J37" s="98"/>
      <c r="K37" s="98"/>
      <c r="O37">
        <f t="shared" si="36"/>
        <v>2049</v>
      </c>
      <c r="P37" t="e">
        <v>#N/A</v>
      </c>
      <c r="Q37" t="e">
        <v>#N/A</v>
      </c>
      <c r="U37" t="e">
        <v>#N/A</v>
      </c>
      <c r="Z37"/>
      <c r="AF37" t="e">
        <v>#N/A</v>
      </c>
      <c r="AH37" t="e">
        <v>#N/A</v>
      </c>
      <c r="CG37" s="158">
        <f t="shared" si="19"/>
        <v>2049</v>
      </c>
      <c r="CH37" s="72">
        <f>INDEX(Table3Compare!$B$6:$H$32,MATCH($CG37,Table3Compare!$A$6:$A$32,0),MATCH(CH$9,Table3Compare!$B$5:$H$5,0))</f>
        <v>192.84069195713124</v>
      </c>
      <c r="CI37" s="72">
        <f>INDEX(Table3Compare!$B$6:$H$32,MATCH($CG37,Table3Compare!$A$6:$A$32,0),MATCH(CI$9,Table3Compare!$B$5:$H$5,0))</f>
        <v>189.80745438082474</v>
      </c>
      <c r="CJ37" s="72"/>
      <c r="CK37" s="72"/>
      <c r="CL37" s="72"/>
      <c r="CM37" s="72">
        <f>INDEX(Table3Compare!$B$6:$H$32,MATCH($CG37,Table3Compare!$A$6:$A$32,0),MATCH(CM$9,Table3Compare!$B$5:$H$5,0))</f>
        <v>228.79007136498743</v>
      </c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>
        <f>INDEX(Table3Compare!$B$6:$H$32,MATCH($CG37,Table3Compare!$A$6:$A$32,0),MATCH(CX$9,Table3Compare!$B$5:$H$5,0))</f>
        <v>176.61678990133183</v>
      </c>
      <c r="CY37" s="72"/>
      <c r="CZ37" s="72">
        <f>INDEX(Table3Compare!$B$6:$H$32,MATCH($CG37,Table3Compare!$A$6:$A$32,0),MATCH(CZ$9,Table3Compare!$B$5:$H$5,0))</f>
        <v>221.1622033856622</v>
      </c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FD37" s="46"/>
      <c r="FE37" s="98"/>
    </row>
    <row r="38" spans="1:161" hidden="1">
      <c r="B38" s="255">
        <f t="shared" si="22"/>
        <v>2050</v>
      </c>
      <c r="C38" s="8"/>
      <c r="D38" s="256"/>
      <c r="E38" s="8"/>
      <c r="F38" s="33"/>
      <c r="G38" s="8"/>
      <c r="H38" s="33"/>
      <c r="J38" s="98"/>
      <c r="K38" s="98"/>
      <c r="O38">
        <f t="shared" si="36"/>
        <v>2050</v>
      </c>
      <c r="P38" t="e">
        <v>#N/A</v>
      </c>
      <c r="Q38" t="e">
        <v>#N/A</v>
      </c>
      <c r="U38" t="e">
        <v>#N/A</v>
      </c>
      <c r="Z38"/>
      <c r="AF38" t="e">
        <v>#N/A</v>
      </c>
      <c r="AH38" t="e">
        <v>#N/A</v>
      </c>
      <c r="CG38" s="158">
        <f t="shared" si="19"/>
        <v>2050</v>
      </c>
      <c r="CH38" s="72">
        <f>INDEX(Table3Compare!$B$6:$H$32,MATCH($CG38,Table3Compare!$A$6:$A$32,0),MATCH(CH$9,Table3Compare!$B$5:$H$5,0))</f>
        <v>197.04461896848215</v>
      </c>
      <c r="CI38" s="72">
        <f>INDEX(Table3Compare!$B$6:$H$32,MATCH($CG38,Table3Compare!$A$6:$A$32,0),MATCH(CI$9,Table3Compare!$B$5:$H$5,0))</f>
        <v>193.94525681416536</v>
      </c>
      <c r="CJ38" s="72"/>
      <c r="CK38" s="72"/>
      <c r="CL38" s="72"/>
      <c r="CM38" s="72">
        <f>INDEX(Table3Compare!$B$6:$H$32,MATCH($CG38,Table3Compare!$A$6:$A$32,0),MATCH(CM$9,Table3Compare!$B$5:$H$5,0))</f>
        <v>233.77769483376233</v>
      </c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>
        <f>INDEX(Table3Compare!$B$6:$H$32,MATCH($CG38,Table3Compare!$A$6:$A$32,0),MATCH(CX$9,Table3Compare!$B$5:$H$5,0))</f>
        <v>180.46703585403435</v>
      </c>
      <c r="CY38" s="72"/>
      <c r="CZ38" s="72">
        <f>INDEX(Table3Compare!$B$6:$H$32,MATCH($CG38,Table3Compare!$A$6:$A$32,0),MATCH(CZ$9,Table3Compare!$B$5:$H$5,0))</f>
        <v>225.98353933538777</v>
      </c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FD38" s="46"/>
      <c r="FE38" s="98"/>
    </row>
    <row r="39" spans="1:161" hidden="1">
      <c r="B39" s="255">
        <f t="shared" si="22"/>
        <v>2051</v>
      </c>
      <c r="C39" s="8"/>
      <c r="D39" s="256"/>
      <c r="E39" s="8"/>
      <c r="F39" s="8"/>
      <c r="G39" s="8"/>
      <c r="H39" s="8"/>
      <c r="I39" s="8"/>
      <c r="J39" s="8"/>
      <c r="K39" s="8"/>
      <c r="O39">
        <f t="shared" si="36"/>
        <v>2051</v>
      </c>
      <c r="P39" t="e">
        <v>#N/A</v>
      </c>
      <c r="Q39" t="e">
        <v>#N/A</v>
      </c>
      <c r="U39" t="e">
        <v>#N/A</v>
      </c>
      <c r="Z39"/>
      <c r="AF39" t="e">
        <v>#N/A</v>
      </c>
      <c r="AH39" t="e">
        <v>#N/A</v>
      </c>
      <c r="CG39" s="158">
        <f t="shared" si="19"/>
        <v>2051</v>
      </c>
      <c r="CH39" s="72" t="e">
        <f>INDEX(Table3Compare!$B$6:$H$32,MATCH($CG39,Table3Compare!$A$6:$A$32,0),MATCH(CH$9,Table3Compare!$B$5:$H$5,0))</f>
        <v>#N/A</v>
      </c>
      <c r="CI39" s="72" t="e">
        <f>INDEX(Table3Compare!$B$6:$H$32,MATCH($CG39,Table3Compare!$A$6:$A$32,0),MATCH(CI$9,Table3Compare!$B$5:$H$5,0))</f>
        <v>#N/A</v>
      </c>
      <c r="CJ39" s="72"/>
      <c r="CK39" s="72"/>
      <c r="CL39" s="72"/>
      <c r="CM39" s="72" t="e">
        <f>INDEX(Table3Compare!$B$6:$H$32,MATCH($CG39,Table3Compare!$A$6:$A$32,0),MATCH(CM$9,Table3Compare!$B$5:$H$5,0))</f>
        <v>#N/A</v>
      </c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 t="e">
        <f>INDEX(Table3Compare!$B$6:$H$32,MATCH($CG39,Table3Compare!$A$6:$A$32,0),MATCH(CX$9,Table3Compare!$B$5:$H$5,0))</f>
        <v>#N/A</v>
      </c>
      <c r="CY39" s="72"/>
      <c r="CZ39" s="72" t="e">
        <f>INDEX(Table3Compare!$B$6:$H$32,MATCH($CG39,Table3Compare!$A$6:$A$32,0),MATCH(CZ$9,Table3Compare!$B$5:$H$5,0))</f>
        <v>#N/A</v>
      </c>
      <c r="DA39" s="72"/>
      <c r="DB39" s="72"/>
      <c r="DC39" s="72"/>
      <c r="DD39" s="72"/>
      <c r="DE39" s="72"/>
      <c r="FD39" s="46"/>
      <c r="FE39" s="98"/>
    </row>
    <row r="40" spans="1:161" ht="12" customHeight="1">
      <c r="B40" s="255"/>
      <c r="C40" s="8"/>
      <c r="D40" s="256"/>
      <c r="E40" s="8"/>
      <c r="F40" s="8"/>
      <c r="G40" s="8"/>
      <c r="H40" s="8"/>
      <c r="I40" s="8"/>
      <c r="J40" s="8"/>
      <c r="K40" s="8"/>
      <c r="N40" t="s">
        <v>81</v>
      </c>
      <c r="P40">
        <v>2028</v>
      </c>
      <c r="Q40">
        <v>2029</v>
      </c>
      <c r="U40">
        <v>2032</v>
      </c>
      <c r="Z40"/>
      <c r="AF40">
        <v>2032</v>
      </c>
      <c r="AH40">
        <v>2036</v>
      </c>
    </row>
    <row r="41" spans="1:161">
      <c r="A41" s="449"/>
      <c r="B41" s="449"/>
      <c r="D41" s="8"/>
      <c r="F41" s="33"/>
      <c r="H41" s="33"/>
      <c r="I41"/>
      <c r="N41" t="s">
        <v>93</v>
      </c>
      <c r="P41" s="110">
        <v>0</v>
      </c>
      <c r="Q41" s="110">
        <v>0</v>
      </c>
      <c r="R41" s="110"/>
      <c r="S41" s="110"/>
      <c r="T41" s="110"/>
      <c r="U41" s="110">
        <v>0</v>
      </c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>
        <v>1</v>
      </c>
      <c r="AG41" s="110"/>
      <c r="AH41" s="110">
        <v>0</v>
      </c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</row>
    <row r="42" spans="1:161">
      <c r="A42" s="101"/>
      <c r="B42" s="45"/>
      <c r="I42" t="s">
        <v>264</v>
      </c>
      <c r="P42" s="95"/>
      <c r="Q42" s="95"/>
      <c r="R42" s="95"/>
      <c r="W42" s="110"/>
      <c r="X42" s="110"/>
      <c r="Y42" s="110"/>
      <c r="Z42" s="252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</row>
    <row r="43" spans="1:161">
      <c r="B43" s="40"/>
      <c r="C43" s="8"/>
      <c r="D43" s="8"/>
      <c r="H43" s="33"/>
      <c r="I43" s="58">
        <f>'2025 IRP Assumptions'!$C$217</f>
        <v>6.3799999999999996E-2</v>
      </c>
    </row>
    <row r="44" spans="1:161">
      <c r="B44" s="40"/>
      <c r="E44" s="8"/>
      <c r="G44" s="102"/>
      <c r="H44" s="33"/>
    </row>
    <row r="45" spans="1:161">
      <c r="A45" s="450"/>
      <c r="B45" s="450"/>
      <c r="E45" s="8"/>
      <c r="G45" s="102"/>
      <c r="H45" s="33"/>
      <c r="I45" s="3" t="s">
        <v>265</v>
      </c>
      <c r="J45" s="280">
        <v>2.18E-2</v>
      </c>
    </row>
    <row r="46" spans="1:161" ht="13.7" customHeight="1">
      <c r="A46" s="45"/>
      <c r="B46" s="45"/>
      <c r="H46" s="33"/>
      <c r="I46"/>
    </row>
    <row r="47" spans="1:161" ht="21" customHeight="1">
      <c r="A47" s="450" t="str">
        <f>'Table 5'!A10</f>
        <v>15 Year Starting 2025</v>
      </c>
      <c r="B47" s="450"/>
      <c r="E47" s="8"/>
      <c r="G47" s="57"/>
      <c r="H47" s="33"/>
      <c r="I47"/>
    </row>
    <row r="48" spans="1:161">
      <c r="B48" s="45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9"/>
    </row>
    <row r="49" spans="1:13">
      <c r="B49" s="40" t="s">
        <v>8</v>
      </c>
      <c r="C49" s="8">
        <f ca="1">'Table 5'!$D$10*(Study_CF*8.76)/'Table 5'!$F$10</f>
        <v>55.006139157978055</v>
      </c>
      <c r="D49" s="8"/>
      <c r="H49" s="33"/>
      <c r="I49"/>
    </row>
    <row r="50" spans="1:13">
      <c r="B50" s="40" t="s">
        <v>31</v>
      </c>
      <c r="E50" s="8">
        <f ca="1">'Table 5'!$C$10/'Table 5'!$F$10</f>
        <v>4.5507607380050716</v>
      </c>
      <c r="G50" s="102">
        <f ca="1">'Table 5'!$G$10</f>
        <v>25.349832052699245</v>
      </c>
      <c r="H50" s="8"/>
      <c r="I50" s="8"/>
      <c r="J50" s="8"/>
      <c r="K50" s="8"/>
    </row>
    <row r="51" spans="1:13" ht="8.25" customHeight="1">
      <c r="A51" s="450"/>
      <c r="B51" s="450"/>
      <c r="E51" s="8"/>
      <c r="G51" s="57"/>
      <c r="H51" s="33"/>
    </row>
    <row r="52" spans="1:13">
      <c r="A52" s="450" t="str">
        <f>'Table 5'!A8</f>
        <v>15 Year Starting 2026</v>
      </c>
      <c r="B52" s="450"/>
      <c r="E52" s="8"/>
      <c r="G52" s="8"/>
      <c r="H52" s="33"/>
      <c r="I52"/>
      <c r="M52" s="59"/>
    </row>
    <row r="53" spans="1:13">
      <c r="B53" s="45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102"/>
      <c r="H53" s="33"/>
      <c r="I53"/>
    </row>
    <row r="54" spans="1:13">
      <c r="B54" s="40" t="s">
        <v>8</v>
      </c>
      <c r="C54" s="8">
        <f ca="1">'Table 5'!$D$8*(Study_CF*8.76)/'Table 5'!$F$8</f>
        <v>64.915241323760284</v>
      </c>
      <c r="D54" s="8"/>
      <c r="E54" s="8">
        <f ca="1">'Table 5'!$C$8/'Table 5'!$F$8</f>
        <v>0.96846019779724746</v>
      </c>
      <c r="H54" s="33"/>
      <c r="I54"/>
    </row>
    <row r="55" spans="1:13">
      <c r="B55" s="40" t="s">
        <v>31</v>
      </c>
      <c r="E55" s="8"/>
      <c r="G55" s="102">
        <f ca="1">'Table 5'!$G$8</f>
        <v>25.514388240951746</v>
      </c>
      <c r="H55" s="33"/>
    </row>
    <row r="56" spans="1:13">
      <c r="A56" s="450"/>
      <c r="B56" s="450"/>
      <c r="E56" s="8"/>
      <c r="G56" s="57"/>
      <c r="H56" s="33"/>
    </row>
    <row r="57" spans="1:13">
      <c r="A57" s="450" t="str">
        <f>'Table 5'!A7</f>
        <v>15 Year Starting 2027</v>
      </c>
      <c r="B57" s="450"/>
      <c r="E57" s="8"/>
      <c r="G57" s="8"/>
      <c r="H57" s="33"/>
      <c r="I57"/>
      <c r="M57" s="59"/>
    </row>
    <row r="58" spans="1:13">
      <c r="B58" s="45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102"/>
      <c r="H58" s="33"/>
      <c r="I58"/>
    </row>
    <row r="59" spans="1:13">
      <c r="B59" s="40" t="s">
        <v>8</v>
      </c>
      <c r="C59" s="8">
        <f ca="1">'Table 5'!$D$7*(Study_CF*8.76)/'Table 5'!$F$7</f>
        <v>75.675932026157099</v>
      </c>
      <c r="D59" s="8"/>
      <c r="H59" s="33"/>
      <c r="I59"/>
    </row>
    <row r="60" spans="1:13">
      <c r="B60" s="40" t="s">
        <v>31</v>
      </c>
      <c r="E60" s="8">
        <f ca="1">'Table 5'!$C$7/'Table 5'!$F$7</f>
        <v>-2.7367208953960054</v>
      </c>
      <c r="G60" s="102">
        <f ca="1">'Table 5'!$G$7</f>
        <v>25.878068855571271</v>
      </c>
      <c r="H60" s="33"/>
    </row>
    <row r="61" spans="1:13">
      <c r="B61" s="40"/>
      <c r="C61" s="8"/>
      <c r="E61" s="8"/>
      <c r="G61" s="102"/>
      <c r="H61" s="33"/>
    </row>
    <row r="62" spans="1:13">
      <c r="B62" s="40"/>
      <c r="C62" s="8"/>
      <c r="D62" s="8"/>
      <c r="H62" s="33"/>
    </row>
    <row r="63" spans="1:13">
      <c r="B63" s="45"/>
      <c r="H63" s="33"/>
    </row>
    <row r="64" spans="1:13">
      <c r="B64" s="40"/>
      <c r="C64" s="8"/>
      <c r="D64" s="8"/>
      <c r="H64" s="33"/>
    </row>
    <row r="65" spans="1:26">
      <c r="A65" s="450"/>
      <c r="B65" s="450"/>
      <c r="E65" s="8"/>
      <c r="G65" s="57"/>
      <c r="H65" s="33"/>
    </row>
    <row r="66" spans="1:26">
      <c r="B66" s="45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102"/>
      <c r="H68" s="33"/>
    </row>
    <row r="69" spans="1:26">
      <c r="E69" s="34"/>
      <c r="G69" s="34"/>
      <c r="H69" s="33"/>
      <c r="I69" s="57"/>
    </row>
    <row r="70" spans="1:26">
      <c r="B70" s="41"/>
      <c r="E70" s="33"/>
      <c r="F70" s="34"/>
      <c r="G70" s="33"/>
      <c r="H70" s="33"/>
      <c r="I70" s="57"/>
    </row>
    <row r="71" spans="1:26">
      <c r="F71" s="34"/>
      <c r="H71" s="33"/>
      <c r="I71" s="57"/>
    </row>
    <row r="74" spans="1:26">
      <c r="B74" s="47"/>
    </row>
    <row r="75" spans="1:26" ht="12.75" customHeight="1">
      <c r="B75" s="47"/>
    </row>
    <row r="76" spans="1:26" ht="12.75" customHeight="1">
      <c r="B76" s="47"/>
    </row>
    <row r="77" spans="1:26">
      <c r="B77" s="9"/>
      <c r="C77" s="6"/>
      <c r="D77" s="6"/>
      <c r="E77" s="6"/>
      <c r="G77" s="6"/>
    </row>
    <row r="78" spans="1:26">
      <c r="A78"/>
      <c r="I78" t="s">
        <v>54</v>
      </c>
    </row>
    <row r="79" spans="1:26" s="44" customFormat="1">
      <c r="B79" s="9"/>
      <c r="I79" t="str">
        <f ca="1">"       Avoided Costs calculated annually are  "&amp;TEXT(PMT(Discount_Rate,COUNT($G$13:$G$27),-NPV(Discount_Rate,$G$13:$G$27)),"$0.00")&amp;"/MWH"</f>
        <v xml:space="preserve">       Avoided Costs calculated annually are  $25.43/MWH</v>
      </c>
      <c r="J79"/>
      <c r="K79"/>
      <c r="L79"/>
      <c r="M79"/>
      <c r="Z79" s="253"/>
    </row>
    <row r="80" spans="1:26" s="44" customFormat="1">
      <c r="B80" s="9"/>
      <c r="I80" s="9" t="str">
        <f ca="1">"       Avoided Costs calculated monthly are  "&amp;TEXT($G$50,"$0.00")&amp;"/MWH"</f>
        <v xml:space="preserve">       Avoided Costs calculated monthly are  $25.35/MWH</v>
      </c>
      <c r="J80"/>
      <c r="K80"/>
      <c r="Z80" s="253"/>
    </row>
    <row r="81" spans="1:13">
      <c r="A81"/>
      <c r="B81" s="42"/>
      <c r="I81" s="44"/>
      <c r="L81" s="44"/>
      <c r="M81" s="44"/>
    </row>
    <row r="82" spans="1:13">
      <c r="A82"/>
      <c r="F82" s="6"/>
    </row>
    <row r="85" spans="1:13">
      <c r="A85"/>
      <c r="J85" s="44"/>
      <c r="K85" s="44"/>
    </row>
    <row r="86" spans="1:13">
      <c r="A86"/>
      <c r="J86" s="44"/>
      <c r="K86" s="44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8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80" zoomScaleNormal="100" zoomScaleSheetLayoutView="80" workbookViewId="0"/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17" customFormat="1" ht="15.75" hidden="1">
      <c r="B1" s="1" t="s">
        <v>34</v>
      </c>
      <c r="C1" s="1"/>
      <c r="D1" s="1"/>
      <c r="E1" s="1"/>
      <c r="F1" s="1"/>
      <c r="G1" s="115"/>
      <c r="H1" s="1"/>
      <c r="I1" s="1"/>
      <c r="J1" s="1"/>
      <c r="K1" s="1"/>
      <c r="L1" s="116"/>
      <c r="M1" s="1"/>
      <c r="N1" s="1"/>
      <c r="O1" s="1"/>
      <c r="P1" s="1"/>
    </row>
    <row r="2" spans="2:16" s="117" customFormat="1" ht="5.25" customHeight="1">
      <c r="B2" s="1"/>
      <c r="C2" s="1"/>
      <c r="D2" s="1"/>
      <c r="E2" s="1"/>
      <c r="F2" s="1"/>
      <c r="G2" s="115"/>
      <c r="H2" s="1"/>
      <c r="I2" s="1"/>
      <c r="J2" s="1"/>
      <c r="K2" s="1"/>
      <c r="L2" s="116"/>
      <c r="M2" s="1"/>
      <c r="N2" s="1"/>
      <c r="O2" s="1"/>
      <c r="P2" s="1"/>
    </row>
    <row r="3" spans="2:16" s="117" customFormat="1" ht="15.75">
      <c r="B3" s="1" t="s">
        <v>82</v>
      </c>
      <c r="C3" s="1"/>
      <c r="D3" s="1"/>
      <c r="E3" s="1"/>
      <c r="F3" s="1"/>
      <c r="G3" s="115"/>
      <c r="H3" s="1"/>
      <c r="I3" s="1"/>
      <c r="J3" s="1"/>
      <c r="K3" s="1"/>
      <c r="L3" s="116"/>
      <c r="M3" s="1"/>
      <c r="N3" s="1"/>
      <c r="O3" s="1"/>
      <c r="P3" s="1"/>
    </row>
    <row r="4" spans="2:16" s="118" customFormat="1" ht="15">
      <c r="B4" s="4" t="s">
        <v>83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18" customFormat="1" ht="15">
      <c r="B5" s="4" t="str">
        <f ca="1">'Table 1'!B5</f>
        <v>QF - Sch38 - UT - Solar T - 80.0 MW and 30.2%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18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19"/>
      <c r="E7" s="119"/>
      <c r="F7" s="119"/>
      <c r="G7" s="120"/>
      <c r="H7" s="120"/>
      <c r="I7" s="120"/>
      <c r="J7" s="120"/>
      <c r="K7" s="120"/>
      <c r="L7" s="120"/>
      <c r="M7" s="121"/>
    </row>
    <row r="8" spans="2:16">
      <c r="B8" s="122"/>
      <c r="C8" s="122"/>
      <c r="D8" s="123" t="s">
        <v>84</v>
      </c>
      <c r="E8" s="124"/>
      <c r="F8" s="124"/>
      <c r="G8" s="123"/>
      <c r="H8" s="123"/>
      <c r="I8" s="125" t="s">
        <v>85</v>
      </c>
      <c r="J8" s="126"/>
      <c r="K8" s="126"/>
      <c r="L8" s="127"/>
      <c r="M8" s="128" t="s">
        <v>84</v>
      </c>
      <c r="N8" s="129"/>
      <c r="O8" s="130"/>
    </row>
    <row r="9" spans="2:16">
      <c r="B9" s="131" t="s">
        <v>0</v>
      </c>
      <c r="C9" s="131" t="s">
        <v>121</v>
      </c>
      <c r="D9" s="132" t="s">
        <v>124</v>
      </c>
      <c r="E9" s="133" t="s">
        <v>125</v>
      </c>
      <c r="F9" s="133" t="s">
        <v>126</v>
      </c>
      <c r="G9" s="133" t="s">
        <v>127</v>
      </c>
      <c r="H9" s="134" t="s">
        <v>128</v>
      </c>
      <c r="I9" s="96" t="s">
        <v>129</v>
      </c>
      <c r="J9" s="96" t="s">
        <v>130</v>
      </c>
      <c r="K9" s="96" t="s">
        <v>131</v>
      </c>
      <c r="L9" s="96" t="s">
        <v>132</v>
      </c>
      <c r="M9" s="132" t="s">
        <v>133</v>
      </c>
      <c r="N9" s="133" t="s">
        <v>134</v>
      </c>
      <c r="O9" s="134" t="s">
        <v>135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94" t="s">
        <v>86</v>
      </c>
      <c r="C11" s="94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2:16" ht="12.75" hidden="1" customHeight="1">
      <c r="B12" s="135"/>
      <c r="C12" s="136"/>
      <c r="D12" s="7"/>
      <c r="E12" s="7"/>
      <c r="F12" s="7"/>
      <c r="G12" s="7"/>
      <c r="H12" s="11"/>
      <c r="I12" s="137"/>
      <c r="J12" s="138"/>
      <c r="K12" s="138"/>
      <c r="L12" s="139"/>
      <c r="M12" s="137"/>
      <c r="N12" s="138"/>
      <c r="O12" s="139"/>
    </row>
    <row r="13" spans="2:16" ht="12.75" customHeight="1">
      <c r="B13" s="140">
        <v>2026</v>
      </c>
      <c r="C13" s="199">
        <v>20.647965312722178</v>
      </c>
      <c r="D13" s="200">
        <v>20.870920642180749</v>
      </c>
      <c r="E13" s="200">
        <v>13.413582071283743</v>
      </c>
      <c r="F13" s="200">
        <v>0.60264377056307949</v>
      </c>
      <c r="G13" s="200">
        <v>-0.27227406349245931</v>
      </c>
      <c r="H13" s="201">
        <v>8.5037652965614949</v>
      </c>
      <c r="I13" s="202">
        <v>21.789676655196054</v>
      </c>
      <c r="J13" s="200">
        <v>37.653940391584001</v>
      </c>
      <c r="K13" s="200">
        <v>45.27144577252934</v>
      </c>
      <c r="L13" s="201">
        <v>25.162548799907299</v>
      </c>
      <c r="M13" s="202">
        <v>10.826226816349834</v>
      </c>
      <c r="N13" s="200">
        <v>22.285997465655406</v>
      </c>
      <c r="O13" s="201">
        <v>28.706663584971142</v>
      </c>
    </row>
    <row r="14" spans="2:16" ht="12.75" customHeight="1">
      <c r="B14" s="153">
        <v>2027</v>
      </c>
      <c r="C14" s="203">
        <v>22.605025980963376</v>
      </c>
      <c r="D14" s="204">
        <v>30.584286456744653</v>
      </c>
      <c r="E14" s="204">
        <v>21.710433218966905</v>
      </c>
      <c r="F14" s="204">
        <v>8.4765900411606125</v>
      </c>
      <c r="G14" s="204">
        <v>10.156432700342005</v>
      </c>
      <c r="H14" s="205">
        <v>13.519130644136029</v>
      </c>
      <c r="I14" s="206">
        <v>20.722661930501342</v>
      </c>
      <c r="J14" s="204">
        <v>33.5110911557043</v>
      </c>
      <c r="K14" s="204">
        <v>38.188835685678654</v>
      </c>
      <c r="L14" s="205">
        <v>23.474910097125683</v>
      </c>
      <c r="M14" s="206">
        <v>15.337406609170433</v>
      </c>
      <c r="N14" s="204">
        <v>24.91728070913712</v>
      </c>
      <c r="O14" s="205">
        <v>33.821396671950083</v>
      </c>
    </row>
    <row r="15" spans="2:16" ht="12.75" customHeight="1">
      <c r="B15" s="153">
        <v>2028</v>
      </c>
      <c r="C15" s="203">
        <v>25.610755979826134</v>
      </c>
      <c r="D15" s="204">
        <v>37.108852335410582</v>
      </c>
      <c r="E15" s="204">
        <v>24.049648149100751</v>
      </c>
      <c r="F15" s="204">
        <v>9.5462727165092982</v>
      </c>
      <c r="G15" s="204">
        <v>12.365458624210923</v>
      </c>
      <c r="H15" s="205">
        <v>14.787506222790858</v>
      </c>
      <c r="I15" s="206">
        <v>19.337929791838508</v>
      </c>
      <c r="J15" s="204">
        <v>36.819762640436288</v>
      </c>
      <c r="K15" s="204">
        <v>41.875758868510609</v>
      </c>
      <c r="L15" s="205">
        <v>31.536480905494439</v>
      </c>
      <c r="M15" s="206">
        <v>20.611015400190176</v>
      </c>
      <c r="N15" s="204">
        <v>30.594348958692859</v>
      </c>
      <c r="O15" s="205">
        <v>40.916287059602148</v>
      </c>
    </row>
    <row r="16" spans="2:16" ht="12.75" customHeight="1">
      <c r="B16" s="153">
        <v>2029</v>
      </c>
      <c r="C16" s="203">
        <v>29.100644721636794</v>
      </c>
      <c r="D16" s="204">
        <v>36.047793944498615</v>
      </c>
      <c r="E16" s="204">
        <v>33.591779868253845</v>
      </c>
      <c r="F16" s="204">
        <v>16.125275819255595</v>
      </c>
      <c r="G16" s="204">
        <v>11.803988572010878</v>
      </c>
      <c r="H16" s="205">
        <v>17.508404891853882</v>
      </c>
      <c r="I16" s="206">
        <v>26.833846401038709</v>
      </c>
      <c r="J16" s="204">
        <v>40.230890710702965</v>
      </c>
      <c r="K16" s="204">
        <v>41.338566060473909</v>
      </c>
      <c r="L16" s="205">
        <v>36.665443866051142</v>
      </c>
      <c r="M16" s="206">
        <v>25.976857650768746</v>
      </c>
      <c r="N16" s="204">
        <v>30.177875881660405</v>
      </c>
      <c r="O16" s="205">
        <v>41.831436228952782</v>
      </c>
    </row>
    <row r="17" spans="2:15" ht="12.75" customHeight="1">
      <c r="B17" s="153">
        <v>2030</v>
      </c>
      <c r="C17" s="203">
        <v>25.982732906729595</v>
      </c>
      <c r="D17" s="204">
        <v>38.447598284358108</v>
      </c>
      <c r="E17" s="204">
        <v>26.735766267097311</v>
      </c>
      <c r="F17" s="204">
        <v>14.268363474093276</v>
      </c>
      <c r="G17" s="204">
        <v>8.458150197040375</v>
      </c>
      <c r="H17" s="205">
        <v>12.044520672265337</v>
      </c>
      <c r="I17" s="206">
        <v>23.693031796469441</v>
      </c>
      <c r="J17" s="204">
        <v>38.767665473342703</v>
      </c>
      <c r="K17" s="204">
        <v>37.002045425281558</v>
      </c>
      <c r="L17" s="205">
        <v>33.095582001187175</v>
      </c>
      <c r="M17" s="206">
        <v>22.973339642215691</v>
      </c>
      <c r="N17" s="204">
        <v>32.101564274410045</v>
      </c>
      <c r="O17" s="205">
        <v>37.305859216790161</v>
      </c>
    </row>
    <row r="18" spans="2:15" ht="12.75" customHeight="1">
      <c r="B18" s="153">
        <v>2031</v>
      </c>
      <c r="C18" s="203">
        <v>24.920194588007412</v>
      </c>
      <c r="D18" s="204">
        <v>42.014588713545336</v>
      </c>
      <c r="E18" s="204">
        <v>27.012366342318749</v>
      </c>
      <c r="F18" s="204">
        <v>11.86258961571173</v>
      </c>
      <c r="G18" s="204">
        <v>10.308783763097937</v>
      </c>
      <c r="H18" s="205">
        <v>10.999808570954334</v>
      </c>
      <c r="I18" s="206">
        <v>18.205408334938749</v>
      </c>
      <c r="J18" s="204">
        <v>34.328632390300683</v>
      </c>
      <c r="K18" s="204">
        <v>36.921454982381583</v>
      </c>
      <c r="L18" s="205">
        <v>31.308712433170246</v>
      </c>
      <c r="M18" s="206">
        <v>20.152514744853075</v>
      </c>
      <c r="N18" s="204">
        <v>35.422291494302002</v>
      </c>
      <c r="O18" s="205">
        <v>38.992527546161384</v>
      </c>
    </row>
    <row r="19" spans="2:15" ht="12.75" customHeight="1">
      <c r="B19" s="153">
        <v>2032</v>
      </c>
      <c r="C19" s="203">
        <v>-16.280441758652412</v>
      </c>
      <c r="D19" s="204">
        <v>-6.0545188303751534</v>
      </c>
      <c r="E19" s="204">
        <v>-8.4266099535434904</v>
      </c>
      <c r="F19" s="204">
        <v>-32.351319231712814</v>
      </c>
      <c r="G19" s="204">
        <v>-19.799971517412068</v>
      </c>
      <c r="H19" s="205">
        <v>-20.925352081894783</v>
      </c>
      <c r="I19" s="206">
        <v>-12.32647550899436</v>
      </c>
      <c r="J19" s="204">
        <v>-22.282192226185465</v>
      </c>
      <c r="K19" s="204">
        <v>-11.145686781522976</v>
      </c>
      <c r="L19" s="205">
        <v>-14.145612692819601</v>
      </c>
      <c r="M19" s="206">
        <v>-23.878368873489208</v>
      </c>
      <c r="N19" s="204">
        <v>-3.3449185461487385</v>
      </c>
      <c r="O19" s="205">
        <v>-4.4789206914511608</v>
      </c>
    </row>
    <row r="20" spans="2:15" ht="12.75" customHeight="1">
      <c r="B20" s="153">
        <v>2033</v>
      </c>
      <c r="C20" s="203">
        <v>-18.358761677088523</v>
      </c>
      <c r="D20" s="204">
        <v>-8.1212263749090106</v>
      </c>
      <c r="E20" s="204">
        <v>-12.654636447915598</v>
      </c>
      <c r="F20" s="204">
        <v>-33.253844362392954</v>
      </c>
      <c r="G20" s="204">
        <v>-20.839654780044057</v>
      </c>
      <c r="H20" s="205">
        <v>-22.11348292515267</v>
      </c>
      <c r="I20" s="206">
        <v>-15.044560988936359</v>
      </c>
      <c r="J20" s="204">
        <v>-22.444808432884479</v>
      </c>
      <c r="K20" s="204">
        <v>-14.511978904209343</v>
      </c>
      <c r="L20" s="205">
        <v>-16.222085999732734</v>
      </c>
      <c r="M20" s="206">
        <v>-26.424190148340703</v>
      </c>
      <c r="N20" s="204">
        <v>-7.1140965551028534</v>
      </c>
      <c r="O20" s="205">
        <v>-5.8096539527058413</v>
      </c>
    </row>
    <row r="21" spans="2:15" ht="12.75" customHeight="1">
      <c r="B21" s="153">
        <v>2034</v>
      </c>
      <c r="C21" s="203">
        <v>-19.749846124704476</v>
      </c>
      <c r="D21" s="204">
        <v>-10.211496886788964</v>
      </c>
      <c r="E21" s="204">
        <v>-14.088570254826703</v>
      </c>
      <c r="F21" s="204">
        <v>-31.905324577744153</v>
      </c>
      <c r="G21" s="204">
        <v>-21.466254886528048</v>
      </c>
      <c r="H21" s="205">
        <v>-30.234401320656961</v>
      </c>
      <c r="I21" s="206">
        <v>-13.11534471474601</v>
      </c>
      <c r="J21" s="204">
        <v>-24.366130761882488</v>
      </c>
      <c r="K21" s="204">
        <v>-11.990775731437049</v>
      </c>
      <c r="L21" s="205">
        <v>-20.544162909866557</v>
      </c>
      <c r="M21" s="206">
        <v>-23.840159024413765</v>
      </c>
      <c r="N21" s="204">
        <v>-9.6558781565047891</v>
      </c>
      <c r="O21" s="205">
        <v>-13.243924599978042</v>
      </c>
    </row>
    <row r="22" spans="2:15" ht="12.75" customHeight="1">
      <c r="B22" s="153">
        <v>2035</v>
      </c>
      <c r="C22" s="203">
        <v>-22.787022301282796</v>
      </c>
      <c r="D22" s="204">
        <v>-11.675904372145913</v>
      </c>
      <c r="E22" s="204">
        <v>-13.937882881963446</v>
      </c>
      <c r="F22" s="204">
        <v>-32.549496805497604</v>
      </c>
      <c r="G22" s="204">
        <v>-21.384022816910939</v>
      </c>
      <c r="H22" s="205">
        <v>-29.472054559681531</v>
      </c>
      <c r="I22" s="206">
        <v>-23.115968555755412</v>
      </c>
      <c r="J22" s="204">
        <v>-26.4993850793477</v>
      </c>
      <c r="K22" s="204">
        <v>-21.036005518241129</v>
      </c>
      <c r="L22" s="205">
        <v>-23.904301479883486</v>
      </c>
      <c r="M22" s="206">
        <v>-23.837665069043709</v>
      </c>
      <c r="N22" s="204">
        <v>-11.510256567859132</v>
      </c>
      <c r="O22" s="205">
        <v>-13.628734540354563</v>
      </c>
    </row>
    <row r="23" spans="2:15" ht="12.75" customHeight="1">
      <c r="B23" s="153">
        <v>2036</v>
      </c>
      <c r="C23" s="203">
        <v>-22.970687658163538</v>
      </c>
      <c r="D23" s="204">
        <v>-26.921844503592819</v>
      </c>
      <c r="E23" s="204">
        <v>-28.760898172301037</v>
      </c>
      <c r="F23" s="204">
        <v>-32.868970129161141</v>
      </c>
      <c r="G23" s="204">
        <v>-20.548293584991352</v>
      </c>
      <c r="H23" s="205">
        <v>-18.470099456466571</v>
      </c>
      <c r="I23" s="206">
        <v>-11.675545583791918</v>
      </c>
      <c r="J23" s="204">
        <v>-22.753151675699897</v>
      </c>
      <c r="K23" s="204">
        <v>-20.95722341144581</v>
      </c>
      <c r="L23" s="205">
        <v>-28.649831517854921</v>
      </c>
      <c r="M23" s="206">
        <v>-30.985921383287831</v>
      </c>
      <c r="N23" s="204">
        <v>-23.28872670752585</v>
      </c>
      <c r="O23" s="205">
        <v>-25.263896214327222</v>
      </c>
    </row>
    <row r="24" spans="2:15" ht="12.75" customHeight="1">
      <c r="B24" s="153">
        <v>2037</v>
      </c>
      <c r="C24" s="203">
        <v>-26.603814772630525</v>
      </c>
      <c r="D24" s="204">
        <v>-23.119731099541461</v>
      </c>
      <c r="E24" s="204">
        <v>-21.490756650387418</v>
      </c>
      <c r="F24" s="204">
        <v>-37.532480574875272</v>
      </c>
      <c r="G24" s="204">
        <v>-28.042782217491432</v>
      </c>
      <c r="H24" s="205">
        <v>-18.228817001908958</v>
      </c>
      <c r="I24" s="206">
        <v>-20.274235257078843</v>
      </c>
      <c r="J24" s="204">
        <v>-27.427085919352841</v>
      </c>
      <c r="K24" s="204">
        <v>-31.562162310808873</v>
      </c>
      <c r="L24" s="205">
        <v>-31.693252287226898</v>
      </c>
      <c r="M24" s="206">
        <v>-39.204694077939273</v>
      </c>
      <c r="N24" s="204">
        <v>-16.80523202250787</v>
      </c>
      <c r="O24" s="205">
        <v>-20.651115488165463</v>
      </c>
    </row>
    <row r="25" spans="2:15" ht="12.75" customHeight="1">
      <c r="B25" s="153">
        <v>2038</v>
      </c>
      <c r="C25" s="203">
        <v>-32.847716648333709</v>
      </c>
      <c r="D25" s="204">
        <v>-31.878666055317435</v>
      </c>
      <c r="E25" s="204">
        <v>-20.474022488702417</v>
      </c>
      <c r="F25" s="204">
        <v>-42.469209897579397</v>
      </c>
      <c r="G25" s="204">
        <v>-29.820230529324125</v>
      </c>
      <c r="H25" s="205">
        <v>-32.045538557164008</v>
      </c>
      <c r="I25" s="206">
        <v>-29.296936362000199</v>
      </c>
      <c r="J25" s="204">
        <v>-34.08417829009332</v>
      </c>
      <c r="K25" s="204">
        <v>-42.319771420213627</v>
      </c>
      <c r="L25" s="205">
        <v>-35.111155067211179</v>
      </c>
      <c r="M25" s="206">
        <v>-39.732378710669884</v>
      </c>
      <c r="N25" s="204">
        <v>-21.353550162521959</v>
      </c>
      <c r="O25" s="205">
        <v>-23.176882284995276</v>
      </c>
    </row>
    <row r="26" spans="2:15" ht="12.75" customHeight="1">
      <c r="B26" s="153">
        <v>2039</v>
      </c>
      <c r="C26" s="203">
        <v>-35.623096420490583</v>
      </c>
      <c r="D26" s="204">
        <v>-31.464813583939108</v>
      </c>
      <c r="E26" s="204">
        <v>-24.944943177094288</v>
      </c>
      <c r="F26" s="204">
        <v>-40.986677698559745</v>
      </c>
      <c r="G26" s="204">
        <v>-36.475952127844288</v>
      </c>
      <c r="H26" s="205">
        <v>-35.572749458194885</v>
      </c>
      <c r="I26" s="206">
        <v>-34.604233503097937</v>
      </c>
      <c r="J26" s="204">
        <v>-36.359301428897041</v>
      </c>
      <c r="K26" s="204">
        <v>-50.047152489858263</v>
      </c>
      <c r="L26" s="205">
        <v>-34.399711873746163</v>
      </c>
      <c r="M26" s="206">
        <v>-40.924389266314229</v>
      </c>
      <c r="N26" s="204">
        <v>-17.084149323040368</v>
      </c>
      <c r="O26" s="205">
        <v>-21.22883058230088</v>
      </c>
    </row>
    <row r="27" spans="2:15" ht="12.75" customHeight="1">
      <c r="B27" s="153">
        <v>2040</v>
      </c>
      <c r="C27" s="203">
        <v>-38.65009054831097</v>
      </c>
      <c r="D27" s="204">
        <v>-27.711127552634071</v>
      </c>
      <c r="E27" s="204">
        <v>-31.945393952271647</v>
      </c>
      <c r="F27" s="204">
        <v>-39.556023697853654</v>
      </c>
      <c r="G27" s="204">
        <v>-43.93296968561674</v>
      </c>
      <c r="H27" s="205">
        <v>-43.819723667180526</v>
      </c>
      <c r="I27" s="206">
        <v>-38.713383503858807</v>
      </c>
      <c r="J27" s="204">
        <v>-40.444389364992723</v>
      </c>
      <c r="K27" s="204">
        <v>-48.455238844786152</v>
      </c>
      <c r="L27" s="205">
        <v>-38.00562333204374</v>
      </c>
      <c r="M27" s="206">
        <v>-40.103017170678925</v>
      </c>
      <c r="N27" s="204">
        <v>-18.316330878688866</v>
      </c>
      <c r="O27" s="205">
        <v>-19.864602977405699</v>
      </c>
    </row>
    <row r="28" spans="2:15" ht="12.75" customHeight="1">
      <c r="B28" s="153">
        <v>2041</v>
      </c>
      <c r="C28" s="203">
        <v>-38.11991230508805</v>
      </c>
      <c r="D28" s="204">
        <v>-23.454849791448606</v>
      </c>
      <c r="E28" s="204">
        <v>-29.875574256125766</v>
      </c>
      <c r="F28" s="204">
        <v>-39.956933932440123</v>
      </c>
      <c r="G28" s="204">
        <v>-45.895737699579335</v>
      </c>
      <c r="H28" s="205">
        <v>-42.054000530818243</v>
      </c>
      <c r="I28" s="206">
        <v>-41.905802849849778</v>
      </c>
      <c r="J28" s="204">
        <v>-39.27787297229407</v>
      </c>
      <c r="K28" s="204">
        <v>-46.344369877871927</v>
      </c>
      <c r="L28" s="205">
        <v>-35.899806065879446</v>
      </c>
      <c r="M28" s="206">
        <v>-43.822971743638583</v>
      </c>
      <c r="N28" s="204">
        <v>-10.455751799016561</v>
      </c>
      <c r="O28" s="205">
        <v>-19.919857791185667</v>
      </c>
    </row>
    <row r="29" spans="2:15" ht="12.75" customHeight="1">
      <c r="B29" s="153">
        <v>2042</v>
      </c>
      <c r="C29" s="203">
        <v>9.9087560614949535</v>
      </c>
      <c r="D29" s="204">
        <v>14.329985022068081</v>
      </c>
      <c r="E29" s="204">
        <v>13.353305465998949</v>
      </c>
      <c r="F29" s="204">
        <v>3.6172896855230987</v>
      </c>
      <c r="G29" s="204">
        <v>8.0682379690287505</v>
      </c>
      <c r="H29" s="205">
        <v>5.0853406128851111</v>
      </c>
      <c r="I29" s="206">
        <v>10.417455021028202</v>
      </c>
      <c r="J29" s="204">
        <v>10.652803324309939</v>
      </c>
      <c r="K29" s="204">
        <v>13.86594064738086</v>
      </c>
      <c r="L29" s="205">
        <v>10.212175200700594</v>
      </c>
      <c r="M29" s="206">
        <v>3.9022606922098335</v>
      </c>
      <c r="N29" s="204">
        <v>16.086308620053963</v>
      </c>
      <c r="O29" s="205">
        <v>15.993011963261884</v>
      </c>
    </row>
    <row r="30" spans="2:15" ht="12.75" customHeight="1">
      <c r="B30" s="154">
        <v>2043</v>
      </c>
      <c r="C30" s="207">
        <v>9.3388553699745245</v>
      </c>
      <c r="D30" s="208">
        <v>11.155323689554441</v>
      </c>
      <c r="E30" s="208">
        <v>21.79057008536055</v>
      </c>
      <c r="F30" s="208">
        <v>4.8437442908723227</v>
      </c>
      <c r="G30" s="208">
        <v>4.3997138092230141</v>
      </c>
      <c r="H30" s="209">
        <v>5.4041978038960057</v>
      </c>
      <c r="I30" s="210">
        <v>10.716278010608372</v>
      </c>
      <c r="J30" s="208">
        <v>7.9412486505681921</v>
      </c>
      <c r="K30" s="208">
        <v>10.54861264783827</v>
      </c>
      <c r="L30" s="209">
        <v>10.048760510548767</v>
      </c>
      <c r="M30" s="210">
        <v>3.290709200156841</v>
      </c>
      <c r="N30" s="208">
        <v>17.787196213253129</v>
      </c>
      <c r="O30" s="209">
        <v>13.298039675165453</v>
      </c>
    </row>
    <row r="31" spans="2:15" ht="12.75" hidden="1" customHeight="1">
      <c r="B31" s="12"/>
      <c r="C31" s="141"/>
      <c r="D31" s="142"/>
      <c r="E31" s="142"/>
      <c r="F31" s="142"/>
      <c r="G31" s="142"/>
      <c r="H31" s="143"/>
      <c r="I31" s="144"/>
      <c r="J31" s="142"/>
      <c r="K31" s="142"/>
      <c r="L31" s="143"/>
      <c r="M31" s="144"/>
      <c r="N31" s="142"/>
      <c r="O31" s="143"/>
    </row>
    <row r="32" spans="2:15" ht="12.75" hidden="1" customHeight="1">
      <c r="B32" s="145"/>
      <c r="C32" s="146"/>
      <c r="D32" s="147"/>
      <c r="E32" s="147"/>
      <c r="F32" s="147"/>
      <c r="G32" s="147"/>
      <c r="H32" s="148"/>
      <c r="I32" s="149"/>
      <c r="J32" s="147"/>
      <c r="K32" s="147"/>
      <c r="L32" s="148"/>
      <c r="M32" s="149"/>
      <c r="N32" s="147"/>
      <c r="O32" s="148"/>
    </row>
    <row r="33" spans="2:16" ht="12.75" customHeight="1">
      <c r="D33" s="9"/>
      <c r="E33" s="9"/>
      <c r="F33" s="9"/>
      <c r="M33" s="150"/>
    </row>
    <row r="34" spans="2:16">
      <c r="B34" s="151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8" spans="2:16" hidden="1">
      <c r="C38" s="152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52"/>
    </row>
    <row r="40" spans="2:16">
      <c r="C40" s="152"/>
    </row>
    <row r="41" spans="2:16">
      <c r="C41" s="152"/>
    </row>
  </sheetData>
  <conditionalFormatting sqref="C29:O31">
    <cfRule type="cellIs" dxfId="1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/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7" hidden="1" customWidth="1"/>
    <col min="14" max="14" width="10.33203125" style="47" hidden="1" customWidth="1"/>
    <col min="15" max="15" width="13.83203125" style="47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8" t="s">
        <v>29</v>
      </c>
    </row>
    <row r="5" spans="2:18" ht="15.75">
      <c r="B5" s="1" t="str">
        <f ca="1">'Table 1'!$B$5</f>
        <v>QF - Sch38 - UT - Solar T - 80.0 MW and 30.2% CF</v>
      </c>
      <c r="C5" s="1"/>
      <c r="D5" s="1"/>
      <c r="H5" s="49">
        <v>45838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7"/>
      <c r="J10" s="47"/>
    </row>
    <row r="11" spans="2:18" hidden="1">
      <c r="C11" s="5"/>
      <c r="D11" s="5"/>
      <c r="H11" s="27"/>
      <c r="I11" s="47"/>
      <c r="J11" s="47"/>
    </row>
    <row r="12" spans="2:18" hidden="1">
      <c r="C12" s="22"/>
      <c r="D12" s="22"/>
      <c r="H12" s="27"/>
      <c r="I12" s="47"/>
      <c r="J12" s="47"/>
    </row>
    <row r="13" spans="2:18" ht="6" customHeight="1">
      <c r="H13" s="50"/>
      <c r="I13" s="51"/>
      <c r="J13" s="51"/>
    </row>
    <row r="14" spans="2:18">
      <c r="B14" s="23"/>
      <c r="C14" s="24"/>
      <c r="D14" s="24"/>
      <c r="E14" s="24"/>
      <c r="F14" s="24"/>
      <c r="H14" s="52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90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89</v>
      </c>
      <c r="K16" s="31" t="s">
        <v>27</v>
      </c>
      <c r="L16" s="31" t="s">
        <v>27</v>
      </c>
      <c r="M16" s="51" t="s">
        <v>0</v>
      </c>
      <c r="O16" s="53" t="s">
        <v>56</v>
      </c>
      <c r="P16" s="53" t="s">
        <v>79</v>
      </c>
      <c r="Q16" s="53" t="s">
        <v>58</v>
      </c>
      <c r="R16" s="3" t="s">
        <v>89</v>
      </c>
    </row>
    <row r="17" spans="2:18" ht="13.5" thickBot="1">
      <c r="B17" s="23">
        <v>2025</v>
      </c>
      <c r="C17" s="24">
        <f>ROUND(SUMIF($M$17:$M$379,$B17,$I$17:$I$379)/COUNTIF($M$17:$M$379,$B17),2)</f>
        <v>3.22</v>
      </c>
      <c r="D17" s="24">
        <f>ROUND(SUMIF($M$17:$M$379,$B17,$J$17:$J$379)/COUNTIF($M$17:$M$379,$B17),2)</f>
        <v>3.19</v>
      </c>
      <c r="E17" s="24">
        <f>ROUND(SUMIF($M$17:$M$379,$B17,$K$17:$K$379)/COUNTIF($M$17:$M$379,$B17),2)</f>
        <v>2.72</v>
      </c>
      <c r="F17" s="24">
        <f>ROUND(SUMIF($M$17:$M$379,$B17,$L$17:$L$379)/COUNTIF($M$17:$M$379,$B17),2)</f>
        <v>3.03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4">
        <f t="shared" ref="M17:M64" si="0">YEAR(H17)</f>
        <v>2025</v>
      </c>
      <c r="O17" s="55">
        <v>47</v>
      </c>
      <c r="P17" s="55">
        <v>43</v>
      </c>
      <c r="Q17" s="55">
        <v>46</v>
      </c>
      <c r="R17" s="55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4.38</v>
      </c>
      <c r="D18" s="24">
        <f t="shared" ref="D18:D37" si="3">ROUND(SUMIF($M$17:$M$379,$B18,$J$17:$J$379)/COUNTIF($M$17:$M$379,$B18),2)</f>
        <v>4.3499999999999996</v>
      </c>
      <c r="E18" s="24">
        <f t="shared" ref="E18:E37" si="4">ROUND(SUMIF($M$17:$M$379,$B18,$K$17:$K$379)/COUNTIF($M$17:$M$379,$B18),2)</f>
        <v>4.09</v>
      </c>
      <c r="F18" s="24">
        <f t="shared" ref="F18:F37" si="5">ROUND(SUMIF($M$17:$M$379,$B18,$L$17:$L$379)/COUNTIF($M$17:$M$379,$B18),2)</f>
        <v>3.86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4">
        <f t="shared" si="0"/>
        <v>2025</v>
      </c>
    </row>
    <row r="19" spans="2:18">
      <c r="B19" s="23">
        <f t="shared" si="1"/>
        <v>2027</v>
      </c>
      <c r="C19" s="24">
        <f t="shared" si="2"/>
        <v>4.2</v>
      </c>
      <c r="D19" s="24">
        <f t="shared" si="3"/>
        <v>4.17</v>
      </c>
      <c r="E19" s="24">
        <f t="shared" si="4"/>
        <v>4.07</v>
      </c>
      <c r="F19" s="24">
        <f t="shared" si="5"/>
        <v>3.69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4">
        <f t="shared" si="0"/>
        <v>2025</v>
      </c>
    </row>
    <row r="20" spans="2:18">
      <c r="B20" s="23">
        <f t="shared" si="1"/>
        <v>2028</v>
      </c>
      <c r="C20" s="24">
        <f t="shared" si="2"/>
        <v>4.4800000000000004</v>
      </c>
      <c r="D20" s="24">
        <f t="shared" si="3"/>
        <v>4.45</v>
      </c>
      <c r="E20" s="24">
        <f t="shared" si="4"/>
        <v>4.43</v>
      </c>
      <c r="F20" s="24">
        <f t="shared" si="5"/>
        <v>3.96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4">
        <f t="shared" si="0"/>
        <v>2025</v>
      </c>
    </row>
    <row r="21" spans="2:18">
      <c r="B21" s="23">
        <f t="shared" si="1"/>
        <v>2029</v>
      </c>
      <c r="C21" s="24">
        <f t="shared" si="2"/>
        <v>5.46</v>
      </c>
      <c r="D21" s="24">
        <f t="shared" si="3"/>
        <v>5.4</v>
      </c>
      <c r="E21" s="24">
        <f t="shared" si="4"/>
        <v>5.31</v>
      </c>
      <c r="F21" s="24">
        <f t="shared" si="5"/>
        <v>4.92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4">
        <f t="shared" si="0"/>
        <v>2025</v>
      </c>
    </row>
    <row r="22" spans="2:18">
      <c r="B22" s="23">
        <f t="shared" si="1"/>
        <v>2030</v>
      </c>
      <c r="C22" s="24">
        <f t="shared" si="2"/>
        <v>5.97</v>
      </c>
      <c r="D22" s="24">
        <f t="shared" si="3"/>
        <v>5.91</v>
      </c>
      <c r="E22" s="24">
        <f t="shared" si="4"/>
        <v>5.75</v>
      </c>
      <c r="F22" s="24">
        <f t="shared" si="5"/>
        <v>5.43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4">
        <f t="shared" si="0"/>
        <v>2025</v>
      </c>
    </row>
    <row r="23" spans="2:18">
      <c r="B23" s="23">
        <f t="shared" si="1"/>
        <v>2031</v>
      </c>
      <c r="C23" s="24">
        <f t="shared" si="2"/>
        <v>5.91</v>
      </c>
      <c r="D23" s="24">
        <f t="shared" si="3"/>
        <v>5.85</v>
      </c>
      <c r="E23" s="24">
        <f t="shared" si="4"/>
        <v>5.71</v>
      </c>
      <c r="F23" s="24">
        <f t="shared" si="5"/>
        <v>5.37</v>
      </c>
      <c r="H23" s="28">
        <v>45839</v>
      </c>
      <c r="I23" s="32">
        <v>2.9327414285714286</v>
      </c>
      <c r="J23" s="32">
        <v>2.7898000000000001</v>
      </c>
      <c r="K23" s="32">
        <v>1.6708447907256958</v>
      </c>
      <c r="L23" s="32">
        <v>2.7535651050080783</v>
      </c>
      <c r="M23" s="54">
        <f t="shared" si="0"/>
        <v>2025</v>
      </c>
    </row>
    <row r="24" spans="2:18">
      <c r="B24" s="23">
        <f t="shared" si="1"/>
        <v>2032</v>
      </c>
      <c r="C24" s="24">
        <f t="shared" si="2"/>
        <v>5.85</v>
      </c>
      <c r="D24" s="24">
        <f t="shared" si="3"/>
        <v>5.79</v>
      </c>
      <c r="E24" s="24">
        <f t="shared" si="4"/>
        <v>5.64</v>
      </c>
      <c r="F24" s="24">
        <f t="shared" si="5"/>
        <v>5.31</v>
      </c>
      <c r="H24" s="28">
        <v>45870</v>
      </c>
      <c r="I24" s="32">
        <v>3.179578163265306</v>
      </c>
      <c r="J24" s="32">
        <v>3.1581000000000001</v>
      </c>
      <c r="K24" s="32">
        <v>2.3033619317474789</v>
      </c>
      <c r="L24" s="32">
        <v>2.8722040387722139</v>
      </c>
      <c r="M24" s="54">
        <f t="shared" si="0"/>
        <v>2025</v>
      </c>
    </row>
    <row r="25" spans="2:18">
      <c r="B25" s="23">
        <f t="shared" si="1"/>
        <v>2033</v>
      </c>
      <c r="C25" s="24">
        <f t="shared" si="2"/>
        <v>5.99</v>
      </c>
      <c r="D25" s="24">
        <f t="shared" si="3"/>
        <v>5.92</v>
      </c>
      <c r="E25" s="24">
        <f t="shared" si="4"/>
        <v>5.77</v>
      </c>
      <c r="F25" s="24">
        <f t="shared" si="5"/>
        <v>5.44</v>
      </c>
      <c r="H25" s="28">
        <v>45901</v>
      </c>
      <c r="I25" s="32">
        <v>2.8482516326530609</v>
      </c>
      <c r="J25" s="32">
        <v>2.8289</v>
      </c>
      <c r="K25" s="32">
        <v>2.275202098025817</v>
      </c>
      <c r="L25" s="32">
        <v>2.6604714054927308</v>
      </c>
      <c r="M25" s="54">
        <f t="shared" si="0"/>
        <v>2025</v>
      </c>
    </row>
    <row r="26" spans="2:18">
      <c r="B26" s="23">
        <f t="shared" si="1"/>
        <v>2034</v>
      </c>
      <c r="C26" s="24">
        <f t="shared" si="2"/>
        <v>6.05</v>
      </c>
      <c r="D26" s="24">
        <f t="shared" si="3"/>
        <v>5.98</v>
      </c>
      <c r="E26" s="24">
        <f t="shared" si="4"/>
        <v>5.83</v>
      </c>
      <c r="F26" s="24">
        <f t="shared" si="5"/>
        <v>5.51</v>
      </c>
      <c r="H26" s="28">
        <v>45931</v>
      </c>
      <c r="I26" s="32">
        <v>2.8216189795918365</v>
      </c>
      <c r="J26" s="32">
        <v>2.8025000000000002</v>
      </c>
      <c r="K26" s="32">
        <v>2.4856814391278741</v>
      </c>
      <c r="L26" s="32">
        <v>2.7418526655896613</v>
      </c>
      <c r="M26" s="54">
        <f t="shared" si="0"/>
        <v>2025</v>
      </c>
    </row>
    <row r="27" spans="2:18">
      <c r="B27" s="23">
        <f t="shared" si="1"/>
        <v>2035</v>
      </c>
      <c r="C27" s="24">
        <f t="shared" si="2"/>
        <v>6.22</v>
      </c>
      <c r="D27" s="24">
        <f t="shared" si="3"/>
        <v>6.15</v>
      </c>
      <c r="E27" s="24">
        <f t="shared" si="4"/>
        <v>5.99</v>
      </c>
      <c r="F27" s="24">
        <f t="shared" si="5"/>
        <v>5.67</v>
      </c>
      <c r="H27" s="28">
        <v>45962</v>
      </c>
      <c r="I27" s="32">
        <v>4.2161087755102047</v>
      </c>
      <c r="J27" s="32">
        <v>4.1881000000000004</v>
      </c>
      <c r="K27" s="32">
        <v>4.1664329744711575</v>
      </c>
      <c r="L27" s="32">
        <v>3.501848626817448</v>
      </c>
      <c r="M27" s="54">
        <f t="shared" si="0"/>
        <v>2025</v>
      </c>
    </row>
    <row r="28" spans="2:18">
      <c r="B28" s="23">
        <f t="shared" si="1"/>
        <v>2036</v>
      </c>
      <c r="C28" s="24">
        <f t="shared" si="2"/>
        <v>6.39</v>
      </c>
      <c r="D28" s="24">
        <f t="shared" si="3"/>
        <v>6.31</v>
      </c>
      <c r="E28" s="24">
        <f t="shared" si="4"/>
        <v>6.15</v>
      </c>
      <c r="F28" s="24">
        <f t="shared" si="5"/>
        <v>5.84</v>
      </c>
      <c r="H28" s="28">
        <v>45992</v>
      </c>
      <c r="I28" s="32">
        <v>5.7493740816326531</v>
      </c>
      <c r="J28" s="32">
        <v>5.7115</v>
      </c>
      <c r="K28" s="32">
        <v>6.0845390206910039</v>
      </c>
      <c r="L28" s="32">
        <v>4.7999100161550894</v>
      </c>
      <c r="M28" s="54">
        <f t="shared" si="0"/>
        <v>2025</v>
      </c>
    </row>
    <row r="29" spans="2:18">
      <c r="B29" s="23">
        <f t="shared" si="1"/>
        <v>2037</v>
      </c>
      <c r="C29" s="24">
        <f t="shared" si="2"/>
        <v>6.59</v>
      </c>
      <c r="D29" s="24">
        <f t="shared" si="3"/>
        <v>6.51</v>
      </c>
      <c r="E29" s="24">
        <f t="shared" si="4"/>
        <v>6.34</v>
      </c>
      <c r="F29" s="24">
        <f t="shared" si="5"/>
        <v>6.04</v>
      </c>
      <c r="H29" s="28">
        <v>46023</v>
      </c>
      <c r="I29" s="32">
        <v>6.2312108163265307</v>
      </c>
      <c r="J29" s="32">
        <v>6.1902999999999997</v>
      </c>
      <c r="K29" s="32">
        <v>6.3131578167269069</v>
      </c>
      <c r="L29" s="32">
        <v>5.3510004846526673</v>
      </c>
      <c r="M29" s="54">
        <f t="shared" si="0"/>
        <v>2026</v>
      </c>
    </row>
    <row r="30" spans="2:18">
      <c r="B30" s="23">
        <f t="shared" si="1"/>
        <v>2038</v>
      </c>
      <c r="C30" s="24">
        <f t="shared" si="2"/>
        <v>6.87</v>
      </c>
      <c r="D30" s="24">
        <f t="shared" si="3"/>
        <v>6.79</v>
      </c>
      <c r="E30" s="24">
        <f t="shared" si="4"/>
        <v>6.59</v>
      </c>
      <c r="F30" s="24">
        <f t="shared" si="5"/>
        <v>6.32</v>
      </c>
      <c r="H30" s="28">
        <v>46054</v>
      </c>
      <c r="I30" s="32">
        <v>5.7115169387755111</v>
      </c>
      <c r="J30" s="32">
        <v>5.6738999999999997</v>
      </c>
      <c r="K30" s="32">
        <v>5.8007310614852754</v>
      </c>
      <c r="L30" s="32">
        <v>5.0511216478190635</v>
      </c>
      <c r="M30" s="54">
        <f t="shared" si="0"/>
        <v>2026</v>
      </c>
    </row>
    <row r="31" spans="2:18">
      <c r="B31" s="23">
        <f t="shared" si="1"/>
        <v>2039</v>
      </c>
      <c r="C31" s="24">
        <f t="shared" si="2"/>
        <v>7.15</v>
      </c>
      <c r="D31" s="24">
        <f t="shared" si="3"/>
        <v>7.06</v>
      </c>
      <c r="E31" s="24">
        <f t="shared" si="4"/>
        <v>6.83</v>
      </c>
      <c r="F31" s="24">
        <f t="shared" si="5"/>
        <v>6.59</v>
      </c>
      <c r="H31" s="28">
        <v>46082</v>
      </c>
      <c r="I31" s="32">
        <v>3.8648842857142856</v>
      </c>
      <c r="J31" s="32">
        <v>3.8391000000000002</v>
      </c>
      <c r="K31" s="32">
        <v>3.6888976920342884</v>
      </c>
      <c r="L31" s="32">
        <v>3.5580885298869149</v>
      </c>
      <c r="M31" s="54">
        <f t="shared" si="0"/>
        <v>2026</v>
      </c>
    </row>
    <row r="32" spans="2:18">
      <c r="B32" s="23">
        <f t="shared" si="1"/>
        <v>2040</v>
      </c>
      <c r="C32" s="24">
        <f t="shared" si="2"/>
        <v>7.42</v>
      </c>
      <c r="D32" s="24">
        <f t="shared" si="3"/>
        <v>7.33</v>
      </c>
      <c r="E32" s="24">
        <f t="shared" si="4"/>
        <v>7.06</v>
      </c>
      <c r="F32" s="24">
        <f t="shared" si="5"/>
        <v>6.87</v>
      </c>
      <c r="H32" s="28">
        <v>46113</v>
      </c>
      <c r="I32" s="32">
        <v>3.3175373469387757</v>
      </c>
      <c r="J32" s="32">
        <v>3.2951999999999999</v>
      </c>
      <c r="K32" s="32">
        <v>2.9131148276256558</v>
      </c>
      <c r="L32" s="32">
        <v>3.0462751211631671</v>
      </c>
      <c r="M32" s="54">
        <f t="shared" si="0"/>
        <v>2026</v>
      </c>
    </row>
    <row r="33" spans="2:13">
      <c r="B33" s="23">
        <f t="shared" si="1"/>
        <v>2041</v>
      </c>
      <c r="C33" s="24">
        <f t="shared" si="2"/>
        <v>7.79</v>
      </c>
      <c r="D33" s="24">
        <f t="shared" si="3"/>
        <v>7.69</v>
      </c>
      <c r="E33" s="24">
        <f t="shared" si="4"/>
        <v>7.37</v>
      </c>
      <c r="F33" s="24">
        <f t="shared" si="5"/>
        <v>7.23</v>
      </c>
      <c r="H33" s="28">
        <v>46143</v>
      </c>
      <c r="I33" s="32">
        <v>3.0859046938775507</v>
      </c>
      <c r="J33" s="32">
        <v>3.0651000000000002</v>
      </c>
      <c r="K33" s="32">
        <v>2.5695956881561117</v>
      </c>
      <c r="L33" s="32">
        <v>2.9687306946688214</v>
      </c>
      <c r="M33" s="54">
        <f t="shared" si="0"/>
        <v>2026</v>
      </c>
    </row>
    <row r="34" spans="2:13">
      <c r="B34" s="23">
        <f t="shared" si="1"/>
        <v>2042</v>
      </c>
      <c r="C34" s="24">
        <f t="shared" si="2"/>
        <v>8.14</v>
      </c>
      <c r="D34" s="24">
        <f t="shared" si="3"/>
        <v>8.0299999999999994</v>
      </c>
      <c r="E34" s="24">
        <f t="shared" si="4"/>
        <v>7.68</v>
      </c>
      <c r="F34" s="24">
        <f t="shared" si="5"/>
        <v>7.57</v>
      </c>
      <c r="H34" s="28">
        <v>46174</v>
      </c>
      <c r="I34" s="32">
        <v>3.3031495918367346</v>
      </c>
      <c r="J34" s="32">
        <v>3.2808999999999999</v>
      </c>
      <c r="K34" s="32">
        <v>2.8398889826377571</v>
      </c>
      <c r="L34" s="32">
        <v>3.0920142164781912</v>
      </c>
      <c r="M34" s="54">
        <f t="shared" si="0"/>
        <v>2026</v>
      </c>
    </row>
    <row r="35" spans="2:13">
      <c r="B35" s="23">
        <f t="shared" si="1"/>
        <v>2043</v>
      </c>
      <c r="C35" s="24">
        <f t="shared" si="2"/>
        <v>8.5299999999999994</v>
      </c>
      <c r="D35" s="24">
        <f t="shared" si="3"/>
        <v>8.41</v>
      </c>
      <c r="E35" s="24">
        <f t="shared" si="4"/>
        <v>8.0500000000000007</v>
      </c>
      <c r="F35" s="24">
        <f t="shared" si="5"/>
        <v>7.96</v>
      </c>
      <c r="H35" s="28">
        <v>46204</v>
      </c>
      <c r="I35" s="32">
        <v>3.9811087755102044</v>
      </c>
      <c r="J35" s="32">
        <v>3.9546000000000001</v>
      </c>
      <c r="K35" s="32">
        <v>3.4074021279334414</v>
      </c>
      <c r="L35" s="32">
        <v>3.5747484652665595</v>
      </c>
      <c r="M35" s="54">
        <f t="shared" si="0"/>
        <v>2026</v>
      </c>
    </row>
    <row r="36" spans="2:13">
      <c r="B36" s="23">
        <f t="shared" si="1"/>
        <v>2044</v>
      </c>
      <c r="C36" s="24">
        <f t="shared" si="2"/>
        <v>8.83</v>
      </c>
      <c r="D36" s="24">
        <f t="shared" si="3"/>
        <v>8.6999999999999993</v>
      </c>
      <c r="E36" s="24">
        <f t="shared" si="4"/>
        <v>8.32</v>
      </c>
      <c r="F36" s="24">
        <f t="shared" si="5"/>
        <v>8.25</v>
      </c>
      <c r="H36" s="28">
        <v>46235</v>
      </c>
      <c r="I36" s="32">
        <v>4.0801904081632658</v>
      </c>
      <c r="J36" s="32">
        <v>4.0529999999999999</v>
      </c>
      <c r="K36" s="32">
        <v>3.5086850335272288</v>
      </c>
      <c r="L36" s="32">
        <v>3.6744051696284337</v>
      </c>
      <c r="M36" s="54">
        <f t="shared" si="0"/>
        <v>2026</v>
      </c>
    </row>
    <row r="37" spans="2:13">
      <c r="B37" s="23">
        <f t="shared" si="1"/>
        <v>2045</v>
      </c>
      <c r="C37" s="24">
        <f t="shared" si="2"/>
        <v>9.27</v>
      </c>
      <c r="D37" s="24">
        <f t="shared" si="3"/>
        <v>9.14</v>
      </c>
      <c r="E37" s="24">
        <f t="shared" si="4"/>
        <v>8.74</v>
      </c>
      <c r="F37" s="24">
        <f t="shared" si="5"/>
        <v>8.6999999999999993</v>
      </c>
      <c r="H37" s="28">
        <v>46266</v>
      </c>
      <c r="I37" s="32">
        <v>3.9888638775510201</v>
      </c>
      <c r="J37" s="32">
        <v>3.9622999999999999</v>
      </c>
      <c r="K37" s="32">
        <v>3.4642356609556275</v>
      </c>
      <c r="L37" s="32">
        <v>3.5032621970920848</v>
      </c>
      <c r="M37" s="54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3.8210067346938774</v>
      </c>
      <c r="J38" s="32">
        <v>3.7955000000000001</v>
      </c>
      <c r="K38" s="32">
        <v>3.4217389775837028</v>
      </c>
      <c r="L38" s="32">
        <v>3.496194345718902</v>
      </c>
      <c r="M38" s="54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4.8128434693877562</v>
      </c>
      <c r="J39" s="32">
        <v>4.7809999999999997</v>
      </c>
      <c r="K39" s="32">
        <v>4.772023559160548</v>
      </c>
      <c r="L39" s="32">
        <v>3.9879148626817456</v>
      </c>
      <c r="M39" s="54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6.3618230612244906</v>
      </c>
      <c r="J40" s="32">
        <v>6.3201000000000001</v>
      </c>
      <c r="K40" s="32">
        <v>6.3713274002541338</v>
      </c>
      <c r="L40" s="32">
        <v>5.0082096930533133</v>
      </c>
      <c r="M40" s="54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6.5439659183673475</v>
      </c>
      <c r="J41" s="32">
        <v>6.5010000000000003</v>
      </c>
      <c r="K41" s="32">
        <v>6.5445001003307777</v>
      </c>
      <c r="L41" s="32">
        <v>5.5670747980613902</v>
      </c>
      <c r="M41" s="54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5.7755985714285716</v>
      </c>
      <c r="J42" s="32">
        <v>5.7375999999999996</v>
      </c>
      <c r="K42" s="32">
        <v>5.6562834472670431</v>
      </c>
      <c r="L42" s="32">
        <v>5.1071596122778686</v>
      </c>
      <c r="M42" s="54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3.9210067346938771</v>
      </c>
      <c r="J43" s="32">
        <v>3.8948</v>
      </c>
      <c r="K43" s="32">
        <v>3.9129944709761997</v>
      </c>
      <c r="L43" s="32">
        <v>3.6607743134087243</v>
      </c>
      <c r="M43" s="54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3.0220271428571426</v>
      </c>
      <c r="J44" s="32">
        <v>3.0015999999999998</v>
      </c>
      <c r="K44" s="32">
        <v>2.8084404092113759</v>
      </c>
      <c r="L44" s="32">
        <v>2.8823009693053319</v>
      </c>
      <c r="M44" s="54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2.9276393877551019</v>
      </c>
      <c r="J45" s="32">
        <v>2.9077999999999999</v>
      </c>
      <c r="K45" s="32">
        <v>2.6793059892432436</v>
      </c>
      <c r="L45" s="32">
        <v>2.7586135702746373</v>
      </c>
      <c r="M45" s="54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3.0710067346938774</v>
      </c>
      <c r="J46" s="32">
        <v>3.0503</v>
      </c>
      <c r="K46" s="32">
        <v>2.8159942332206538</v>
      </c>
      <c r="L46" s="32">
        <v>2.9358147011308571</v>
      </c>
      <c r="M46" s="54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3.7460067346938772</v>
      </c>
      <c r="J47" s="32">
        <v>3.7210000000000001</v>
      </c>
      <c r="K47" s="32">
        <v>3.3198394332952805</v>
      </c>
      <c r="L47" s="32">
        <v>3.2730521809369959</v>
      </c>
      <c r="M47" s="54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3.7995781632653061</v>
      </c>
      <c r="J48" s="32">
        <v>3.7742</v>
      </c>
      <c r="K48" s="32">
        <v>3.4142879266901978</v>
      </c>
      <c r="L48" s="32">
        <v>3.3311095315024235</v>
      </c>
      <c r="M48" s="54">
        <f t="shared" si="0"/>
        <v>2027</v>
      </c>
    </row>
    <row r="49" spans="2:15">
      <c r="H49" s="28">
        <v>46631</v>
      </c>
      <c r="I49" s="32">
        <v>3.736312857142857</v>
      </c>
      <c r="J49" s="32">
        <v>3.7113</v>
      </c>
      <c r="K49" s="32">
        <v>3.3524698975530458</v>
      </c>
      <c r="L49" s="32">
        <v>3.2659843295638131</v>
      </c>
      <c r="M49" s="54">
        <f t="shared" si="0"/>
        <v>2027</v>
      </c>
      <c r="N49" s="3"/>
      <c r="O49" s="3"/>
    </row>
    <row r="50" spans="2:15">
      <c r="H50" s="28">
        <v>46661</v>
      </c>
      <c r="I50" s="32">
        <v>3.4143740816326531</v>
      </c>
      <c r="J50" s="32">
        <v>3.3914</v>
      </c>
      <c r="K50" s="32">
        <v>3.2286282930471968</v>
      </c>
      <c r="L50" s="32">
        <v>3.1316951534733448</v>
      </c>
      <c r="M50" s="54">
        <f t="shared" si="0"/>
        <v>2027</v>
      </c>
      <c r="N50" s="3"/>
      <c r="O50" s="3"/>
    </row>
    <row r="51" spans="2:15">
      <c r="H51" s="28">
        <v>46692</v>
      </c>
      <c r="I51" s="32">
        <v>4.5011087755102048</v>
      </c>
      <c r="J51" s="32">
        <v>4.4711999999999996</v>
      </c>
      <c r="K51" s="32">
        <v>4.7156525051593388</v>
      </c>
      <c r="L51" s="32">
        <v>3.6693567043618747</v>
      </c>
      <c r="M51" s="54">
        <f t="shared" si="0"/>
        <v>2027</v>
      </c>
      <c r="N51" s="3"/>
      <c r="O51" s="3"/>
    </row>
    <row r="52" spans="2:15">
      <c r="H52" s="28">
        <v>46722</v>
      </c>
      <c r="I52" s="32">
        <v>5.9500883673469387</v>
      </c>
      <c r="J52" s="32">
        <v>5.9109999999999996</v>
      </c>
      <c r="K52" s="32">
        <v>6.4017482425227907</v>
      </c>
      <c r="L52" s="32">
        <v>4.6487589660743147</v>
      </c>
      <c r="M52" s="54">
        <f t="shared" si="0"/>
        <v>2027</v>
      </c>
      <c r="N52" s="3"/>
      <c r="O52" s="3"/>
    </row>
    <row r="53" spans="2:15">
      <c r="B53" s="56" t="str">
        <f>"Official Forward Price Curve Forecast dated   "&amp;TEXT(H5,"MMM dd, YYYY")</f>
        <v>Official Forward Price Curve Forecast dated   Jun 30, 2025</v>
      </c>
      <c r="H53" s="28">
        <v>46753</v>
      </c>
      <c r="I53" s="32">
        <v>6.3215169387755106</v>
      </c>
      <c r="J53" s="32">
        <v>6.28</v>
      </c>
      <c r="K53" s="32">
        <v>6.7482478023497379</v>
      </c>
      <c r="L53" s="32">
        <v>5.2889043618739908</v>
      </c>
      <c r="M53" s="54">
        <f t="shared" si="0"/>
        <v>2028</v>
      </c>
      <c r="N53" s="3"/>
      <c r="O53" s="3"/>
    </row>
    <row r="54" spans="2:15">
      <c r="H54" s="28">
        <v>46784</v>
      </c>
      <c r="I54" s="32">
        <v>5.6347822448979592</v>
      </c>
      <c r="J54" s="32">
        <v>5.5976999999999997</v>
      </c>
      <c r="K54" s="32">
        <v>5.9428662805986283</v>
      </c>
      <c r="L54" s="32">
        <v>4.9577250403877224</v>
      </c>
      <c r="M54" s="54">
        <f t="shared" si="0"/>
        <v>2028</v>
      </c>
      <c r="N54" s="3"/>
      <c r="O54" s="3"/>
    </row>
    <row r="55" spans="2:15">
      <c r="H55" s="28">
        <v>46813</v>
      </c>
      <c r="I55" s="32">
        <v>3.7587618367346938</v>
      </c>
      <c r="J55" s="32">
        <v>3.7336</v>
      </c>
      <c r="K55" s="32">
        <v>3.940332119771683</v>
      </c>
      <c r="L55" s="32">
        <v>3.482563489499193</v>
      </c>
      <c r="M55" s="54">
        <f t="shared" si="0"/>
        <v>2028</v>
      </c>
      <c r="N55" s="3"/>
      <c r="O55" s="3"/>
    </row>
    <row r="56" spans="2:15">
      <c r="H56" s="28">
        <v>46844</v>
      </c>
      <c r="I56" s="32">
        <v>2.7898842857142854</v>
      </c>
      <c r="J56" s="32">
        <v>2.7709000000000001</v>
      </c>
      <c r="K56" s="32">
        <v>2.6722660308128283</v>
      </c>
      <c r="L56" s="32">
        <v>2.6929835218093707</v>
      </c>
      <c r="M56" s="54">
        <f t="shared" si="0"/>
        <v>2028</v>
      </c>
      <c r="N56" s="3"/>
      <c r="O56" s="3"/>
    </row>
    <row r="57" spans="2:15">
      <c r="H57" s="28">
        <v>46874</v>
      </c>
      <c r="I57" s="32">
        <v>2.76386387755102</v>
      </c>
      <c r="J57" s="32">
        <v>2.7450999999999999</v>
      </c>
      <c r="K57" s="32">
        <v>2.5304391310467933</v>
      </c>
      <c r="L57" s="32">
        <v>2.5738397415185785</v>
      </c>
      <c r="M57" s="54">
        <f t="shared" si="0"/>
        <v>2028</v>
      </c>
      <c r="N57" s="3"/>
      <c r="O57" s="3"/>
    </row>
    <row r="58" spans="2:15">
      <c r="H58" s="28">
        <v>46905</v>
      </c>
      <c r="I58" s="32">
        <v>2.8960067346938776</v>
      </c>
      <c r="J58" s="32">
        <v>2.8763999999999998</v>
      </c>
      <c r="K58" s="32">
        <v>2.6705702744025817</v>
      </c>
      <c r="L58" s="32">
        <v>2.7298373182552509</v>
      </c>
      <c r="M58" s="54">
        <f t="shared" si="0"/>
        <v>2028</v>
      </c>
      <c r="N58" s="3"/>
      <c r="O58" s="3"/>
    </row>
    <row r="59" spans="2:15">
      <c r="H59" s="28">
        <v>46935</v>
      </c>
      <c r="I59" s="32">
        <v>3.4893740816326533</v>
      </c>
      <c r="J59" s="32">
        <v>3.4660000000000002</v>
      </c>
      <c r="K59" s="32">
        <v>3.125598244485277</v>
      </c>
      <c r="L59" s="32">
        <v>3.0039689822294027</v>
      </c>
      <c r="M59" s="54">
        <f t="shared" si="0"/>
        <v>2028</v>
      </c>
      <c r="N59" s="3"/>
      <c r="O59" s="3"/>
    </row>
    <row r="60" spans="2:15">
      <c r="H60" s="28">
        <v>46966</v>
      </c>
      <c r="I60" s="32">
        <v>4.8218230612244906</v>
      </c>
      <c r="J60" s="32">
        <v>4.7759999999999998</v>
      </c>
      <c r="K60" s="32">
        <v>4.4681748423791845</v>
      </c>
      <c r="L60" s="32">
        <v>4.3426200323101787</v>
      </c>
      <c r="M60" s="54">
        <f t="shared" si="0"/>
        <v>2028</v>
      </c>
      <c r="N60" s="3"/>
      <c r="O60" s="3"/>
    </row>
    <row r="61" spans="2:15">
      <c r="H61" s="28">
        <v>46997</v>
      </c>
      <c r="I61" s="32">
        <v>4.8626393877551024</v>
      </c>
      <c r="J61" s="32">
        <v>4.8151000000000002</v>
      </c>
      <c r="K61" s="32">
        <v>4.4826658517031053</v>
      </c>
      <c r="L61" s="32">
        <v>4.3804835218093707</v>
      </c>
      <c r="M61" s="54">
        <f t="shared" si="0"/>
        <v>2028</v>
      </c>
      <c r="N61" s="3"/>
      <c r="O61" s="3"/>
    </row>
    <row r="62" spans="2:15">
      <c r="H62" s="28">
        <v>47027</v>
      </c>
      <c r="I62" s="32">
        <v>4.7343740816326534</v>
      </c>
      <c r="J62" s="32">
        <v>4.6849999999999996</v>
      </c>
      <c r="K62" s="32">
        <v>4.5817905218656705</v>
      </c>
      <c r="L62" s="32">
        <v>4.43783408723748</v>
      </c>
      <c r="M62" s="54">
        <f t="shared" si="0"/>
        <v>2028</v>
      </c>
      <c r="N62" s="3"/>
      <c r="O62" s="3"/>
    </row>
    <row r="63" spans="2:15">
      <c r="H63" s="28">
        <v>47058</v>
      </c>
      <c r="I63" s="32">
        <v>5.4391699999999998</v>
      </c>
      <c r="J63" s="32">
        <v>5.3905000000000003</v>
      </c>
      <c r="K63" s="32">
        <v>5.5374777254340461</v>
      </c>
      <c r="L63" s="32">
        <v>4.5975675282714059</v>
      </c>
      <c r="M63" s="54">
        <f t="shared" si="0"/>
        <v>2028</v>
      </c>
      <c r="N63" s="3"/>
      <c r="O63" s="3"/>
    </row>
    <row r="64" spans="2:15">
      <c r="H64" s="28">
        <v>47088</v>
      </c>
      <c r="I64" s="32">
        <v>6.2831495918367359</v>
      </c>
      <c r="J64" s="32">
        <v>6.2374000000000001</v>
      </c>
      <c r="K64" s="32">
        <v>6.4732783311004436</v>
      </c>
      <c r="L64" s="32">
        <v>4.9783227786752837</v>
      </c>
      <c r="M64" s="54">
        <f t="shared" si="0"/>
        <v>2028</v>
      </c>
      <c r="N64" s="3"/>
      <c r="O64" s="3"/>
    </row>
    <row r="65" spans="8:15">
      <c r="H65" s="28">
        <v>47119</v>
      </c>
      <c r="I65" s="32">
        <v>6.8418230612244901</v>
      </c>
      <c r="J65" s="32">
        <v>6.7899000000000003</v>
      </c>
      <c r="K65" s="32">
        <v>7.0306683244925372</v>
      </c>
      <c r="L65" s="32">
        <v>5.8037468497576743</v>
      </c>
      <c r="M65" s="54">
        <f t="shared" ref="M65:M112" si="6">YEAR(H65)</f>
        <v>2029</v>
      </c>
      <c r="N65" s="3"/>
      <c r="O65" s="3"/>
    </row>
    <row r="66" spans="8:15">
      <c r="H66" s="28">
        <v>47150</v>
      </c>
      <c r="I66" s="32">
        <v>6.2231495918367346</v>
      </c>
      <c r="J66" s="32">
        <v>6.1742999999999997</v>
      </c>
      <c r="K66" s="32">
        <v>6.37112185402259</v>
      </c>
      <c r="L66" s="32">
        <v>5.5399140549273023</v>
      </c>
      <c r="M66" s="54">
        <f t="shared" si="6"/>
        <v>2029</v>
      </c>
      <c r="N66" s="3"/>
      <c r="O66" s="3"/>
    </row>
    <row r="67" spans="8:15">
      <c r="H67" s="28">
        <v>47178</v>
      </c>
      <c r="I67" s="32">
        <v>4.7110067346938784</v>
      </c>
      <c r="J67" s="32">
        <v>4.6668000000000003</v>
      </c>
      <c r="K67" s="32">
        <v>4.7418596496813228</v>
      </c>
      <c r="L67" s="32">
        <v>4.4248090468497585</v>
      </c>
      <c r="M67" s="54">
        <f t="shared" si="6"/>
        <v>2029</v>
      </c>
      <c r="N67" s="3"/>
      <c r="O67" s="3"/>
    </row>
    <row r="68" spans="8:15">
      <c r="H68" s="28">
        <v>47209</v>
      </c>
      <c r="I68" s="32">
        <v>4.0721291836734697</v>
      </c>
      <c r="J68" s="32">
        <v>4.0274999999999999</v>
      </c>
      <c r="K68" s="32">
        <v>3.9164373703545783</v>
      </c>
      <c r="L68" s="32">
        <v>3.96176381260097</v>
      </c>
      <c r="M68" s="54">
        <f t="shared" si="6"/>
        <v>2029</v>
      </c>
      <c r="N68" s="3"/>
      <c r="O68" s="3"/>
    </row>
    <row r="69" spans="8:15">
      <c r="H69" s="28">
        <v>47239</v>
      </c>
      <c r="I69" s="32">
        <v>4.0668230612244898</v>
      </c>
      <c r="J69" s="32">
        <v>4.0220000000000002</v>
      </c>
      <c r="K69" s="32">
        <v>3.7604277806119404</v>
      </c>
      <c r="L69" s="32">
        <v>3.8631168012924082</v>
      </c>
      <c r="M69" s="54">
        <f t="shared" si="6"/>
        <v>2029</v>
      </c>
      <c r="N69" s="3"/>
      <c r="O69" s="3"/>
    </row>
    <row r="70" spans="8:15">
      <c r="H70" s="28">
        <v>47270</v>
      </c>
      <c r="I70" s="32">
        <v>4.1571291836734696</v>
      </c>
      <c r="J70" s="32">
        <v>4.1123000000000003</v>
      </c>
      <c r="K70" s="32">
        <v>3.8396658528725292</v>
      </c>
      <c r="L70" s="32">
        <v>3.9777169628432962</v>
      </c>
      <c r="M70" s="54">
        <f t="shared" si="6"/>
        <v>2029</v>
      </c>
      <c r="N70" s="3"/>
      <c r="O70" s="3"/>
    </row>
    <row r="71" spans="8:15">
      <c r="H71" s="28">
        <v>47300</v>
      </c>
      <c r="I71" s="32">
        <v>4.5243740816326534</v>
      </c>
      <c r="J71" s="32">
        <v>4.4802999999999997</v>
      </c>
      <c r="K71" s="32">
        <v>4.1082120043860426</v>
      </c>
      <c r="L71" s="32">
        <v>4.0281006462035549</v>
      </c>
      <c r="M71" s="54">
        <f t="shared" si="6"/>
        <v>2029</v>
      </c>
      <c r="N71" s="3"/>
      <c r="O71" s="3"/>
    </row>
    <row r="72" spans="8:15">
      <c r="H72" s="28">
        <v>47331</v>
      </c>
      <c r="I72" s="32">
        <v>5.8440679591836737</v>
      </c>
      <c r="J72" s="32">
        <v>5.7778</v>
      </c>
      <c r="K72" s="32">
        <v>5.5221131446260587</v>
      </c>
      <c r="L72" s="32">
        <v>5.3541305331179334</v>
      </c>
      <c r="M72" s="54">
        <f t="shared" si="6"/>
        <v>2029</v>
      </c>
      <c r="N72" s="3"/>
      <c r="O72" s="3"/>
    </row>
    <row r="73" spans="8:15">
      <c r="H73" s="28">
        <v>47362</v>
      </c>
      <c r="I73" s="32">
        <v>5.9888638775510206</v>
      </c>
      <c r="J73" s="32">
        <v>5.9188000000000001</v>
      </c>
      <c r="K73" s="32">
        <v>5.6128618058531661</v>
      </c>
      <c r="L73" s="32">
        <v>5.4948817447495966</v>
      </c>
      <c r="M73" s="54">
        <f t="shared" si="6"/>
        <v>2029</v>
      </c>
      <c r="N73" s="3"/>
      <c r="O73" s="3"/>
    </row>
    <row r="74" spans="8:15">
      <c r="H74" s="28">
        <v>47392</v>
      </c>
      <c r="I74" s="32">
        <v>6.0543740816326528</v>
      </c>
      <c r="J74" s="32">
        <v>5.9786000000000001</v>
      </c>
      <c r="K74" s="32">
        <v>5.9350041372420321</v>
      </c>
      <c r="L74" s="32">
        <v>5.7439730210016169</v>
      </c>
      <c r="M74" s="54">
        <f t="shared" si="6"/>
        <v>2029</v>
      </c>
      <c r="N74" s="3"/>
      <c r="O74" s="3"/>
    </row>
    <row r="75" spans="8:15">
      <c r="H75" s="28">
        <v>47423</v>
      </c>
      <c r="I75" s="32">
        <v>6.3772312244897957</v>
      </c>
      <c r="J75" s="32">
        <v>6.3098999999999998</v>
      </c>
      <c r="K75" s="32">
        <v>6.3593543322666388</v>
      </c>
      <c r="L75" s="32">
        <v>5.5257783521809385</v>
      </c>
      <c r="M75" s="54">
        <f t="shared" si="6"/>
        <v>2029</v>
      </c>
      <c r="N75" s="3"/>
      <c r="O75" s="3"/>
    </row>
    <row r="76" spans="8:15">
      <c r="H76" s="28">
        <v>47453</v>
      </c>
      <c r="I76" s="32">
        <v>6.6163128571428569</v>
      </c>
      <c r="J76" s="32">
        <v>6.5637999999999996</v>
      </c>
      <c r="K76" s="32">
        <v>6.5448084196780956</v>
      </c>
      <c r="L76" s="32">
        <v>5.3079875605815845</v>
      </c>
      <c r="M76" s="54">
        <f t="shared" si="6"/>
        <v>2029</v>
      </c>
      <c r="N76" s="3"/>
      <c r="O76" s="3"/>
    </row>
    <row r="77" spans="8:15">
      <c r="H77" s="28">
        <v>47484</v>
      </c>
      <c r="I77" s="32">
        <v>7.3621291836734697</v>
      </c>
      <c r="J77" s="32">
        <v>7.2998000000000003</v>
      </c>
      <c r="K77" s="32">
        <v>7.3131402331932227</v>
      </c>
      <c r="L77" s="32">
        <v>6.3185893376413578</v>
      </c>
      <c r="M77" s="54">
        <f t="shared" si="6"/>
        <v>2030</v>
      </c>
      <c r="N77" s="3"/>
      <c r="O77" s="3"/>
    </row>
    <row r="78" spans="8:15">
      <c r="H78" s="28">
        <v>47515</v>
      </c>
      <c r="I78" s="32">
        <v>6.8116189795918363</v>
      </c>
      <c r="J78" s="32">
        <v>6.7508999999999997</v>
      </c>
      <c r="K78" s="32">
        <v>6.7993774274465508</v>
      </c>
      <c r="L78" s="32">
        <v>6.1222040387722148</v>
      </c>
      <c r="M78" s="54">
        <f t="shared" si="6"/>
        <v>2030</v>
      </c>
      <c r="N78" s="3"/>
      <c r="O78" s="3"/>
    </row>
    <row r="79" spans="8:15">
      <c r="H79" s="28">
        <v>47543</v>
      </c>
      <c r="I79" s="32">
        <v>5.6632516326530613</v>
      </c>
      <c r="J79" s="32">
        <v>5.6</v>
      </c>
      <c r="K79" s="32">
        <v>5.5433357930330773</v>
      </c>
      <c r="L79" s="32">
        <v>5.367054604200324</v>
      </c>
      <c r="M79" s="54">
        <f t="shared" si="6"/>
        <v>2030</v>
      </c>
      <c r="N79" s="3"/>
      <c r="O79" s="3"/>
    </row>
    <row r="80" spans="8:15">
      <c r="H80" s="28">
        <v>47574</v>
      </c>
      <c r="I80" s="32">
        <v>5.3543740816326535</v>
      </c>
      <c r="J80" s="32">
        <v>5.2842000000000002</v>
      </c>
      <c r="K80" s="32">
        <v>5.1607114830121015</v>
      </c>
      <c r="L80" s="32">
        <v>5.2305441033925693</v>
      </c>
      <c r="M80" s="54">
        <f t="shared" si="6"/>
        <v>2030</v>
      </c>
      <c r="N80" s="3"/>
      <c r="O80" s="3"/>
    </row>
    <row r="81" spans="8:15">
      <c r="H81" s="28">
        <v>47604</v>
      </c>
      <c r="I81" s="32">
        <v>5.3698842857142859</v>
      </c>
      <c r="J81" s="32">
        <v>5.2990000000000004</v>
      </c>
      <c r="K81" s="32">
        <v>4.9905192032928598</v>
      </c>
      <c r="L81" s="32">
        <v>5.1524948303715679</v>
      </c>
      <c r="M81" s="54">
        <f t="shared" si="6"/>
        <v>2030</v>
      </c>
      <c r="N81" s="3"/>
      <c r="O81" s="3"/>
    </row>
    <row r="82" spans="8:15">
      <c r="H82" s="28">
        <v>47635</v>
      </c>
      <c r="I82" s="32">
        <v>5.4183536734693885</v>
      </c>
      <c r="J82" s="32">
        <v>5.3483000000000001</v>
      </c>
      <c r="K82" s="32">
        <v>5.0087614313424762</v>
      </c>
      <c r="L82" s="32">
        <v>5.2256975767366729</v>
      </c>
      <c r="M82" s="54">
        <f t="shared" si="6"/>
        <v>2030</v>
      </c>
      <c r="N82" s="3"/>
      <c r="O82" s="3"/>
    </row>
    <row r="83" spans="8:15">
      <c r="H83" s="28">
        <v>47665</v>
      </c>
      <c r="I83" s="32">
        <v>5.5593740816326536</v>
      </c>
      <c r="J83" s="32">
        <v>5.4946000000000002</v>
      </c>
      <c r="K83" s="32">
        <v>5.0908257642868087</v>
      </c>
      <c r="L83" s="32">
        <v>5.0522323101777067</v>
      </c>
      <c r="M83" s="54">
        <f t="shared" si="6"/>
        <v>2030</v>
      </c>
      <c r="N83" s="3"/>
      <c r="O83" s="3"/>
    </row>
    <row r="84" spans="8:15">
      <c r="H84" s="28">
        <v>47696</v>
      </c>
      <c r="I84" s="32">
        <v>5.6999863265306123</v>
      </c>
      <c r="J84" s="32">
        <v>5.6365999999999996</v>
      </c>
      <c r="K84" s="32">
        <v>5.3818278415966114</v>
      </c>
      <c r="L84" s="32">
        <v>5.2115618739903073</v>
      </c>
      <c r="M84" s="54">
        <f t="shared" si="6"/>
        <v>2030</v>
      </c>
      <c r="N84" s="3"/>
      <c r="O84" s="3"/>
    </row>
    <row r="85" spans="8:15">
      <c r="H85" s="28">
        <v>47727</v>
      </c>
      <c r="I85" s="32">
        <v>5.8174353061224497</v>
      </c>
      <c r="J85" s="32">
        <v>5.7507999999999999</v>
      </c>
      <c r="K85" s="32">
        <v>5.4204191465691807</v>
      </c>
      <c r="L85" s="32">
        <v>5.3252533117932161</v>
      </c>
      <c r="M85" s="54">
        <f t="shared" si="6"/>
        <v>2030</v>
      </c>
      <c r="N85" s="3"/>
      <c r="O85" s="3"/>
    </row>
    <row r="86" spans="8:15">
      <c r="H86" s="28">
        <v>47757</v>
      </c>
      <c r="I86" s="32">
        <v>5.9223332653061229</v>
      </c>
      <c r="J86" s="32">
        <v>5.8491999999999997</v>
      </c>
      <c r="K86" s="32">
        <v>5.7374742087273098</v>
      </c>
      <c r="L86" s="32">
        <v>5.61331873990307</v>
      </c>
      <c r="M86" s="54">
        <f t="shared" si="6"/>
        <v>2030</v>
      </c>
      <c r="N86" s="3"/>
      <c r="O86" s="3"/>
    </row>
    <row r="87" spans="8:15">
      <c r="H87" s="28">
        <v>47788</v>
      </c>
      <c r="I87" s="32">
        <v>6.2171291836734701</v>
      </c>
      <c r="J87" s="32">
        <v>6.1529999999999996</v>
      </c>
      <c r="K87" s="32">
        <v>6.2063765494392893</v>
      </c>
      <c r="L87" s="32">
        <v>5.3673575121163175</v>
      </c>
      <c r="M87" s="54">
        <f t="shared" si="6"/>
        <v>2030</v>
      </c>
      <c r="N87" s="3"/>
      <c r="O87" s="3"/>
    </row>
    <row r="88" spans="8:15">
      <c r="H88" s="28">
        <v>47818</v>
      </c>
      <c r="I88" s="32">
        <v>6.4722312244897964</v>
      </c>
      <c r="J88" s="32">
        <v>6.4226000000000001</v>
      </c>
      <c r="K88" s="32">
        <v>6.4046772763223077</v>
      </c>
      <c r="L88" s="32">
        <v>5.1654189014539584</v>
      </c>
      <c r="M88" s="54">
        <f t="shared" si="6"/>
        <v>2030</v>
      </c>
      <c r="N88" s="3"/>
      <c r="O88" s="3"/>
    </row>
    <row r="89" spans="8:15">
      <c r="H89" s="28">
        <v>47849</v>
      </c>
      <c r="I89" s="32">
        <v>6.926516938775511</v>
      </c>
      <c r="J89" s="32">
        <v>6.8728999999999996</v>
      </c>
      <c r="K89" s="32">
        <v>6.8658716333513512</v>
      </c>
      <c r="L89" s="32">
        <v>5.8875513731825535</v>
      </c>
      <c r="M89" s="54">
        <f t="shared" si="6"/>
        <v>2031</v>
      </c>
      <c r="N89" s="3"/>
      <c r="O89" s="3"/>
    </row>
    <row r="90" spans="8:15">
      <c r="H90" s="28">
        <v>47880</v>
      </c>
      <c r="I90" s="32">
        <v>6.6702924489795921</v>
      </c>
      <c r="J90" s="32">
        <v>6.6124999999999998</v>
      </c>
      <c r="K90" s="32">
        <v>6.6463996446192004</v>
      </c>
      <c r="L90" s="32">
        <v>5.9823615508885304</v>
      </c>
      <c r="M90" s="54">
        <f t="shared" si="6"/>
        <v>2031</v>
      </c>
      <c r="N90" s="3"/>
      <c r="O90" s="3"/>
    </row>
    <row r="91" spans="8:15">
      <c r="H91" s="28">
        <v>47908</v>
      </c>
      <c r="I91" s="32">
        <v>5.6469251020408162</v>
      </c>
      <c r="J91" s="32">
        <v>5.5839999999999996</v>
      </c>
      <c r="K91" s="32">
        <v>5.5740649546490513</v>
      </c>
      <c r="L91" s="32">
        <v>5.3508995153473355</v>
      </c>
      <c r="M91" s="54">
        <f t="shared" si="6"/>
        <v>2031</v>
      </c>
      <c r="N91" s="3"/>
      <c r="O91" s="3"/>
    </row>
    <row r="92" spans="8:15">
      <c r="H92" s="28">
        <v>47939</v>
      </c>
      <c r="I92" s="32">
        <v>5.3630475510204079</v>
      </c>
      <c r="J92" s="32">
        <v>5.2927</v>
      </c>
      <c r="K92" s="32">
        <v>5.148892574698265</v>
      </c>
      <c r="L92" s="32">
        <v>5.2391264943457196</v>
      </c>
      <c r="M92" s="54">
        <f t="shared" si="6"/>
        <v>2031</v>
      </c>
      <c r="N92" s="3"/>
      <c r="O92" s="3"/>
    </row>
    <row r="93" spans="8:15">
      <c r="H93" s="28">
        <v>47969</v>
      </c>
      <c r="I93" s="32">
        <v>5.3765169387755103</v>
      </c>
      <c r="J93" s="32">
        <v>5.3055000000000003</v>
      </c>
      <c r="K93" s="32">
        <v>4.9939621026712375</v>
      </c>
      <c r="L93" s="32">
        <v>5.1590578352180945</v>
      </c>
      <c r="M93" s="54">
        <f t="shared" si="6"/>
        <v>2031</v>
      </c>
      <c r="N93" s="3"/>
      <c r="O93" s="3"/>
    </row>
    <row r="94" spans="8:15">
      <c r="H94" s="28">
        <v>48000</v>
      </c>
      <c r="I94" s="32">
        <v>5.4174353061224494</v>
      </c>
      <c r="J94" s="32">
        <v>5.3474000000000004</v>
      </c>
      <c r="K94" s="32">
        <v>5.0106113474263809</v>
      </c>
      <c r="L94" s="32">
        <v>5.2247888529886932</v>
      </c>
      <c r="M94" s="54">
        <f t="shared" si="6"/>
        <v>2031</v>
      </c>
      <c r="N94" s="3"/>
      <c r="O94" s="3"/>
    </row>
    <row r="95" spans="8:15">
      <c r="H95" s="28">
        <v>48030</v>
      </c>
      <c r="I95" s="32">
        <v>5.507333265306122</v>
      </c>
      <c r="J95" s="32">
        <v>5.4436</v>
      </c>
      <c r="K95" s="32">
        <v>5.0564995436187976</v>
      </c>
      <c r="L95" s="32">
        <v>5.0007379644588053</v>
      </c>
      <c r="M95" s="54">
        <f t="shared" si="6"/>
        <v>2031</v>
      </c>
      <c r="N95" s="3"/>
      <c r="O95" s="3"/>
    </row>
    <row r="96" spans="8:15">
      <c r="H96" s="28">
        <v>48061</v>
      </c>
      <c r="I96" s="32">
        <v>5.6458026530612253</v>
      </c>
      <c r="J96" s="32">
        <v>5.5834999999999999</v>
      </c>
      <c r="K96" s="32">
        <v>5.3679020844094385</v>
      </c>
      <c r="L96" s="32">
        <v>5.1579471728594521</v>
      </c>
      <c r="M96" s="54">
        <f t="shared" si="6"/>
        <v>2031</v>
      </c>
      <c r="N96" s="3"/>
      <c r="O96" s="3"/>
    </row>
    <row r="97" spans="8:15">
      <c r="H97" s="28">
        <v>48092</v>
      </c>
      <c r="I97" s="32">
        <v>5.7852924489795923</v>
      </c>
      <c r="J97" s="32">
        <v>5.7194000000000003</v>
      </c>
      <c r="K97" s="32">
        <v>5.4615797794360628</v>
      </c>
      <c r="L97" s="32">
        <v>5.2934479806138945</v>
      </c>
      <c r="M97" s="54">
        <f t="shared" si="6"/>
        <v>2031</v>
      </c>
      <c r="N97" s="3"/>
      <c r="O97" s="3"/>
    </row>
    <row r="98" spans="8:15">
      <c r="H98" s="28">
        <v>48122</v>
      </c>
      <c r="I98" s="32">
        <v>5.9019251020408161</v>
      </c>
      <c r="J98" s="32">
        <v>5.8292999999999999</v>
      </c>
      <c r="K98" s="32">
        <v>5.7474432009572407</v>
      </c>
      <c r="L98" s="32">
        <v>5.5931248788368348</v>
      </c>
      <c r="M98" s="54">
        <f t="shared" si="6"/>
        <v>2031</v>
      </c>
      <c r="N98" s="3"/>
      <c r="O98" s="3"/>
    </row>
    <row r="99" spans="8:15">
      <c r="H99" s="28">
        <v>48153</v>
      </c>
      <c r="I99" s="32">
        <v>6.2509046938775521</v>
      </c>
      <c r="J99" s="32">
        <v>6.1859999999999999</v>
      </c>
      <c r="K99" s="32">
        <v>6.2211244915526418</v>
      </c>
      <c r="L99" s="32">
        <v>5.4007783521809385</v>
      </c>
      <c r="M99" s="54">
        <f t="shared" si="6"/>
        <v>2031</v>
      </c>
      <c r="N99" s="3"/>
      <c r="O99" s="3"/>
    </row>
    <row r="100" spans="8:15">
      <c r="H100" s="28">
        <v>48183</v>
      </c>
      <c r="I100" s="32">
        <v>6.4732516326530609</v>
      </c>
      <c r="J100" s="32">
        <v>6.4236000000000004</v>
      </c>
      <c r="K100" s="32">
        <v>6.3952735362291246</v>
      </c>
      <c r="L100" s="32">
        <v>5.1664285945072708</v>
      </c>
      <c r="M100" s="54">
        <f t="shared" si="6"/>
        <v>2031</v>
      </c>
      <c r="N100" s="3"/>
      <c r="O100" s="3"/>
    </row>
    <row r="101" spans="8:15">
      <c r="H101" s="28">
        <v>48214</v>
      </c>
      <c r="I101" s="32">
        <v>6.8670271428571432</v>
      </c>
      <c r="J101" s="32">
        <v>6.8146000000000004</v>
      </c>
      <c r="K101" s="32">
        <v>6.8030258730564741</v>
      </c>
      <c r="L101" s="32">
        <v>5.8286862681744758</v>
      </c>
      <c r="M101" s="54">
        <f t="shared" si="6"/>
        <v>2032</v>
      </c>
      <c r="N101" s="3"/>
      <c r="O101" s="3"/>
    </row>
    <row r="102" spans="8:15">
      <c r="H102" s="28">
        <v>48245</v>
      </c>
      <c r="I102" s="32">
        <v>6.2373332653061233</v>
      </c>
      <c r="J102" s="32">
        <v>6.1881000000000004</v>
      </c>
      <c r="K102" s="32">
        <v>6.1285259142416288</v>
      </c>
      <c r="L102" s="32">
        <v>5.5539487883683369</v>
      </c>
      <c r="M102" s="54">
        <f t="shared" si="6"/>
        <v>2032</v>
      </c>
      <c r="N102" s="3"/>
      <c r="O102" s="3"/>
    </row>
    <row r="103" spans="8:15">
      <c r="H103" s="28">
        <v>48274</v>
      </c>
      <c r="I103" s="32">
        <v>5.6767210204081637</v>
      </c>
      <c r="J103" s="32">
        <v>5.6132</v>
      </c>
      <c r="K103" s="32">
        <v>5.5898920144780151</v>
      </c>
      <c r="L103" s="32">
        <v>5.3803825525040399</v>
      </c>
      <c r="M103" s="54">
        <f t="shared" si="6"/>
        <v>2032</v>
      </c>
      <c r="N103" s="3"/>
      <c r="O103" s="3"/>
    </row>
    <row r="104" spans="8:15">
      <c r="H104" s="28">
        <v>48305</v>
      </c>
      <c r="I104" s="32">
        <v>5.3991699999999998</v>
      </c>
      <c r="J104" s="32">
        <v>5.3280000000000003</v>
      </c>
      <c r="K104" s="32">
        <v>5.1587587938124235</v>
      </c>
      <c r="L104" s="32">
        <v>5.2748696284329579</v>
      </c>
      <c r="M104" s="54">
        <f t="shared" si="6"/>
        <v>2032</v>
      </c>
      <c r="N104" s="3"/>
      <c r="O104" s="3"/>
    </row>
    <row r="105" spans="8:15">
      <c r="H105" s="28">
        <v>48335</v>
      </c>
      <c r="I105" s="32">
        <v>5.3840679591836746</v>
      </c>
      <c r="J105" s="32">
        <v>5.3129</v>
      </c>
      <c r="K105" s="32">
        <v>5.0138487005732149</v>
      </c>
      <c r="L105" s="32">
        <v>5.1665295638126016</v>
      </c>
      <c r="M105" s="54">
        <f t="shared" si="6"/>
        <v>2032</v>
      </c>
      <c r="N105" s="3"/>
      <c r="O105" s="3"/>
    </row>
    <row r="106" spans="8:15">
      <c r="H106" s="28">
        <v>48366</v>
      </c>
      <c r="I106" s="32">
        <v>5.4304965306122455</v>
      </c>
      <c r="J106" s="32">
        <v>5.3601999999999999</v>
      </c>
      <c r="K106" s="32">
        <v>5.0369212650641382</v>
      </c>
      <c r="L106" s="32">
        <v>5.2377129240710829</v>
      </c>
      <c r="M106" s="54">
        <f t="shared" si="6"/>
        <v>2032</v>
      </c>
      <c r="N106" s="3"/>
      <c r="O106" s="3"/>
    </row>
    <row r="107" spans="8:15">
      <c r="H107" s="28">
        <v>48396</v>
      </c>
      <c r="I107" s="32">
        <v>5.5129455102040819</v>
      </c>
      <c r="J107" s="32">
        <v>5.4489999999999998</v>
      </c>
      <c r="K107" s="32">
        <v>5.0782360576046797</v>
      </c>
      <c r="L107" s="32">
        <v>5.0062912762520204</v>
      </c>
      <c r="M107" s="54">
        <f t="shared" si="6"/>
        <v>2032</v>
      </c>
      <c r="N107" s="3"/>
      <c r="O107" s="3"/>
    </row>
    <row r="108" spans="8:15">
      <c r="H108" s="28">
        <v>48427</v>
      </c>
      <c r="I108" s="32">
        <v>5.593557755102041</v>
      </c>
      <c r="J108" s="32">
        <v>5.5321999999999996</v>
      </c>
      <c r="K108" s="32">
        <v>5.3251998548059696</v>
      </c>
      <c r="L108" s="32">
        <v>5.1062508885298872</v>
      </c>
      <c r="M108" s="54">
        <f t="shared" si="6"/>
        <v>2032</v>
      </c>
      <c r="N108" s="3"/>
      <c r="O108" s="3"/>
    </row>
    <row r="109" spans="8:15">
      <c r="H109" s="28">
        <v>48458</v>
      </c>
      <c r="I109" s="32">
        <v>5.7441700000000004</v>
      </c>
      <c r="J109" s="32">
        <v>5.6790000000000003</v>
      </c>
      <c r="K109" s="32">
        <v>5.3972438089624841</v>
      </c>
      <c r="L109" s="32">
        <v>5.252757350565429</v>
      </c>
      <c r="M109" s="54">
        <f t="shared" si="6"/>
        <v>2032</v>
      </c>
      <c r="N109" s="3"/>
      <c r="O109" s="3"/>
    </row>
    <row r="110" spans="8:15">
      <c r="H110" s="28">
        <v>48488</v>
      </c>
      <c r="I110" s="32">
        <v>5.8444761224489792</v>
      </c>
      <c r="J110" s="32">
        <v>5.7728999999999999</v>
      </c>
      <c r="K110" s="32">
        <v>5.6758103392638155</v>
      </c>
      <c r="L110" s="32">
        <v>5.5362791599353809</v>
      </c>
      <c r="M110" s="54">
        <f t="shared" si="6"/>
        <v>2032</v>
      </c>
      <c r="N110" s="3"/>
      <c r="O110" s="3"/>
    </row>
    <row r="111" spans="8:15">
      <c r="H111" s="28">
        <v>48519</v>
      </c>
      <c r="I111" s="32">
        <v>6.1992720408163269</v>
      </c>
      <c r="J111" s="32">
        <v>6.1353999999999997</v>
      </c>
      <c r="K111" s="32">
        <v>6.1477444868910851</v>
      </c>
      <c r="L111" s="32">
        <v>5.3496878836833615</v>
      </c>
      <c r="M111" s="54">
        <f t="shared" si="6"/>
        <v>2032</v>
      </c>
      <c r="N111" s="3"/>
      <c r="O111" s="3"/>
    </row>
    <row r="112" spans="8:15">
      <c r="H112" s="28">
        <v>48549</v>
      </c>
      <c r="I112" s="32">
        <v>6.3643740816326533</v>
      </c>
      <c r="J112" s="32">
        <v>6.3170000000000002</v>
      </c>
      <c r="K112" s="32">
        <v>6.2834049997107702</v>
      </c>
      <c r="L112" s="32">
        <v>5.0586943457189024</v>
      </c>
      <c r="M112" s="54">
        <f t="shared" si="6"/>
        <v>2032</v>
      </c>
      <c r="N112" s="3"/>
      <c r="O112" s="3"/>
    </row>
    <row r="113" spans="8:15">
      <c r="H113" s="28">
        <v>48580</v>
      </c>
      <c r="I113" s="32">
        <v>7.1093740816326534</v>
      </c>
      <c r="J113" s="32">
        <v>7.0521000000000003</v>
      </c>
      <c r="K113" s="32">
        <v>7.0298975261242429</v>
      </c>
      <c r="L113" s="32">
        <v>6.0684883683360269</v>
      </c>
      <c r="M113" s="54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6.7282516326530617</v>
      </c>
      <c r="J114" s="32">
        <v>6.6692999999999998</v>
      </c>
      <c r="K114" s="32">
        <v>6.6590407378592182</v>
      </c>
      <c r="L114" s="32">
        <v>6.0397121163166405</v>
      </c>
      <c r="M114" s="54">
        <f t="shared" si="7"/>
        <v>2033</v>
      </c>
      <c r="N114" s="3"/>
      <c r="O114" s="3"/>
    </row>
    <row r="115" spans="8:15">
      <c r="H115" s="28">
        <v>48639</v>
      </c>
      <c r="I115" s="32">
        <v>5.7542720408163275</v>
      </c>
      <c r="J115" s="32">
        <v>5.6891999999999996</v>
      </c>
      <c r="K115" s="32">
        <v>5.6462116819213382</v>
      </c>
      <c r="L115" s="32">
        <v>5.4571192245557354</v>
      </c>
      <c r="M115" s="54">
        <f t="shared" si="7"/>
        <v>2033</v>
      </c>
      <c r="N115" s="3"/>
      <c r="O115" s="3"/>
    </row>
    <row r="116" spans="8:15">
      <c r="H116" s="28">
        <v>48670</v>
      </c>
      <c r="I116" s="32">
        <v>5.438353673469388</v>
      </c>
      <c r="J116" s="32">
        <v>5.3663999999999996</v>
      </c>
      <c r="K116" s="32">
        <v>5.2116869484352559</v>
      </c>
      <c r="L116" s="32">
        <v>5.3136418416801297</v>
      </c>
      <c r="M116" s="54">
        <f t="shared" si="7"/>
        <v>2033</v>
      </c>
      <c r="N116" s="3"/>
      <c r="O116" s="3"/>
    </row>
    <row r="117" spans="8:15">
      <c r="H117" s="28">
        <v>48700</v>
      </c>
      <c r="I117" s="32">
        <v>5.4435577551020407</v>
      </c>
      <c r="J117" s="32">
        <v>5.3712</v>
      </c>
      <c r="K117" s="32">
        <v>5.061175720386446</v>
      </c>
      <c r="L117" s="32">
        <v>5.2253946688206794</v>
      </c>
      <c r="M117" s="54">
        <f t="shared" si="7"/>
        <v>2033</v>
      </c>
      <c r="N117" s="3"/>
      <c r="O117" s="3"/>
    </row>
    <row r="118" spans="8:15">
      <c r="H118" s="28">
        <v>48731</v>
      </c>
      <c r="I118" s="32">
        <v>5.4853944897959188</v>
      </c>
      <c r="J118" s="32">
        <v>5.4139999999999997</v>
      </c>
      <c r="K118" s="32">
        <v>5.0853274025929807</v>
      </c>
      <c r="L118" s="32">
        <v>5.2920344103392578</v>
      </c>
      <c r="M118" s="54">
        <f t="shared" si="7"/>
        <v>2033</v>
      </c>
      <c r="N118" s="3"/>
      <c r="O118" s="3"/>
    </row>
    <row r="119" spans="8:15">
      <c r="H119" s="28">
        <v>48761</v>
      </c>
      <c r="I119" s="32">
        <v>5.5730475510204078</v>
      </c>
      <c r="J119" s="32">
        <v>5.5079000000000002</v>
      </c>
      <c r="K119" s="32">
        <v>5.1587587938124244</v>
      </c>
      <c r="L119" s="32">
        <v>5.0657621970920843</v>
      </c>
      <c r="M119" s="54">
        <f t="shared" si="7"/>
        <v>2033</v>
      </c>
      <c r="N119" s="3"/>
      <c r="O119" s="3"/>
    </row>
    <row r="120" spans="8:15">
      <c r="H120" s="28">
        <v>48792</v>
      </c>
      <c r="I120" s="32">
        <v>5.6984557142857151</v>
      </c>
      <c r="J120" s="32">
        <v>5.6351000000000004</v>
      </c>
      <c r="K120" s="32">
        <v>5.4253008695683747</v>
      </c>
      <c r="L120" s="32">
        <v>5.2100473344103397</v>
      </c>
      <c r="M120" s="54">
        <f t="shared" si="7"/>
        <v>2033</v>
      </c>
      <c r="N120" s="3"/>
      <c r="O120" s="3"/>
    </row>
    <row r="121" spans="8:15">
      <c r="H121" s="28">
        <v>48823</v>
      </c>
      <c r="I121" s="32">
        <v>5.8323332653061222</v>
      </c>
      <c r="J121" s="32">
        <v>5.7655000000000003</v>
      </c>
      <c r="K121" s="32">
        <v>5.4971906640512307</v>
      </c>
      <c r="L121" s="32">
        <v>5.3399948303715679</v>
      </c>
      <c r="M121" s="54">
        <f t="shared" si="7"/>
        <v>2033</v>
      </c>
      <c r="N121" s="3"/>
      <c r="O121" s="3"/>
    </row>
    <row r="122" spans="8:15">
      <c r="H122" s="28">
        <v>48853</v>
      </c>
      <c r="I122" s="32">
        <v>5.9536597959183677</v>
      </c>
      <c r="J122" s="32">
        <v>5.8799000000000001</v>
      </c>
      <c r="K122" s="32">
        <v>5.8027351372428395</v>
      </c>
      <c r="L122" s="32">
        <v>5.6443163166397428</v>
      </c>
      <c r="M122" s="54">
        <f t="shared" si="7"/>
        <v>2033</v>
      </c>
      <c r="N122" s="3"/>
      <c r="O122" s="3"/>
    </row>
    <row r="123" spans="8:15">
      <c r="H123" s="28">
        <v>48884</v>
      </c>
      <c r="I123" s="32">
        <v>6.3134557142857144</v>
      </c>
      <c r="J123" s="32">
        <v>6.2473000000000001</v>
      </c>
      <c r="K123" s="32">
        <v>6.2462011318011292</v>
      </c>
      <c r="L123" s="32">
        <v>5.4626725363489514</v>
      </c>
      <c r="M123" s="54">
        <f t="shared" si="7"/>
        <v>2033</v>
      </c>
      <c r="N123" s="3"/>
      <c r="O123" s="3"/>
    </row>
    <row r="124" spans="8:15">
      <c r="H124" s="28">
        <v>48914</v>
      </c>
      <c r="I124" s="32">
        <v>6.523659795918368</v>
      </c>
      <c r="J124" s="32">
        <v>6.4730999999999996</v>
      </c>
      <c r="K124" s="32">
        <v>6.4239986220875345</v>
      </c>
      <c r="L124" s="32">
        <v>5.2163074313408728</v>
      </c>
      <c r="M124" s="54">
        <f t="shared" si="7"/>
        <v>2033</v>
      </c>
      <c r="N124" s="3"/>
      <c r="O124" s="3"/>
    </row>
    <row r="125" spans="8:15">
      <c r="H125" s="28">
        <v>48945</v>
      </c>
      <c r="I125" s="32">
        <v>7.0154965306122454</v>
      </c>
      <c r="J125" s="32">
        <v>6.9600999999999997</v>
      </c>
      <c r="K125" s="32">
        <v>6.9162304600798699</v>
      </c>
      <c r="L125" s="32">
        <v>5.975596607431342</v>
      </c>
      <c r="M125" s="54">
        <f t="shared" si="7"/>
        <v>2034</v>
      </c>
      <c r="N125" s="3"/>
      <c r="O125" s="3"/>
    </row>
    <row r="126" spans="8:15">
      <c r="H126" s="28">
        <v>48976</v>
      </c>
      <c r="I126" s="32">
        <v>6.7844761224489805</v>
      </c>
      <c r="J126" s="32">
        <v>6.7244000000000002</v>
      </c>
      <c r="K126" s="32">
        <v>6.6930072526220252</v>
      </c>
      <c r="L126" s="32">
        <v>6.0953462035541204</v>
      </c>
      <c r="M126" s="54">
        <f t="shared" si="7"/>
        <v>2034</v>
      </c>
      <c r="N126" s="3"/>
      <c r="O126" s="3"/>
    </row>
    <row r="127" spans="8:15">
      <c r="H127" s="28">
        <v>49004</v>
      </c>
      <c r="I127" s="32">
        <v>5.8586597959183679</v>
      </c>
      <c r="J127" s="32">
        <v>5.7915000000000001</v>
      </c>
      <c r="K127" s="32">
        <v>5.7463640832416294</v>
      </c>
      <c r="L127" s="32">
        <v>5.5604108239095327</v>
      </c>
      <c r="M127" s="54">
        <f t="shared" si="7"/>
        <v>2034</v>
      </c>
      <c r="N127" s="3"/>
      <c r="O127" s="3"/>
    </row>
    <row r="128" spans="8:15">
      <c r="H128" s="28">
        <v>49035</v>
      </c>
      <c r="I128" s="32">
        <v>5.5394761224489795</v>
      </c>
      <c r="J128" s="32">
        <v>5.4656000000000002</v>
      </c>
      <c r="K128" s="32">
        <v>5.3135864927236787</v>
      </c>
      <c r="L128" s="32">
        <v>5.4137024232633282</v>
      </c>
      <c r="M128" s="54">
        <f t="shared" si="7"/>
        <v>2034</v>
      </c>
      <c r="N128" s="3"/>
      <c r="O128" s="3"/>
    </row>
    <row r="129" spans="8:15">
      <c r="H129" s="28">
        <v>49065</v>
      </c>
      <c r="I129" s="32">
        <v>5.5458026530612248</v>
      </c>
      <c r="J129" s="32">
        <v>5.4713000000000003</v>
      </c>
      <c r="K129" s="32">
        <v>5.1699096768737398</v>
      </c>
      <c r="L129" s="32">
        <v>5.3265659127625211</v>
      </c>
      <c r="M129" s="54">
        <f t="shared" si="7"/>
        <v>2034</v>
      </c>
      <c r="N129" s="3"/>
      <c r="O129" s="3"/>
    </row>
    <row r="130" spans="8:15">
      <c r="H130" s="28">
        <v>49096</v>
      </c>
      <c r="I130" s="32">
        <v>5.5920271428571429</v>
      </c>
      <c r="J130" s="32">
        <v>5.5185000000000004</v>
      </c>
      <c r="K130" s="32">
        <v>5.1835271147135931</v>
      </c>
      <c r="L130" s="32">
        <v>5.3975473344103397</v>
      </c>
      <c r="M130" s="54">
        <f t="shared" si="7"/>
        <v>2034</v>
      </c>
      <c r="N130" s="3"/>
      <c r="O130" s="3"/>
    </row>
    <row r="131" spans="8:15">
      <c r="H131" s="28">
        <v>49126</v>
      </c>
      <c r="I131" s="32">
        <v>5.6576393877551023</v>
      </c>
      <c r="J131" s="32">
        <v>5.5909000000000004</v>
      </c>
      <c r="K131" s="32">
        <v>5.2604527918693016</v>
      </c>
      <c r="L131" s="32">
        <v>5.1494657512116326</v>
      </c>
      <c r="M131" s="54">
        <f t="shared" si="7"/>
        <v>2034</v>
      </c>
      <c r="N131" s="3"/>
      <c r="O131" s="3"/>
    </row>
    <row r="132" spans="8:15">
      <c r="H132" s="28">
        <v>49157</v>
      </c>
      <c r="I132" s="32">
        <v>5.7584557142857147</v>
      </c>
      <c r="J132" s="32">
        <v>5.6939000000000002</v>
      </c>
      <c r="K132" s="32">
        <v>5.5162036904691405</v>
      </c>
      <c r="L132" s="32">
        <v>5.2694172859450736</v>
      </c>
      <c r="M132" s="54">
        <f t="shared" si="7"/>
        <v>2034</v>
      </c>
      <c r="N132" s="3"/>
      <c r="O132" s="3"/>
    </row>
    <row r="133" spans="8:15">
      <c r="H133" s="28">
        <v>49188</v>
      </c>
      <c r="I133" s="32">
        <v>5.8981495918367344</v>
      </c>
      <c r="J133" s="32">
        <v>5.83</v>
      </c>
      <c r="K133" s="32">
        <v>5.5675388617974981</v>
      </c>
      <c r="L133" s="32">
        <v>5.4051200323101787</v>
      </c>
      <c r="M133" s="54">
        <f t="shared" si="7"/>
        <v>2034</v>
      </c>
      <c r="N133" s="3"/>
      <c r="O133" s="3"/>
    </row>
    <row r="134" spans="8:15">
      <c r="H134" s="28">
        <v>49218</v>
      </c>
      <c r="I134" s="32">
        <v>5.9996802040816331</v>
      </c>
      <c r="J134" s="32">
        <v>5.9249999999999998</v>
      </c>
      <c r="K134" s="32">
        <v>5.8231869872815647</v>
      </c>
      <c r="L134" s="32">
        <v>5.6898534733441046</v>
      </c>
      <c r="M134" s="54">
        <f t="shared" si="7"/>
        <v>2034</v>
      </c>
      <c r="N134" s="3"/>
      <c r="O134" s="3"/>
    </row>
    <row r="135" spans="8:15">
      <c r="H135" s="28">
        <v>49249</v>
      </c>
      <c r="I135" s="32">
        <v>6.3967210204081644</v>
      </c>
      <c r="J135" s="32">
        <v>6.3289999999999997</v>
      </c>
      <c r="K135" s="32">
        <v>6.2800134868902786</v>
      </c>
      <c r="L135" s="32">
        <v>5.545063489499193</v>
      </c>
      <c r="M135" s="54">
        <f t="shared" si="7"/>
        <v>2034</v>
      </c>
      <c r="N135" s="3"/>
      <c r="O135" s="3"/>
    </row>
    <row r="136" spans="8:15">
      <c r="H136" s="28">
        <v>49279</v>
      </c>
      <c r="I136" s="32">
        <v>6.5695781632653061</v>
      </c>
      <c r="J136" s="32">
        <v>6.5179999999999998</v>
      </c>
      <c r="K136" s="32">
        <v>6.4668036248067766</v>
      </c>
      <c r="L136" s="32">
        <v>5.2617436187399047</v>
      </c>
      <c r="M136" s="54">
        <f t="shared" si="7"/>
        <v>2034</v>
      </c>
      <c r="N136" s="3"/>
      <c r="O136" s="3"/>
    </row>
    <row r="137" spans="8:15">
      <c r="H137" s="28">
        <v>49310</v>
      </c>
      <c r="I137" s="32">
        <v>7.3207006122448988</v>
      </c>
      <c r="J137" s="32">
        <v>7.2591999999999999</v>
      </c>
      <c r="K137" s="32">
        <v>7.2181778742194433</v>
      </c>
      <c r="L137" s="32">
        <v>6.2775957996768996</v>
      </c>
      <c r="M137" s="54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6.899578163265307</v>
      </c>
      <c r="J138" s="32">
        <v>6.8371000000000004</v>
      </c>
      <c r="K138" s="32">
        <v>6.8048244025824927</v>
      </c>
      <c r="L138" s="32">
        <v>6.2092395799676909</v>
      </c>
      <c r="M138" s="54">
        <f t="shared" si="8"/>
        <v>2035</v>
      </c>
      <c r="N138" s="3"/>
      <c r="O138" s="3"/>
    </row>
    <row r="139" spans="8:15">
      <c r="H139" s="28">
        <v>49369</v>
      </c>
      <c r="I139" s="32">
        <v>5.9789659183673471</v>
      </c>
      <c r="J139" s="32">
        <v>5.9093999999999998</v>
      </c>
      <c r="K139" s="32">
        <v>5.8635768217801525</v>
      </c>
      <c r="L139" s="32">
        <v>5.6794536348949931</v>
      </c>
      <c r="M139" s="54">
        <f t="shared" si="8"/>
        <v>2035</v>
      </c>
      <c r="N139" s="3"/>
      <c r="O139" s="3"/>
    </row>
    <row r="140" spans="8:15">
      <c r="H140" s="28">
        <v>49400</v>
      </c>
      <c r="I140" s="32">
        <v>5.6644761224489804</v>
      </c>
      <c r="J140" s="32">
        <v>5.5880999999999998</v>
      </c>
      <c r="K140" s="32">
        <v>5.4176956590012102</v>
      </c>
      <c r="L140" s="32">
        <v>5.5373898222940241</v>
      </c>
      <c r="M140" s="54">
        <f t="shared" si="8"/>
        <v>2035</v>
      </c>
      <c r="N140" s="3"/>
      <c r="O140" s="3"/>
    </row>
    <row r="141" spans="8:15">
      <c r="H141" s="28">
        <v>49430</v>
      </c>
      <c r="I141" s="32">
        <v>5.6647822448979595</v>
      </c>
      <c r="J141" s="32">
        <v>5.5880000000000001</v>
      </c>
      <c r="K141" s="32">
        <v>5.2779756081085107</v>
      </c>
      <c r="L141" s="32">
        <v>5.4442961227786766</v>
      </c>
      <c r="M141" s="54">
        <f t="shared" si="8"/>
        <v>2035</v>
      </c>
      <c r="N141" s="3"/>
      <c r="O141" s="3"/>
    </row>
    <row r="142" spans="8:15">
      <c r="H142" s="28">
        <v>49461</v>
      </c>
      <c r="I142" s="32">
        <v>5.7084557142857149</v>
      </c>
      <c r="J142" s="32">
        <v>5.6326000000000001</v>
      </c>
      <c r="K142" s="32">
        <v>5.2945734663057689</v>
      </c>
      <c r="L142" s="32">
        <v>5.5127533117932161</v>
      </c>
      <c r="M142" s="54">
        <f t="shared" si="8"/>
        <v>2035</v>
      </c>
      <c r="N142" s="3"/>
      <c r="O142" s="3"/>
    </row>
    <row r="143" spans="8:15">
      <c r="H143" s="28">
        <v>49491</v>
      </c>
      <c r="I143" s="32">
        <v>5.7823332653061232</v>
      </c>
      <c r="J143" s="32">
        <v>5.7130999999999998</v>
      </c>
      <c r="K143" s="32">
        <v>5.3882511613323931</v>
      </c>
      <c r="L143" s="32">
        <v>5.2728502423263333</v>
      </c>
      <c r="M143" s="54">
        <f t="shared" si="8"/>
        <v>2035</v>
      </c>
      <c r="N143" s="3"/>
      <c r="O143" s="3"/>
    </row>
    <row r="144" spans="8:15">
      <c r="H144" s="28">
        <v>49522</v>
      </c>
      <c r="I144" s="32">
        <v>5.8996802040816325</v>
      </c>
      <c r="J144" s="32">
        <v>5.8323</v>
      </c>
      <c r="K144" s="32">
        <v>5.6805379025893492</v>
      </c>
      <c r="L144" s="32">
        <v>5.4091588045234262</v>
      </c>
      <c r="M144" s="54">
        <f t="shared" si="8"/>
        <v>2035</v>
      </c>
      <c r="N144" s="3"/>
      <c r="O144" s="3"/>
    </row>
    <row r="145" spans="8:15">
      <c r="H145" s="28">
        <v>49553</v>
      </c>
      <c r="I145" s="32">
        <v>6.0596802040816335</v>
      </c>
      <c r="J145" s="32">
        <v>5.9882</v>
      </c>
      <c r="K145" s="32">
        <v>5.7334146706542963</v>
      </c>
      <c r="L145" s="32">
        <v>5.5649544426494364</v>
      </c>
      <c r="M145" s="54">
        <f t="shared" si="8"/>
        <v>2035</v>
      </c>
      <c r="N145" s="3"/>
      <c r="O145" s="3"/>
    </row>
    <row r="146" spans="8:15">
      <c r="H146" s="28">
        <v>49583</v>
      </c>
      <c r="I146" s="32">
        <v>6.214986326530612</v>
      </c>
      <c r="J146" s="32">
        <v>6.1360000000000001</v>
      </c>
      <c r="K146" s="32">
        <v>5.994252838484873</v>
      </c>
      <c r="L146" s="32">
        <v>5.9028987075928931</v>
      </c>
      <c r="M146" s="54">
        <f t="shared" si="8"/>
        <v>2035</v>
      </c>
      <c r="N146" s="3"/>
      <c r="O146" s="3"/>
    </row>
    <row r="147" spans="8:15">
      <c r="H147" s="28">
        <v>49614</v>
      </c>
      <c r="I147" s="32">
        <v>6.5997822448979599</v>
      </c>
      <c r="J147" s="32">
        <v>6.5278999999999998</v>
      </c>
      <c r="K147" s="32">
        <v>6.4992285428329959</v>
      </c>
      <c r="L147" s="32">
        <v>5.7459924071082398</v>
      </c>
      <c r="M147" s="54">
        <f t="shared" si="8"/>
        <v>2035</v>
      </c>
      <c r="N147" s="3"/>
      <c r="O147" s="3"/>
    </row>
    <row r="148" spans="8:15">
      <c r="H148" s="28">
        <v>49644</v>
      </c>
      <c r="I148" s="32">
        <v>6.852435306122449</v>
      </c>
      <c r="J148" s="32">
        <v>6.7952000000000004</v>
      </c>
      <c r="K148" s="32">
        <v>6.7221948175014123</v>
      </c>
      <c r="L148" s="32">
        <v>5.5416305331179334</v>
      </c>
      <c r="M148" s="54">
        <f t="shared" si="8"/>
        <v>2035</v>
      </c>
      <c r="N148" s="3"/>
      <c r="O148" s="3"/>
    </row>
    <row r="149" spans="8:15">
      <c r="H149" s="28">
        <v>49675</v>
      </c>
      <c r="I149" s="32">
        <v>7.3722312244897958</v>
      </c>
      <c r="J149" s="32">
        <v>7.3098000000000001</v>
      </c>
      <c r="K149" s="32">
        <v>7.2578996834655101</v>
      </c>
      <c r="L149" s="32">
        <v>6.3285852988691449</v>
      </c>
      <c r="M149" s="54">
        <f t="shared" si="7"/>
        <v>2036</v>
      </c>
      <c r="N149" s="3"/>
      <c r="O149" s="3"/>
    </row>
    <row r="150" spans="8:15">
      <c r="H150" s="28">
        <v>49706</v>
      </c>
      <c r="I150" s="32">
        <v>6.7965169387755111</v>
      </c>
      <c r="J150" s="32">
        <v>6.7362000000000002</v>
      </c>
      <c r="K150" s="32">
        <v>6.6889991011068979</v>
      </c>
      <c r="L150" s="32">
        <v>6.1072605815831995</v>
      </c>
      <c r="M150" s="54">
        <f t="shared" si="7"/>
        <v>2036</v>
      </c>
      <c r="N150" s="3"/>
      <c r="O150" s="3"/>
    </row>
    <row r="151" spans="8:15">
      <c r="H151" s="28">
        <v>49735</v>
      </c>
      <c r="I151" s="32">
        <v>6.1877414285714289</v>
      </c>
      <c r="J151" s="32">
        <v>6.1139999999999999</v>
      </c>
      <c r="K151" s="32">
        <v>6.0632135991682121</v>
      </c>
      <c r="L151" s="32">
        <v>5.8860368336025859</v>
      </c>
      <c r="M151" s="54">
        <f t="shared" si="7"/>
        <v>2036</v>
      </c>
      <c r="N151" s="3"/>
      <c r="O151" s="3"/>
    </row>
    <row r="152" spans="8:15">
      <c r="H152" s="28">
        <v>49766</v>
      </c>
      <c r="I152" s="32">
        <v>5.8586597959183679</v>
      </c>
      <c r="J152" s="32">
        <v>5.7782999999999998</v>
      </c>
      <c r="K152" s="32">
        <v>5.6009915109814443</v>
      </c>
      <c r="L152" s="32">
        <v>5.7295344103392578</v>
      </c>
      <c r="M152" s="54">
        <f t="shared" si="7"/>
        <v>2036</v>
      </c>
      <c r="N152" s="3"/>
      <c r="O152" s="3"/>
    </row>
    <row r="153" spans="8:15">
      <c r="H153" s="28">
        <v>49796</v>
      </c>
      <c r="I153" s="32">
        <v>5.8460067346938773</v>
      </c>
      <c r="J153" s="32">
        <v>5.7655000000000003</v>
      </c>
      <c r="K153" s="32">
        <v>5.4711890657607896</v>
      </c>
      <c r="L153" s="32">
        <v>5.6236176090468506</v>
      </c>
      <c r="M153" s="54">
        <f t="shared" si="7"/>
        <v>2036</v>
      </c>
      <c r="N153" s="3"/>
      <c r="O153" s="3"/>
    </row>
    <row r="154" spans="8:15">
      <c r="H154" s="28">
        <v>49827</v>
      </c>
      <c r="I154" s="32">
        <v>5.8858026530612255</v>
      </c>
      <c r="J154" s="32">
        <v>5.8064</v>
      </c>
      <c r="K154" s="32">
        <v>5.4816719235695839</v>
      </c>
      <c r="L154" s="32">
        <v>5.6882379644588053</v>
      </c>
      <c r="M154" s="54">
        <f t="shared" si="7"/>
        <v>2036</v>
      </c>
      <c r="N154" s="3"/>
      <c r="O154" s="3"/>
    </row>
    <row r="155" spans="8:15">
      <c r="H155" s="28">
        <v>49857</v>
      </c>
      <c r="I155" s="32">
        <v>5.9490679591836733</v>
      </c>
      <c r="J155" s="32">
        <v>5.8764000000000003</v>
      </c>
      <c r="K155" s="32">
        <v>5.5512493229475606</v>
      </c>
      <c r="L155" s="32">
        <v>5.4378340872374809</v>
      </c>
      <c r="M155" s="54">
        <f t="shared" si="7"/>
        <v>2036</v>
      </c>
      <c r="N155" s="3"/>
      <c r="O155" s="3"/>
    </row>
    <row r="156" spans="8:15">
      <c r="H156" s="28">
        <v>49888</v>
      </c>
      <c r="I156" s="32">
        <v>6.1071291836734698</v>
      </c>
      <c r="J156" s="32">
        <v>6.0355999999999996</v>
      </c>
      <c r="K156" s="32">
        <v>5.8861869072501003</v>
      </c>
      <c r="L156" s="32">
        <v>5.6144294022617132</v>
      </c>
      <c r="M156" s="54">
        <f t="shared" si="7"/>
        <v>2036</v>
      </c>
      <c r="N156" s="3"/>
      <c r="O156" s="3"/>
    </row>
    <row r="157" spans="8:15">
      <c r="H157" s="28">
        <v>49919</v>
      </c>
      <c r="I157" s="32">
        <v>6.2839659183673477</v>
      </c>
      <c r="J157" s="32">
        <v>6.2080000000000002</v>
      </c>
      <c r="K157" s="32">
        <v>5.9472341380189588</v>
      </c>
      <c r="L157" s="32">
        <v>5.786884975767367</v>
      </c>
      <c r="M157" s="54">
        <f t="shared" si="7"/>
        <v>2036</v>
      </c>
      <c r="N157" s="3"/>
      <c r="O157" s="3"/>
    </row>
    <row r="158" spans="8:15">
      <c r="H158" s="28">
        <v>49949</v>
      </c>
      <c r="I158" s="32">
        <v>6.4315169387755109</v>
      </c>
      <c r="J158" s="32">
        <v>6.3483000000000001</v>
      </c>
      <c r="K158" s="32">
        <v>6.1742085642025009</v>
      </c>
      <c r="L158" s="32">
        <v>6.1171555735056558</v>
      </c>
      <c r="M158" s="54">
        <f t="shared" si="7"/>
        <v>2036</v>
      </c>
      <c r="N158" s="3"/>
      <c r="O158" s="3"/>
    </row>
    <row r="159" spans="8:15">
      <c r="H159" s="28">
        <v>49980</v>
      </c>
      <c r="I159" s="32">
        <v>6.8229455102040824</v>
      </c>
      <c r="J159" s="32">
        <v>6.7466999999999997</v>
      </c>
      <c r="K159" s="32">
        <v>6.7212184729015725</v>
      </c>
      <c r="L159" s="32">
        <v>5.966812277867529</v>
      </c>
      <c r="M159" s="54">
        <f t="shared" si="7"/>
        <v>2036</v>
      </c>
      <c r="N159" s="3"/>
      <c r="O159" s="3"/>
    </row>
    <row r="160" spans="8:15">
      <c r="H160" s="28">
        <v>50010</v>
      </c>
      <c r="I160" s="32">
        <v>7.0897822448979602</v>
      </c>
      <c r="J160" s="32">
        <v>7.0278999999999998</v>
      </c>
      <c r="K160" s="32">
        <v>6.9555925634207343</v>
      </c>
      <c r="L160" s="32">
        <v>5.7764851373182564</v>
      </c>
      <c r="M160" s="54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7.6498842857142861</v>
      </c>
      <c r="J161" s="32">
        <v>7.5819000000000001</v>
      </c>
      <c r="K161" s="32">
        <v>7.519457263106494</v>
      </c>
      <c r="L161" s="32">
        <v>6.6033227786752837</v>
      </c>
      <c r="M161" s="54">
        <f t="shared" si="9"/>
        <v>2037</v>
      </c>
      <c r="N161" s="3"/>
      <c r="O161" s="3"/>
    </row>
    <row r="162" spans="8:15">
      <c r="H162" s="28">
        <v>50072</v>
      </c>
      <c r="I162" s="32">
        <v>7.405190408163266</v>
      </c>
      <c r="J162" s="32">
        <v>7.3327</v>
      </c>
      <c r="K162" s="32">
        <v>7.2608801038229123</v>
      </c>
      <c r="L162" s="32">
        <v>6.7095424878836845</v>
      </c>
      <c r="M162" s="54">
        <f t="shared" si="9"/>
        <v>2037</v>
      </c>
      <c r="N162" s="3"/>
      <c r="O162" s="3"/>
    </row>
    <row r="163" spans="8:15">
      <c r="H163" s="28">
        <v>50100</v>
      </c>
      <c r="I163" s="32">
        <v>6.3576393877551025</v>
      </c>
      <c r="J163" s="32">
        <v>6.2805</v>
      </c>
      <c r="K163" s="32">
        <v>6.2203023066264613</v>
      </c>
      <c r="L163" s="32">
        <v>6.0541507269789996</v>
      </c>
      <c r="M163" s="54">
        <f t="shared" si="9"/>
        <v>2037</v>
      </c>
      <c r="N163" s="3"/>
      <c r="O163" s="3"/>
    </row>
    <row r="164" spans="8:15">
      <c r="H164" s="28">
        <v>50131</v>
      </c>
      <c r="I164" s="32">
        <v>6.0143740816326527</v>
      </c>
      <c r="J164" s="32">
        <v>5.9309000000000003</v>
      </c>
      <c r="K164" s="32">
        <v>5.7470321084941505</v>
      </c>
      <c r="L164" s="32">
        <v>5.8836135702746377</v>
      </c>
      <c r="M164" s="54">
        <f t="shared" si="9"/>
        <v>2037</v>
      </c>
      <c r="N164" s="3"/>
      <c r="O164" s="3"/>
    </row>
    <row r="165" spans="8:15">
      <c r="H165" s="28">
        <v>50161</v>
      </c>
      <c r="I165" s="32">
        <v>6.0102924489795919</v>
      </c>
      <c r="J165" s="32">
        <v>5.9265999999999996</v>
      </c>
      <c r="K165" s="32">
        <v>5.6315151263658727</v>
      </c>
      <c r="L165" s="32">
        <v>5.7861781906300491</v>
      </c>
      <c r="M165" s="54">
        <f t="shared" si="9"/>
        <v>2037</v>
      </c>
      <c r="N165" s="3"/>
      <c r="O165" s="3"/>
    </row>
    <row r="166" spans="8:15">
      <c r="H166" s="28">
        <v>50192</v>
      </c>
      <c r="I166" s="32">
        <v>6.0471291836734702</v>
      </c>
      <c r="J166" s="32">
        <v>5.9645000000000001</v>
      </c>
      <c r="K166" s="32">
        <v>5.620929495441306</v>
      </c>
      <c r="L166" s="32">
        <v>5.8478704361874003</v>
      </c>
      <c r="M166" s="54">
        <f t="shared" si="9"/>
        <v>2037</v>
      </c>
      <c r="N166" s="3"/>
      <c r="O166" s="3"/>
    </row>
    <row r="167" spans="8:15">
      <c r="H167" s="28">
        <v>50222</v>
      </c>
      <c r="I167" s="32">
        <v>6.1185577551020414</v>
      </c>
      <c r="J167" s="32">
        <v>6.0426000000000002</v>
      </c>
      <c r="K167" s="32">
        <v>5.7071561395744244</v>
      </c>
      <c r="L167" s="32">
        <v>5.6055441033925693</v>
      </c>
      <c r="M167" s="54">
        <f t="shared" si="9"/>
        <v>2037</v>
      </c>
      <c r="N167" s="3"/>
      <c r="O167" s="3"/>
    </row>
    <row r="168" spans="8:15">
      <c r="H168" s="28">
        <v>50253</v>
      </c>
      <c r="I168" s="32">
        <v>6.2498842857142858</v>
      </c>
      <c r="J168" s="32">
        <v>6.1755000000000004</v>
      </c>
      <c r="K168" s="32">
        <v>6.0302748155631303</v>
      </c>
      <c r="L168" s="32">
        <v>5.7556854604200334</v>
      </c>
      <c r="M168" s="54">
        <f t="shared" si="9"/>
        <v>2037</v>
      </c>
      <c r="N168" s="3"/>
      <c r="O168" s="3"/>
    </row>
    <row r="169" spans="8:15">
      <c r="H169" s="28">
        <v>50284</v>
      </c>
      <c r="I169" s="32">
        <v>6.4675373469387765</v>
      </c>
      <c r="J169" s="32">
        <v>6.3879000000000001</v>
      </c>
      <c r="K169" s="32">
        <v>6.0927608699528033</v>
      </c>
      <c r="L169" s="32">
        <v>5.9685287560581592</v>
      </c>
      <c r="M169" s="54">
        <f t="shared" si="9"/>
        <v>2037</v>
      </c>
      <c r="N169" s="3"/>
      <c r="O169" s="3"/>
    </row>
    <row r="170" spans="8:15">
      <c r="H170" s="28">
        <v>50314</v>
      </c>
      <c r="I170" s="32">
        <v>6.5733536734693887</v>
      </c>
      <c r="J170" s="32">
        <v>6.4873000000000003</v>
      </c>
      <c r="K170" s="32">
        <v>6.290136638793868</v>
      </c>
      <c r="L170" s="32">
        <v>6.2575029079159945</v>
      </c>
      <c r="M170" s="54">
        <f t="shared" si="9"/>
        <v>2037</v>
      </c>
      <c r="N170" s="3"/>
      <c r="O170" s="3"/>
    </row>
    <row r="171" spans="8:15">
      <c r="H171" s="28">
        <v>50345</v>
      </c>
      <c r="I171" s="32">
        <v>6.962333265306123</v>
      </c>
      <c r="J171" s="32">
        <v>6.8832000000000004</v>
      </c>
      <c r="K171" s="32">
        <v>6.8432101613235172</v>
      </c>
      <c r="L171" s="32">
        <v>6.1047363489499196</v>
      </c>
      <c r="M171" s="54">
        <f t="shared" si="9"/>
        <v>2037</v>
      </c>
      <c r="N171" s="3"/>
      <c r="O171" s="3"/>
    </row>
    <row r="172" spans="8:15">
      <c r="H172" s="28">
        <v>50375</v>
      </c>
      <c r="I172" s="32">
        <v>7.2257006122448981</v>
      </c>
      <c r="J172" s="32">
        <v>7.1611000000000002</v>
      </c>
      <c r="K172" s="32">
        <v>7.0816951764735778</v>
      </c>
      <c r="L172" s="32">
        <v>5.9109762520193874</v>
      </c>
      <c r="M172" s="54">
        <f t="shared" si="9"/>
        <v>2037</v>
      </c>
      <c r="N172" s="3"/>
      <c r="O172" s="3"/>
    </row>
    <row r="173" spans="8:15">
      <c r="H173" s="28">
        <v>50406</v>
      </c>
      <c r="I173" s="32">
        <v>8.0469251020408166</v>
      </c>
      <c r="J173" s="32">
        <v>7.9709000000000003</v>
      </c>
      <c r="K173" s="32">
        <v>7.8723801426692219</v>
      </c>
      <c r="L173" s="32">
        <v>6.9961943457189024</v>
      </c>
      <c r="M173" s="54">
        <f t="shared" si="9"/>
        <v>2038</v>
      </c>
      <c r="N173" s="3"/>
      <c r="O173" s="3"/>
    </row>
    <row r="174" spans="8:15">
      <c r="H174" s="28">
        <v>50437</v>
      </c>
      <c r="I174" s="32">
        <v>7.669986326530613</v>
      </c>
      <c r="J174" s="32">
        <v>7.5922000000000001</v>
      </c>
      <c r="K174" s="32">
        <v>7.4902696982271078</v>
      </c>
      <c r="L174" s="32">
        <v>6.9715578352180945</v>
      </c>
      <c r="M174" s="54">
        <f t="shared" si="9"/>
        <v>2038</v>
      </c>
      <c r="N174" s="3"/>
      <c r="O174" s="3"/>
    </row>
    <row r="175" spans="8:15">
      <c r="H175" s="28">
        <v>50465</v>
      </c>
      <c r="I175" s="32">
        <v>6.5915169387755101</v>
      </c>
      <c r="J175" s="32">
        <v>6.5098000000000003</v>
      </c>
      <c r="K175" s="32">
        <v>6.4347897992436458</v>
      </c>
      <c r="L175" s="32">
        <v>6.2855723747980621</v>
      </c>
      <c r="M175" s="54">
        <f t="shared" si="9"/>
        <v>2038</v>
      </c>
      <c r="N175" s="3"/>
      <c r="O175" s="3"/>
    </row>
    <row r="176" spans="8:15">
      <c r="H176" s="28">
        <v>50496</v>
      </c>
      <c r="I176" s="32">
        <v>6.2489659183673476</v>
      </c>
      <c r="J176" s="32">
        <v>6.1608999999999998</v>
      </c>
      <c r="K176" s="32">
        <v>5.9438426251984673</v>
      </c>
      <c r="L176" s="32">
        <v>6.115742003231019</v>
      </c>
      <c r="M176" s="54">
        <f t="shared" si="9"/>
        <v>2038</v>
      </c>
      <c r="N176" s="3"/>
      <c r="O176" s="3"/>
    </row>
    <row r="177" spans="8:15">
      <c r="H177" s="28">
        <v>50526</v>
      </c>
      <c r="I177" s="32">
        <v>6.2422312244897959</v>
      </c>
      <c r="J177" s="32">
        <v>6.1538000000000004</v>
      </c>
      <c r="K177" s="32">
        <v>5.8434332910887452</v>
      </c>
      <c r="L177" s="32">
        <v>6.0156814216478205</v>
      </c>
      <c r="M177" s="54">
        <f t="shared" si="9"/>
        <v>2038</v>
      </c>
      <c r="N177" s="3"/>
      <c r="O177" s="3"/>
    </row>
    <row r="178" spans="8:15">
      <c r="H178" s="28">
        <v>50557</v>
      </c>
      <c r="I178" s="32">
        <v>6.2804965306122451</v>
      </c>
      <c r="J178" s="32">
        <v>6.1932</v>
      </c>
      <c r="K178" s="32">
        <v>5.8433819045308599</v>
      </c>
      <c r="L178" s="32">
        <v>6.0787872374798075</v>
      </c>
      <c r="M178" s="54">
        <f t="shared" si="9"/>
        <v>2038</v>
      </c>
      <c r="N178" s="3"/>
      <c r="O178" s="3"/>
    </row>
    <row r="179" spans="8:15">
      <c r="H179" s="28">
        <v>50587</v>
      </c>
      <c r="I179" s="32">
        <v>6.3641700000000005</v>
      </c>
      <c r="J179" s="32">
        <v>6.2832999999999997</v>
      </c>
      <c r="K179" s="32">
        <v>5.9320237168846308</v>
      </c>
      <c r="L179" s="32">
        <v>5.8485772213247182</v>
      </c>
      <c r="M179" s="54">
        <f t="shared" si="9"/>
        <v>2038</v>
      </c>
      <c r="N179" s="3"/>
      <c r="O179" s="3"/>
    </row>
    <row r="180" spans="8:15">
      <c r="H180" s="28">
        <v>50618</v>
      </c>
      <c r="I180" s="32">
        <v>6.5116189795918373</v>
      </c>
      <c r="J180" s="32">
        <v>6.4320000000000004</v>
      </c>
      <c r="K180" s="32">
        <v>6.2824800416688173</v>
      </c>
      <c r="L180" s="32">
        <v>6.0146717285945082</v>
      </c>
      <c r="M180" s="54">
        <f t="shared" si="9"/>
        <v>2038</v>
      </c>
      <c r="N180" s="3"/>
      <c r="O180" s="3"/>
    </row>
    <row r="181" spans="8:15">
      <c r="H181" s="28">
        <v>50649</v>
      </c>
      <c r="I181" s="32">
        <v>6.7772312244897961</v>
      </c>
      <c r="J181" s="32">
        <v>6.6913999999999998</v>
      </c>
      <c r="K181" s="32">
        <v>6.3564252984671237</v>
      </c>
      <c r="L181" s="32">
        <v>6.2749705977382888</v>
      </c>
      <c r="M181" s="54">
        <f t="shared" si="9"/>
        <v>2038</v>
      </c>
      <c r="N181" s="3"/>
      <c r="O181" s="3"/>
    </row>
    <row r="182" spans="8:15">
      <c r="H182" s="28">
        <v>50679</v>
      </c>
      <c r="I182" s="32">
        <v>6.882945510204082</v>
      </c>
      <c r="J182" s="32">
        <v>6.7907000000000002</v>
      </c>
      <c r="K182" s="32">
        <v>6.5376143015740213</v>
      </c>
      <c r="L182" s="32">
        <v>6.5638437802907923</v>
      </c>
      <c r="M182" s="54">
        <f t="shared" si="9"/>
        <v>2038</v>
      </c>
      <c r="N182" s="3"/>
      <c r="O182" s="3"/>
    </row>
    <row r="183" spans="8:15">
      <c r="H183" s="28">
        <v>50710</v>
      </c>
      <c r="I183" s="32">
        <v>7.2883536734693877</v>
      </c>
      <c r="J183" s="32">
        <v>7.2027000000000001</v>
      </c>
      <c r="K183" s="32">
        <v>7.1431021131476395</v>
      </c>
      <c r="L183" s="32">
        <v>6.4273332794830385</v>
      </c>
      <c r="M183" s="54">
        <f t="shared" si="9"/>
        <v>2038</v>
      </c>
      <c r="N183" s="3"/>
      <c r="O183" s="3"/>
    </row>
    <row r="184" spans="8:15">
      <c r="H184" s="28">
        <v>50740</v>
      </c>
      <c r="I184" s="32">
        <v>7.581414897959184</v>
      </c>
      <c r="J184" s="32">
        <v>7.5096999999999996</v>
      </c>
      <c r="K184" s="32">
        <v>7.4195104080177492</v>
      </c>
      <c r="L184" s="32">
        <v>6.2629552504038788</v>
      </c>
      <c r="M184" s="54">
        <f t="shared" si="9"/>
        <v>2038</v>
      </c>
      <c r="N184" s="3"/>
      <c r="O184" s="3"/>
    </row>
    <row r="185" spans="8:15">
      <c r="H185" s="28">
        <v>50771</v>
      </c>
      <c r="I185" s="32">
        <v>8.0935577551020419</v>
      </c>
      <c r="J185" s="32">
        <v>8.0166000000000004</v>
      </c>
      <c r="K185" s="32">
        <v>7.8631819488075836</v>
      </c>
      <c r="L185" s="32">
        <v>7.0423373182552513</v>
      </c>
      <c r="M185" s="54">
        <f t="shared" si="9"/>
        <v>2039</v>
      </c>
      <c r="N185" s="3"/>
      <c r="O185" s="3"/>
    </row>
    <row r="186" spans="8:15">
      <c r="H186" s="28">
        <v>50802</v>
      </c>
      <c r="I186" s="32">
        <v>7.9013128571428579</v>
      </c>
      <c r="J186" s="32">
        <v>7.8189000000000002</v>
      </c>
      <c r="K186" s="32">
        <v>7.6726405921653882</v>
      </c>
      <c r="L186" s="32">
        <v>7.2004552504038788</v>
      </c>
      <c r="M186" s="54">
        <f t="shared" si="9"/>
        <v>2039</v>
      </c>
      <c r="N186" s="3"/>
      <c r="O186" s="3"/>
    </row>
    <row r="187" spans="8:15">
      <c r="H187" s="28">
        <v>50830</v>
      </c>
      <c r="I187" s="32">
        <v>6.8909046938775509</v>
      </c>
      <c r="J187" s="32">
        <v>6.8032000000000004</v>
      </c>
      <c r="K187" s="32">
        <v>6.690643470959257</v>
      </c>
      <c r="L187" s="32">
        <v>6.5818163166397428</v>
      </c>
      <c r="M187" s="54">
        <f t="shared" si="9"/>
        <v>2039</v>
      </c>
      <c r="N187" s="3"/>
      <c r="O187" s="3"/>
    </row>
    <row r="188" spans="8:15">
      <c r="H188" s="28">
        <v>50861</v>
      </c>
      <c r="I188" s="32">
        <v>6.5302924489795924</v>
      </c>
      <c r="J188" s="32">
        <v>6.4366000000000003</v>
      </c>
      <c r="K188" s="32">
        <v>6.2140331465643408</v>
      </c>
      <c r="L188" s="32">
        <v>6.3941143780290801</v>
      </c>
      <c r="M188" s="54">
        <f t="shared" si="9"/>
        <v>2039</v>
      </c>
      <c r="N188" s="3"/>
      <c r="O188" s="3"/>
    </row>
    <row r="189" spans="8:15">
      <c r="H189" s="28">
        <v>50891</v>
      </c>
      <c r="I189" s="32">
        <v>6.5385577551020413</v>
      </c>
      <c r="J189" s="32">
        <v>6.4443000000000001</v>
      </c>
      <c r="K189" s="32">
        <v>6.1138293586861625</v>
      </c>
      <c r="L189" s="32">
        <v>6.3088962843295651</v>
      </c>
      <c r="M189" s="54">
        <f t="shared" si="9"/>
        <v>2039</v>
      </c>
      <c r="N189" s="3"/>
      <c r="O189" s="3"/>
    </row>
    <row r="190" spans="8:15">
      <c r="H190" s="28">
        <v>50922</v>
      </c>
      <c r="I190" s="32">
        <v>6.5990679591836736</v>
      </c>
      <c r="J190" s="32">
        <v>6.5053999999999998</v>
      </c>
      <c r="K190" s="32">
        <v>6.1193277203799914</v>
      </c>
      <c r="L190" s="32">
        <v>6.3940134087237492</v>
      </c>
      <c r="M190" s="54">
        <f t="shared" si="9"/>
        <v>2039</v>
      </c>
      <c r="N190" s="3"/>
      <c r="O190" s="3"/>
    </row>
    <row r="191" spans="8:15">
      <c r="H191" s="28">
        <v>50952</v>
      </c>
      <c r="I191" s="32">
        <v>6.6659046938775512</v>
      </c>
      <c r="J191" s="32">
        <v>6.5789999999999997</v>
      </c>
      <c r="K191" s="32">
        <v>6.198206086735377</v>
      </c>
      <c r="L191" s="32">
        <v>6.1471434571890162</v>
      </c>
      <c r="M191" s="54">
        <f t="shared" si="9"/>
        <v>2039</v>
      </c>
      <c r="N191" s="3"/>
      <c r="O191" s="3"/>
    </row>
    <row r="192" spans="8:15">
      <c r="H192" s="28">
        <v>50983</v>
      </c>
      <c r="I192" s="32">
        <v>6.7986597959183674</v>
      </c>
      <c r="J192" s="32">
        <v>6.7131999999999996</v>
      </c>
      <c r="K192" s="32">
        <v>6.539104511752722</v>
      </c>
      <c r="L192" s="32">
        <v>6.2986983844911153</v>
      </c>
      <c r="M192" s="54">
        <f t="shared" si="9"/>
        <v>2039</v>
      </c>
      <c r="N192" s="3"/>
      <c r="O192" s="3"/>
    </row>
    <row r="193" spans="8:15">
      <c r="H193" s="28">
        <v>51014</v>
      </c>
      <c r="I193" s="32">
        <v>7.0770271428571432</v>
      </c>
      <c r="J193" s="32">
        <v>6.9851999999999999</v>
      </c>
      <c r="K193" s="32">
        <v>6.6185995168027425</v>
      </c>
      <c r="L193" s="32">
        <v>6.5716184168012939</v>
      </c>
      <c r="M193" s="54">
        <f t="shared" si="9"/>
        <v>2039</v>
      </c>
      <c r="N193" s="3"/>
      <c r="O193" s="3"/>
    </row>
    <row r="194" spans="8:15">
      <c r="H194" s="28">
        <v>51044</v>
      </c>
      <c r="I194" s="32">
        <v>7.1607006122448986</v>
      </c>
      <c r="J194" s="32">
        <v>7.0628000000000002</v>
      </c>
      <c r="K194" s="32">
        <v>6.7994288140044361</v>
      </c>
      <c r="L194" s="32">
        <v>6.8386822294022629</v>
      </c>
      <c r="M194" s="54">
        <f t="shared" si="9"/>
        <v>2039</v>
      </c>
      <c r="N194" s="3"/>
      <c r="O194" s="3"/>
    </row>
    <row r="195" spans="8:15">
      <c r="H195" s="28">
        <v>51075</v>
      </c>
      <c r="I195" s="32">
        <v>7.6160067346938778</v>
      </c>
      <c r="J195" s="32">
        <v>7.5237999999999996</v>
      </c>
      <c r="K195" s="32">
        <v>7.4245462906906008</v>
      </c>
      <c r="L195" s="32">
        <v>6.7515457189014549</v>
      </c>
      <c r="M195" s="54">
        <f t="shared" si="9"/>
        <v>2039</v>
      </c>
      <c r="N195" s="3"/>
      <c r="O195" s="3"/>
    </row>
    <row r="196" spans="8:15">
      <c r="H196" s="28">
        <v>51105</v>
      </c>
      <c r="I196" s="32">
        <v>7.9147822448979595</v>
      </c>
      <c r="J196" s="32">
        <v>7.8362999999999996</v>
      </c>
      <c r="K196" s="32">
        <v>7.6854358450790636</v>
      </c>
      <c r="L196" s="32">
        <v>6.5928219709208413</v>
      </c>
      <c r="M196" s="54">
        <f t="shared" si="9"/>
        <v>2039</v>
      </c>
      <c r="N196" s="3"/>
      <c r="O196" s="3"/>
    </row>
    <row r="197" spans="8:15">
      <c r="H197" s="28">
        <v>51136</v>
      </c>
      <c r="I197" s="32">
        <v>8.3771291836734711</v>
      </c>
      <c r="J197" s="32">
        <v>8.2944999999999993</v>
      </c>
      <c r="K197" s="32">
        <v>8.0939589802747083</v>
      </c>
      <c r="L197" s="32">
        <v>7.3229310177705988</v>
      </c>
      <c r="M197" s="54">
        <f t="shared" si="9"/>
        <v>2040</v>
      </c>
      <c r="N197" s="3"/>
      <c r="O197" s="3"/>
    </row>
    <row r="198" spans="8:15">
      <c r="H198" s="28">
        <v>51167</v>
      </c>
      <c r="I198" s="32">
        <v>7.8607006122448979</v>
      </c>
      <c r="J198" s="32">
        <v>7.7790999999999997</v>
      </c>
      <c r="K198" s="32">
        <v>7.5376994911561113</v>
      </c>
      <c r="L198" s="32">
        <v>7.1602694668820686</v>
      </c>
      <c r="M198" s="54">
        <f t="shared" si="9"/>
        <v>2040</v>
      </c>
      <c r="N198" s="3"/>
      <c r="O198" s="3"/>
    </row>
    <row r="199" spans="8:15">
      <c r="H199" s="28">
        <v>51196</v>
      </c>
      <c r="I199" s="32">
        <v>7.26386387755102</v>
      </c>
      <c r="J199" s="32">
        <v>7.1685999999999996</v>
      </c>
      <c r="K199" s="32">
        <v>6.9779457161012504</v>
      </c>
      <c r="L199" s="32">
        <v>6.9508591276252032</v>
      </c>
      <c r="M199" s="54">
        <f t="shared" si="9"/>
        <v>2040</v>
      </c>
      <c r="N199" s="3"/>
      <c r="O199" s="3"/>
    </row>
    <row r="200" spans="8:15">
      <c r="H200" s="28">
        <v>51227</v>
      </c>
      <c r="I200" s="32">
        <v>6.8394761224489802</v>
      </c>
      <c r="J200" s="32">
        <v>6.7394999999999996</v>
      </c>
      <c r="K200" s="32">
        <v>6.4794961046046797</v>
      </c>
      <c r="L200" s="32">
        <v>6.7000513731825535</v>
      </c>
      <c r="M200" s="54">
        <f t="shared" si="9"/>
        <v>2040</v>
      </c>
      <c r="N200" s="3"/>
      <c r="O200" s="3"/>
    </row>
    <row r="201" spans="8:15">
      <c r="H201" s="28">
        <v>51257</v>
      </c>
      <c r="I201" s="32">
        <v>6.8482516326530618</v>
      </c>
      <c r="J201" s="32">
        <v>6.7477999999999998</v>
      </c>
      <c r="K201" s="32">
        <v>6.4041634107434451</v>
      </c>
      <c r="L201" s="32">
        <v>6.6153381260096937</v>
      </c>
      <c r="M201" s="54">
        <f t="shared" si="9"/>
        <v>2040</v>
      </c>
      <c r="N201" s="3"/>
      <c r="O201" s="3"/>
    </row>
    <row r="202" spans="8:15">
      <c r="H202" s="28">
        <v>51288</v>
      </c>
      <c r="I202" s="32">
        <v>6.922639387755102</v>
      </c>
      <c r="J202" s="32">
        <v>6.8224999999999998</v>
      </c>
      <c r="K202" s="32">
        <v>6.4265165634239612</v>
      </c>
      <c r="L202" s="32">
        <v>6.7141870759289182</v>
      </c>
      <c r="M202" s="54">
        <f t="shared" si="9"/>
        <v>2040</v>
      </c>
      <c r="N202" s="3"/>
      <c r="O202" s="3"/>
    </row>
    <row r="203" spans="8:15">
      <c r="H203" s="28">
        <v>51318</v>
      </c>
      <c r="I203" s="32">
        <v>6.9839659183673479</v>
      </c>
      <c r="J203" s="32">
        <v>6.8906999999999998</v>
      </c>
      <c r="K203" s="32">
        <v>6.4796502642783382</v>
      </c>
      <c r="L203" s="32">
        <v>6.4618647819063009</v>
      </c>
      <c r="M203" s="54">
        <f t="shared" si="9"/>
        <v>2040</v>
      </c>
      <c r="N203" s="3"/>
      <c r="O203" s="3"/>
    </row>
    <row r="204" spans="8:15">
      <c r="H204" s="28">
        <v>51349</v>
      </c>
      <c r="I204" s="32">
        <v>7.0847822448979594</v>
      </c>
      <c r="J204" s="32">
        <v>6.9936999999999996</v>
      </c>
      <c r="K204" s="32">
        <v>6.7910014185110921</v>
      </c>
      <c r="L204" s="32">
        <v>6.5818163166397428</v>
      </c>
      <c r="M204" s="54">
        <f t="shared" si="9"/>
        <v>2040</v>
      </c>
      <c r="N204" s="3"/>
      <c r="O204" s="3"/>
    </row>
    <row r="205" spans="8:15">
      <c r="H205" s="28">
        <v>51380</v>
      </c>
      <c r="I205" s="32">
        <v>7.3617210204081633</v>
      </c>
      <c r="J205" s="32">
        <v>7.2641999999999998</v>
      </c>
      <c r="K205" s="32">
        <v>6.8641758769411041</v>
      </c>
      <c r="L205" s="32">
        <v>6.8533227786752837</v>
      </c>
      <c r="M205" s="54">
        <f t="shared" si="9"/>
        <v>2040</v>
      </c>
      <c r="N205" s="3"/>
      <c r="O205" s="3"/>
    </row>
    <row r="206" spans="8:15">
      <c r="H206" s="28">
        <v>51410</v>
      </c>
      <c r="I206" s="32">
        <v>7.4479455102040824</v>
      </c>
      <c r="J206" s="32">
        <v>7.3442999999999996</v>
      </c>
      <c r="K206" s="32">
        <v>7.0394554258910844</v>
      </c>
      <c r="L206" s="32">
        <v>7.1229108239095327</v>
      </c>
      <c r="M206" s="54">
        <f t="shared" si="9"/>
        <v>2040</v>
      </c>
      <c r="N206" s="3"/>
      <c r="O206" s="3"/>
    </row>
    <row r="207" spans="8:15">
      <c r="H207" s="28">
        <v>51441</v>
      </c>
      <c r="I207" s="32">
        <v>7.9163128571428576</v>
      </c>
      <c r="J207" s="32">
        <v>7.8182</v>
      </c>
      <c r="K207" s="32">
        <v>7.6712017685445737</v>
      </c>
      <c r="L207" s="32">
        <v>7.0486983844911162</v>
      </c>
      <c r="M207" s="54">
        <f t="shared" si="9"/>
        <v>2040</v>
      </c>
      <c r="N207" s="3"/>
      <c r="O207" s="3"/>
    </row>
    <row r="208" spans="8:15">
      <c r="H208" s="28">
        <v>51471</v>
      </c>
      <c r="I208" s="32">
        <v>8.1790679591836746</v>
      </c>
      <c r="J208" s="32">
        <v>8.0952999999999999</v>
      </c>
      <c r="K208" s="32">
        <v>7.904753674137555</v>
      </c>
      <c r="L208" s="32">
        <v>6.8543324717285952</v>
      </c>
      <c r="M208" s="54">
        <f t="shared" si="9"/>
        <v>2040</v>
      </c>
      <c r="N208" s="3"/>
      <c r="O208" s="3"/>
    </row>
    <row r="209" spans="8:15">
      <c r="H209" s="28">
        <v>51502</v>
      </c>
      <c r="I209" s="32">
        <v>8.8844761224489801</v>
      </c>
      <c r="J209" s="32">
        <v>8.7917000000000005</v>
      </c>
      <c r="K209" s="32">
        <v>8.5707748509011701</v>
      </c>
      <c r="L209" s="32">
        <v>7.8249504038772226</v>
      </c>
      <c r="M209" s="54">
        <f t="shared" si="9"/>
        <v>2041</v>
      </c>
      <c r="N209" s="3"/>
      <c r="O209" s="3"/>
    </row>
    <row r="210" spans="8:15">
      <c r="H210" s="28">
        <v>51533</v>
      </c>
      <c r="I210" s="32">
        <v>8.6344761224489801</v>
      </c>
      <c r="J210" s="32">
        <v>8.5373999999999999</v>
      </c>
      <c r="K210" s="32">
        <v>8.283883698222267</v>
      </c>
      <c r="L210" s="32">
        <v>7.9259197092084017</v>
      </c>
      <c r="M210" s="54">
        <f t="shared" si="9"/>
        <v>2041</v>
      </c>
      <c r="N210" s="3"/>
      <c r="O210" s="3"/>
    </row>
    <row r="211" spans="8:15">
      <c r="H211" s="28">
        <v>51561</v>
      </c>
      <c r="I211" s="32">
        <v>7.5773332653061232</v>
      </c>
      <c r="J211" s="32">
        <v>7.4757999999999996</v>
      </c>
      <c r="K211" s="32">
        <v>7.2001925789592578</v>
      </c>
      <c r="L211" s="32">
        <v>7.2610368336025859</v>
      </c>
      <c r="M211" s="54">
        <f t="shared" si="9"/>
        <v>2041</v>
      </c>
      <c r="N211" s="3"/>
      <c r="O211" s="3"/>
    </row>
    <row r="212" spans="8:15">
      <c r="H212" s="28">
        <v>51592</v>
      </c>
      <c r="I212" s="32">
        <v>7.1179455102040814</v>
      </c>
      <c r="J212" s="32">
        <v>7.0125000000000002</v>
      </c>
      <c r="K212" s="32">
        <v>6.7123799849451391</v>
      </c>
      <c r="L212" s="32">
        <v>6.9755966074313429</v>
      </c>
      <c r="M212" s="54">
        <f t="shared" si="9"/>
        <v>2041</v>
      </c>
      <c r="N212" s="3"/>
      <c r="O212" s="3"/>
    </row>
    <row r="213" spans="8:15">
      <c r="H213" s="28">
        <v>51622</v>
      </c>
      <c r="I213" s="32">
        <v>7.1550883673469396</v>
      </c>
      <c r="J213" s="32">
        <v>7.0484999999999998</v>
      </c>
      <c r="K213" s="32">
        <v>6.6549811997862038</v>
      </c>
      <c r="L213" s="32">
        <v>6.9189528271405498</v>
      </c>
      <c r="M213" s="54">
        <f t="shared" si="9"/>
        <v>2041</v>
      </c>
      <c r="N213" s="3"/>
      <c r="O213" s="3"/>
    </row>
    <row r="214" spans="8:15">
      <c r="H214" s="28">
        <v>51653</v>
      </c>
      <c r="I214" s="32">
        <v>7.2044761224489804</v>
      </c>
      <c r="J214" s="32">
        <v>7.0987</v>
      </c>
      <c r="K214" s="32">
        <v>6.6756385960564737</v>
      </c>
      <c r="L214" s="32">
        <v>6.9930642972536363</v>
      </c>
      <c r="M214" s="54">
        <f t="shared" si="9"/>
        <v>2041</v>
      </c>
      <c r="N214" s="3"/>
      <c r="O214" s="3"/>
    </row>
    <row r="215" spans="8:15">
      <c r="H215" s="28">
        <v>51683</v>
      </c>
      <c r="I215" s="32">
        <v>7.2777414285714288</v>
      </c>
      <c r="J215" s="32">
        <v>7.1786000000000003</v>
      </c>
      <c r="K215" s="32">
        <v>6.7182380525441703</v>
      </c>
      <c r="L215" s="32">
        <v>6.7525554119547673</v>
      </c>
      <c r="M215" s="54">
        <f t="shared" si="9"/>
        <v>2041</v>
      </c>
      <c r="N215" s="3"/>
      <c r="O215" s="3"/>
    </row>
    <row r="216" spans="8:15">
      <c r="H216" s="28">
        <v>51714</v>
      </c>
      <c r="I216" s="32">
        <v>7.3723332653061222</v>
      </c>
      <c r="J216" s="32">
        <v>7.2755000000000001</v>
      </c>
      <c r="K216" s="32">
        <v>7.0479855945002017</v>
      </c>
      <c r="L216" s="32">
        <v>6.8663478190630061</v>
      </c>
      <c r="M216" s="54">
        <f t="shared" si="9"/>
        <v>2041</v>
      </c>
      <c r="N216" s="3"/>
      <c r="O216" s="3"/>
    </row>
    <row r="217" spans="8:15">
      <c r="H217" s="28">
        <v>51745</v>
      </c>
      <c r="I217" s="32">
        <v>7.6754965306122456</v>
      </c>
      <c r="J217" s="32">
        <v>7.5716999999999999</v>
      </c>
      <c r="K217" s="32">
        <v>7.1349830370016143</v>
      </c>
      <c r="L217" s="32">
        <v>7.1638033925686608</v>
      </c>
      <c r="M217" s="54">
        <f t="shared" si="9"/>
        <v>2041</v>
      </c>
      <c r="N217" s="3"/>
      <c r="O217" s="3"/>
    </row>
    <row r="218" spans="8:15">
      <c r="H218" s="28">
        <v>51775</v>
      </c>
      <c r="I218" s="32">
        <v>7.7714148979591844</v>
      </c>
      <c r="J218" s="32">
        <v>7.6614000000000004</v>
      </c>
      <c r="K218" s="32">
        <v>7.3152984686244444</v>
      </c>
      <c r="L218" s="32">
        <v>7.4429835218093707</v>
      </c>
      <c r="M218" s="54">
        <f t="shared" si="9"/>
        <v>2041</v>
      </c>
      <c r="N218" s="3"/>
      <c r="O218" s="3"/>
    </row>
    <row r="219" spans="8:15">
      <c r="H219" s="28">
        <v>51806</v>
      </c>
      <c r="I219" s="32">
        <v>8.2492720408163258</v>
      </c>
      <c r="J219" s="32">
        <v>8.1445000000000007</v>
      </c>
      <c r="K219" s="32">
        <v>7.9377438443005239</v>
      </c>
      <c r="L219" s="32">
        <v>7.3781612277867543</v>
      </c>
      <c r="M219" s="54">
        <f t="shared" si="9"/>
        <v>2041</v>
      </c>
      <c r="N219" s="3"/>
      <c r="O219" s="3"/>
    </row>
    <row r="220" spans="8:15">
      <c r="H220" s="28">
        <v>51836</v>
      </c>
      <c r="I220" s="32">
        <v>8.5419251020408176</v>
      </c>
      <c r="J220" s="32">
        <v>8.4509000000000007</v>
      </c>
      <c r="K220" s="32">
        <v>8.210760626350142</v>
      </c>
      <c r="L220" s="32">
        <v>7.2133793214862694</v>
      </c>
      <c r="M220" s="54">
        <f t="shared" si="9"/>
        <v>2041</v>
      </c>
      <c r="N220" s="3"/>
      <c r="O220" s="3"/>
    </row>
    <row r="221" spans="8:15">
      <c r="H221" s="28">
        <v>51867</v>
      </c>
      <c r="I221" s="32">
        <v>8.9886597959183678</v>
      </c>
      <c r="J221" s="32">
        <v>8.8938000000000006</v>
      </c>
      <c r="K221" s="32">
        <v>8.6251932157027031</v>
      </c>
      <c r="L221" s="32">
        <v>7.9280400646203573</v>
      </c>
      <c r="M221" s="54">
        <f t="shared" si="9"/>
        <v>2042</v>
      </c>
      <c r="N221" s="3"/>
      <c r="O221" s="3"/>
    </row>
    <row r="222" spans="8:15">
      <c r="H222" s="28">
        <v>51898</v>
      </c>
      <c r="I222" s="32">
        <v>8.935088367346939</v>
      </c>
      <c r="J222" s="32">
        <v>8.8320000000000007</v>
      </c>
      <c r="K222" s="32">
        <v>8.5470856477156101</v>
      </c>
      <c r="L222" s="32">
        <v>8.2233752827140556</v>
      </c>
      <c r="M222" s="54">
        <f t="shared" si="9"/>
        <v>2042</v>
      </c>
      <c r="N222" s="3"/>
      <c r="O222" s="3"/>
    </row>
    <row r="223" spans="8:15">
      <c r="H223" s="28">
        <v>51926</v>
      </c>
      <c r="I223" s="32">
        <v>7.975088367346939</v>
      </c>
      <c r="J223" s="32">
        <v>7.8657000000000004</v>
      </c>
      <c r="K223" s="32">
        <v>7.5437117184288018</v>
      </c>
      <c r="L223" s="32">
        <v>7.6546151857835234</v>
      </c>
      <c r="M223" s="54">
        <f t="shared" si="9"/>
        <v>2042</v>
      </c>
      <c r="N223" s="3"/>
      <c r="O223" s="3"/>
    </row>
    <row r="224" spans="8:15">
      <c r="H224" s="28">
        <v>51957</v>
      </c>
      <c r="I224" s="32">
        <v>7.4802924489795926</v>
      </c>
      <c r="J224" s="32">
        <v>7.3674999999999997</v>
      </c>
      <c r="K224" s="32">
        <v>7.0432580311746671</v>
      </c>
      <c r="L224" s="32">
        <v>7.3341386106623601</v>
      </c>
      <c r="M224" s="54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7.5247822448979589</v>
      </c>
      <c r="J225" s="32">
        <v>7.4108000000000001</v>
      </c>
      <c r="K225" s="32">
        <v>6.9933102969092378</v>
      </c>
      <c r="L225" s="32">
        <v>7.2847646203554133</v>
      </c>
      <c r="M225" s="54">
        <f t="shared" si="10"/>
        <v>2042</v>
      </c>
      <c r="N225" s="3"/>
      <c r="O225" s="3"/>
    </row>
    <row r="226" spans="8:15">
      <c r="H226" s="28">
        <v>52018</v>
      </c>
      <c r="I226" s="32">
        <v>7.5711087755102051</v>
      </c>
      <c r="J226" s="32">
        <v>7.4580000000000002</v>
      </c>
      <c r="K226" s="32">
        <v>6.9867328174997967</v>
      </c>
      <c r="L226" s="32">
        <v>7.3558470113085637</v>
      </c>
      <c r="M226" s="54">
        <f t="shared" si="10"/>
        <v>2042</v>
      </c>
      <c r="N226" s="3"/>
      <c r="O226" s="3"/>
    </row>
    <row r="227" spans="8:15">
      <c r="H227" s="28">
        <v>52048</v>
      </c>
      <c r="I227" s="32">
        <v>7.6391700000000009</v>
      </c>
      <c r="J227" s="32">
        <v>7.5327999999999999</v>
      </c>
      <c r="K227" s="32">
        <v>7.0486022331948357</v>
      </c>
      <c r="L227" s="32">
        <v>7.1101886914378039</v>
      </c>
      <c r="M227" s="54">
        <f t="shared" si="10"/>
        <v>2042</v>
      </c>
      <c r="N227" s="3"/>
      <c r="O227" s="3"/>
    </row>
    <row r="228" spans="8:15">
      <c r="H228" s="28">
        <v>52079</v>
      </c>
      <c r="I228" s="32">
        <v>7.7462108163265313</v>
      </c>
      <c r="J228" s="32">
        <v>7.6418999999999997</v>
      </c>
      <c r="K228" s="32">
        <v>7.384156456192013</v>
      </c>
      <c r="L228" s="32">
        <v>7.2362993537964471</v>
      </c>
      <c r="M228" s="54">
        <f t="shared" si="10"/>
        <v>2042</v>
      </c>
      <c r="N228" s="3"/>
      <c r="O228" s="3"/>
    </row>
    <row r="229" spans="8:15">
      <c r="H229" s="28">
        <v>52110</v>
      </c>
      <c r="I229" s="32">
        <v>8.0501904081632656</v>
      </c>
      <c r="J229" s="32">
        <v>7.9389000000000003</v>
      </c>
      <c r="K229" s="32">
        <v>7.4623154107369913</v>
      </c>
      <c r="L229" s="32">
        <v>7.5345626817447506</v>
      </c>
      <c r="M229" s="54">
        <f t="shared" si="10"/>
        <v>2042</v>
      </c>
      <c r="N229" s="3"/>
      <c r="O229" s="3"/>
    </row>
    <row r="230" spans="8:15">
      <c r="H230" s="28">
        <v>52140</v>
      </c>
      <c r="I230" s="32">
        <v>8.1509046938775516</v>
      </c>
      <c r="J230" s="32">
        <v>8.0332000000000008</v>
      </c>
      <c r="K230" s="32">
        <v>7.6472042460116985</v>
      </c>
      <c r="L230" s="32">
        <v>7.8184883683360269</v>
      </c>
      <c r="M230" s="54">
        <f t="shared" si="10"/>
        <v>2042</v>
      </c>
      <c r="N230" s="3"/>
      <c r="O230" s="3"/>
    </row>
    <row r="231" spans="8:15">
      <c r="H231" s="28">
        <v>52171</v>
      </c>
      <c r="I231" s="32">
        <v>8.6505985714285707</v>
      </c>
      <c r="J231" s="32">
        <v>8.5376999999999992</v>
      </c>
      <c r="K231" s="32">
        <v>8.3140476077014931</v>
      </c>
      <c r="L231" s="32">
        <v>7.7752735056542823</v>
      </c>
      <c r="M231" s="54">
        <f t="shared" si="10"/>
        <v>2042</v>
      </c>
      <c r="N231" s="3"/>
      <c r="O231" s="3"/>
    </row>
    <row r="232" spans="8:15">
      <c r="H232" s="28">
        <v>52201</v>
      </c>
      <c r="I232" s="32">
        <v>8.9195781632653066</v>
      </c>
      <c r="J232" s="32">
        <v>8.8209999999999997</v>
      </c>
      <c r="K232" s="32">
        <v>8.5217520746776909</v>
      </c>
      <c r="L232" s="32">
        <v>7.5870667205169644</v>
      </c>
      <c r="M232" s="54">
        <f t="shared" si="10"/>
        <v>2042</v>
      </c>
      <c r="N232" s="3"/>
      <c r="O232" s="3"/>
    </row>
    <row r="233" spans="8:15">
      <c r="H233" s="28">
        <v>52232</v>
      </c>
      <c r="I233" s="32">
        <v>9.5644761224489798</v>
      </c>
      <c r="J233" s="32">
        <v>9.4581999999999997</v>
      </c>
      <c r="K233" s="32">
        <v>9.1536525770048414</v>
      </c>
      <c r="L233" s="32">
        <v>8.4978098546042009</v>
      </c>
      <c r="M233" s="54">
        <f t="shared" si="10"/>
        <v>2043</v>
      </c>
      <c r="N233" s="3"/>
      <c r="O233" s="3"/>
    </row>
    <row r="234" spans="8:15">
      <c r="H234" s="28">
        <v>52263</v>
      </c>
      <c r="I234" s="32">
        <v>9.3451904081632655</v>
      </c>
      <c r="J234" s="32">
        <v>9.2338000000000005</v>
      </c>
      <c r="K234" s="32">
        <v>8.9415288660504224</v>
      </c>
      <c r="L234" s="32">
        <v>8.629170920840064</v>
      </c>
      <c r="M234" s="54">
        <f t="shared" si="10"/>
        <v>2043</v>
      </c>
      <c r="N234" s="3"/>
      <c r="O234" s="3"/>
    </row>
    <row r="235" spans="8:15">
      <c r="H235" s="28">
        <v>52291</v>
      </c>
      <c r="I235" s="32">
        <v>8.3277414285714286</v>
      </c>
      <c r="J235" s="32">
        <v>8.2111999999999998</v>
      </c>
      <c r="K235" s="32">
        <v>7.8745383781004428</v>
      </c>
      <c r="L235" s="32">
        <v>8.0035651050080787</v>
      </c>
      <c r="M235" s="54">
        <f t="shared" si="10"/>
        <v>2043</v>
      </c>
      <c r="N235" s="3"/>
      <c r="O235" s="3"/>
    </row>
    <row r="236" spans="8:15">
      <c r="H236" s="28">
        <v>52322</v>
      </c>
      <c r="I236" s="32">
        <v>7.8227414285714296</v>
      </c>
      <c r="J236" s="32">
        <v>7.7031000000000001</v>
      </c>
      <c r="K236" s="32">
        <v>7.3817926745292457</v>
      </c>
      <c r="L236" s="32">
        <v>7.6729915993537983</v>
      </c>
      <c r="M236" s="54">
        <f t="shared" si="10"/>
        <v>2043</v>
      </c>
      <c r="N236" s="3"/>
      <c r="O236" s="3"/>
    </row>
    <row r="237" spans="8:15">
      <c r="H237" s="28">
        <v>52352</v>
      </c>
      <c r="I237" s="32">
        <v>7.8692720408163268</v>
      </c>
      <c r="J237" s="32">
        <v>7.7484000000000002</v>
      </c>
      <c r="K237" s="32">
        <v>7.342070865283179</v>
      </c>
      <c r="L237" s="32">
        <v>7.6256369951534744</v>
      </c>
      <c r="M237" s="54">
        <f t="shared" si="10"/>
        <v>2043</v>
      </c>
      <c r="N237" s="3"/>
      <c r="O237" s="3"/>
    </row>
    <row r="238" spans="8:15">
      <c r="H238" s="28">
        <v>52383</v>
      </c>
      <c r="I238" s="32">
        <v>7.917639387755103</v>
      </c>
      <c r="J238" s="32">
        <v>7.7976000000000001</v>
      </c>
      <c r="K238" s="32">
        <v>7.3445374200617186</v>
      </c>
      <c r="L238" s="32">
        <v>7.6987387722132485</v>
      </c>
      <c r="M238" s="54">
        <f t="shared" si="10"/>
        <v>2043</v>
      </c>
      <c r="N238" s="3"/>
      <c r="O238" s="3"/>
    </row>
    <row r="239" spans="8:15">
      <c r="H239" s="28">
        <v>52413</v>
      </c>
      <c r="I239" s="32">
        <v>7.9932516326530614</v>
      </c>
      <c r="J239" s="32">
        <v>7.8798000000000004</v>
      </c>
      <c r="K239" s="32">
        <v>7.3891923388648646</v>
      </c>
      <c r="L239" s="32">
        <v>7.4605521809369968</v>
      </c>
      <c r="M239" s="54">
        <f t="shared" si="10"/>
        <v>2043</v>
      </c>
      <c r="N239" s="3"/>
      <c r="O239" s="3"/>
    </row>
    <row r="240" spans="8:15">
      <c r="H240" s="28">
        <v>52444</v>
      </c>
      <c r="I240" s="32">
        <v>8.1199863265306131</v>
      </c>
      <c r="J240" s="32">
        <v>8.0082000000000004</v>
      </c>
      <c r="K240" s="32">
        <v>7.7496176558789829</v>
      </c>
      <c r="L240" s="32">
        <v>7.6061499192245572</v>
      </c>
      <c r="M240" s="54">
        <f t="shared" si="10"/>
        <v>2043</v>
      </c>
      <c r="N240" s="3"/>
      <c r="O240" s="3"/>
    </row>
    <row r="241" spans="8:15">
      <c r="H241" s="28">
        <v>52475</v>
      </c>
      <c r="I241" s="32">
        <v>8.4289659183673464</v>
      </c>
      <c r="J241" s="32">
        <v>8.3102</v>
      </c>
      <c r="K241" s="32">
        <v>7.8278793835397344</v>
      </c>
      <c r="L241" s="32">
        <v>7.909360743134088</v>
      </c>
      <c r="M241" s="54">
        <f t="shared" si="10"/>
        <v>2043</v>
      </c>
      <c r="N241" s="3"/>
      <c r="O241" s="3"/>
    </row>
    <row r="242" spans="8:15">
      <c r="H242" s="28">
        <v>52505</v>
      </c>
      <c r="I242" s="32">
        <v>8.5567210204081654</v>
      </c>
      <c r="J242" s="32">
        <v>8.4308999999999994</v>
      </c>
      <c r="K242" s="32">
        <v>8.0097877984570403</v>
      </c>
      <c r="L242" s="32">
        <v>8.2200432956381277</v>
      </c>
      <c r="M242" s="54">
        <f t="shared" si="10"/>
        <v>2043</v>
      </c>
      <c r="N242" s="3"/>
      <c r="O242" s="3"/>
    </row>
    <row r="243" spans="8:15">
      <c r="H243" s="28">
        <v>52536</v>
      </c>
      <c r="I243" s="32">
        <v>9.0447822448979593</v>
      </c>
      <c r="J243" s="32">
        <v>8.9239999999999995</v>
      </c>
      <c r="K243" s="32">
        <v>8.7026327584372751</v>
      </c>
      <c r="L243" s="32">
        <v>8.1653179321486284</v>
      </c>
      <c r="M243" s="54">
        <f t="shared" si="10"/>
        <v>2043</v>
      </c>
      <c r="N243" s="3"/>
      <c r="O243" s="3"/>
    </row>
    <row r="244" spans="8:15">
      <c r="H244" s="28">
        <v>52566</v>
      </c>
      <c r="I244" s="32">
        <v>9.3401904081632665</v>
      </c>
      <c r="J244" s="32">
        <v>9.2332000000000001</v>
      </c>
      <c r="K244" s="32">
        <v>8.8907589468588135</v>
      </c>
      <c r="L244" s="32">
        <v>8.0032621970920843</v>
      </c>
      <c r="M244" s="54">
        <f t="shared" si="10"/>
        <v>2043</v>
      </c>
      <c r="N244" s="3"/>
      <c r="O244" s="3"/>
    </row>
    <row r="245" spans="8:15">
      <c r="H245" s="28">
        <v>52597</v>
      </c>
      <c r="I245" s="32">
        <v>9.7127414285714284</v>
      </c>
      <c r="J245" s="32">
        <v>9.6034000000000006</v>
      </c>
      <c r="K245" s="32">
        <v>9.2547813229249698</v>
      </c>
      <c r="L245" s="32">
        <v>8.6445182552504036</v>
      </c>
      <c r="M245" s="54">
        <f t="shared" si="10"/>
        <v>2044</v>
      </c>
      <c r="N245" s="3"/>
      <c r="O245" s="3"/>
    </row>
    <row r="246" spans="8:15">
      <c r="H246" s="28">
        <v>52628</v>
      </c>
      <c r="I246" s="32">
        <v>9.2071291836734694</v>
      </c>
      <c r="J246" s="32">
        <v>9.0985999999999994</v>
      </c>
      <c r="K246" s="32">
        <v>8.7479043159350542</v>
      </c>
      <c r="L246" s="32">
        <v>8.4925594507269793</v>
      </c>
      <c r="M246" s="54">
        <f t="shared" si="10"/>
        <v>2044</v>
      </c>
      <c r="N246" s="3"/>
      <c r="O246" s="3"/>
    </row>
    <row r="247" spans="8:15">
      <c r="H247" s="28">
        <v>52657</v>
      </c>
      <c r="I247" s="32">
        <v>8.6830475510204082</v>
      </c>
      <c r="J247" s="32">
        <v>8.5594000000000001</v>
      </c>
      <c r="K247" s="32">
        <v>8.2184686100330779</v>
      </c>
      <c r="L247" s="32">
        <v>8.355140226171244</v>
      </c>
      <c r="M247" s="54">
        <f t="shared" si="10"/>
        <v>2044</v>
      </c>
      <c r="N247" s="3"/>
      <c r="O247" s="3"/>
    </row>
    <row r="248" spans="8:15">
      <c r="H248" s="28">
        <v>52688</v>
      </c>
      <c r="I248" s="32">
        <v>8.1791700000000009</v>
      </c>
      <c r="J248" s="32">
        <v>8.0525000000000002</v>
      </c>
      <c r="K248" s="32">
        <v>7.7246437887462687</v>
      </c>
      <c r="L248" s="32">
        <v>8.0256773828756067</v>
      </c>
      <c r="M248" s="54">
        <f t="shared" si="10"/>
        <v>2044</v>
      </c>
      <c r="N248" s="3"/>
      <c r="O248" s="3"/>
    </row>
    <row r="249" spans="8:15">
      <c r="H249" s="28">
        <v>52718</v>
      </c>
      <c r="I249" s="32">
        <v>8.2278434693877553</v>
      </c>
      <c r="J249" s="32">
        <v>8.0998000000000001</v>
      </c>
      <c r="K249" s="32">
        <v>7.6736683233231133</v>
      </c>
      <c r="L249" s="32">
        <v>7.9804431340872393</v>
      </c>
      <c r="M249" s="54">
        <f t="shared" si="10"/>
        <v>2044</v>
      </c>
      <c r="N249" s="3"/>
      <c r="O249" s="3"/>
    </row>
    <row r="250" spans="8:15">
      <c r="H250" s="28">
        <v>52749</v>
      </c>
      <c r="I250" s="32">
        <v>8.2783536734693897</v>
      </c>
      <c r="J250" s="32">
        <v>8.1510999999999996</v>
      </c>
      <c r="K250" s="32">
        <v>7.6586634484203309</v>
      </c>
      <c r="L250" s="32">
        <v>8.0556652665589663</v>
      </c>
      <c r="M250" s="54">
        <f t="shared" si="10"/>
        <v>2044</v>
      </c>
      <c r="N250" s="3"/>
      <c r="O250" s="3"/>
    </row>
    <row r="251" spans="8:15">
      <c r="H251" s="28">
        <v>52779</v>
      </c>
      <c r="I251" s="32">
        <v>8.34886387755102</v>
      </c>
      <c r="J251" s="32">
        <v>8.2281999999999993</v>
      </c>
      <c r="K251" s="32">
        <v>7.7052710564231539</v>
      </c>
      <c r="L251" s="32">
        <v>7.8124302100161565</v>
      </c>
      <c r="M251" s="54">
        <f t="shared" si="10"/>
        <v>2044</v>
      </c>
      <c r="N251" s="3"/>
      <c r="O251" s="3"/>
    </row>
    <row r="252" spans="8:15">
      <c r="H252" s="28">
        <v>52810</v>
      </c>
      <c r="I252" s="32">
        <v>8.4501904081632659</v>
      </c>
      <c r="J252" s="32">
        <v>8.3316999999999997</v>
      </c>
      <c r="K252" s="32">
        <v>8.0692934324893084</v>
      </c>
      <c r="L252" s="32">
        <v>7.9328865912762527</v>
      </c>
      <c r="M252" s="54">
        <f t="shared" si="10"/>
        <v>2044</v>
      </c>
      <c r="N252" s="3"/>
      <c r="O252" s="3"/>
    </row>
    <row r="253" spans="8:15">
      <c r="H253" s="28">
        <v>52841</v>
      </c>
      <c r="I253" s="32">
        <v>8.7772312244897961</v>
      </c>
      <c r="J253" s="32">
        <v>8.6514000000000006</v>
      </c>
      <c r="K253" s="32">
        <v>8.1483773450762396</v>
      </c>
      <c r="L253" s="32">
        <v>8.2539689822294022</v>
      </c>
      <c r="M253" s="54">
        <f t="shared" si="10"/>
        <v>2044</v>
      </c>
      <c r="N253" s="3"/>
      <c r="O253" s="3"/>
    </row>
    <row r="254" spans="8:15">
      <c r="H254" s="28">
        <v>52871</v>
      </c>
      <c r="I254" s="32">
        <v>8.9112108163265304</v>
      </c>
      <c r="J254" s="32">
        <v>8.7782999999999998</v>
      </c>
      <c r="K254" s="32">
        <v>8.3307482390145218</v>
      </c>
      <c r="L254" s="32">
        <v>8.5708106623586442</v>
      </c>
      <c r="M254" s="54">
        <f t="shared" si="10"/>
        <v>2044</v>
      </c>
      <c r="N254" s="3"/>
      <c r="O254" s="3"/>
    </row>
    <row r="255" spans="8:15">
      <c r="H255" s="28">
        <v>52902</v>
      </c>
      <c r="I255" s="32">
        <v>9.4253944897959183</v>
      </c>
      <c r="J255" s="32">
        <v>9.2970000000000006</v>
      </c>
      <c r="K255" s="32">
        <v>9.0411674017918493</v>
      </c>
      <c r="L255" s="32">
        <v>8.541933441033926</v>
      </c>
      <c r="M255" s="54">
        <f t="shared" si="10"/>
        <v>2044</v>
      </c>
      <c r="N255" s="3"/>
      <c r="O255" s="3"/>
    </row>
    <row r="256" spans="8:15">
      <c r="H256" s="28">
        <v>52932</v>
      </c>
      <c r="I256" s="32">
        <v>9.7079455102040821</v>
      </c>
      <c r="J256" s="32">
        <v>9.5937000000000001</v>
      </c>
      <c r="K256" s="32">
        <v>9.234740565349334</v>
      </c>
      <c r="L256" s="32">
        <v>8.3671555735056558</v>
      </c>
      <c r="M256" s="54">
        <f t="shared" si="10"/>
        <v>2044</v>
      </c>
      <c r="N256" s="3"/>
      <c r="O256" s="3"/>
    </row>
    <row r="257" spans="8:15">
      <c r="H257" s="28">
        <v>52963</v>
      </c>
      <c r="I257" s="32">
        <v>10.13855775510204</v>
      </c>
      <c r="J257" s="32">
        <v>10.0207</v>
      </c>
      <c r="K257" s="32">
        <v>9.6348363050516337</v>
      </c>
      <c r="L257" s="32">
        <v>9.0658631663974152</v>
      </c>
      <c r="M257" s="54">
        <f t="shared" si="10"/>
        <v>2045</v>
      </c>
      <c r="N257" s="3"/>
      <c r="O257" s="3"/>
    </row>
    <row r="258" spans="8:15">
      <c r="H258" s="28">
        <v>52994</v>
      </c>
      <c r="I258" s="32">
        <v>10.099986326530614</v>
      </c>
      <c r="J258" s="32">
        <v>9.9734999999999996</v>
      </c>
      <c r="K258" s="32">
        <v>9.6233771026430013</v>
      </c>
      <c r="L258" s="32">
        <v>9.3760408723747997</v>
      </c>
      <c r="M258" s="54">
        <f t="shared" si="10"/>
        <v>2045</v>
      </c>
      <c r="N258" s="3"/>
      <c r="O258" s="3"/>
    </row>
    <row r="259" spans="8:15">
      <c r="H259" s="28">
        <v>53022</v>
      </c>
      <c r="I259" s="32">
        <v>9.0979455102040809</v>
      </c>
      <c r="J259" s="32">
        <v>8.9659999999999993</v>
      </c>
      <c r="K259" s="32">
        <v>8.6140937191992748</v>
      </c>
      <c r="L259" s="32">
        <v>8.7656814216478196</v>
      </c>
      <c r="M259" s="54">
        <f t="shared" si="10"/>
        <v>2045</v>
      </c>
      <c r="N259" s="3"/>
      <c r="O259" s="3"/>
    </row>
    <row r="260" spans="8:15">
      <c r="H260" s="28">
        <v>53053</v>
      </c>
      <c r="I260" s="32">
        <v>8.5975373469387755</v>
      </c>
      <c r="J260" s="32">
        <v>8.4624000000000006</v>
      </c>
      <c r="K260" s="32">
        <v>8.1102485191246476</v>
      </c>
      <c r="L260" s="32">
        <v>8.4396515347334411</v>
      </c>
      <c r="M260" s="54">
        <f t="shared" si="10"/>
        <v>2045</v>
      </c>
      <c r="N260" s="3"/>
      <c r="O260" s="3"/>
    </row>
    <row r="261" spans="8:15">
      <c r="H261" s="28">
        <v>53083</v>
      </c>
      <c r="I261" s="32">
        <v>8.6474353061224498</v>
      </c>
      <c r="J261" s="32">
        <v>8.5109999999999992</v>
      </c>
      <c r="K261" s="32">
        <v>8.0578856166385648</v>
      </c>
      <c r="L261" s="32">
        <v>8.3956289176090468</v>
      </c>
      <c r="M261" s="54">
        <f t="shared" si="10"/>
        <v>2045</v>
      </c>
      <c r="N261" s="3"/>
      <c r="O261" s="3"/>
    </row>
    <row r="262" spans="8:15">
      <c r="H262" s="28">
        <v>53114</v>
      </c>
      <c r="I262" s="32">
        <v>8.700496530612245</v>
      </c>
      <c r="J262" s="32">
        <v>8.5648</v>
      </c>
      <c r="K262" s="32">
        <v>8.0437029266619611</v>
      </c>
      <c r="L262" s="32">
        <v>8.4733752827140556</v>
      </c>
      <c r="M262" s="54">
        <f t="shared" si="10"/>
        <v>2045</v>
      </c>
      <c r="N262" s="3"/>
      <c r="O262" s="3"/>
    </row>
    <row r="263" spans="8:15">
      <c r="H263" s="28">
        <v>53144</v>
      </c>
      <c r="I263" s="32">
        <v>8.7527414285714293</v>
      </c>
      <c r="J263" s="32">
        <v>8.6240000000000006</v>
      </c>
      <c r="K263" s="32">
        <v>8.0904133077805565</v>
      </c>
      <c r="L263" s="32">
        <v>8.2120667205169617</v>
      </c>
      <c r="M263" s="54">
        <f t="shared" si="10"/>
        <v>2045</v>
      </c>
      <c r="N263" s="3"/>
      <c r="O263" s="3"/>
    </row>
    <row r="264" spans="8:15">
      <c r="H264" s="28">
        <v>53175</v>
      </c>
      <c r="I264" s="32">
        <v>8.8427414285714292</v>
      </c>
      <c r="J264" s="32">
        <v>8.7164999999999999</v>
      </c>
      <c r="K264" s="32">
        <v>8.4469846329532068</v>
      </c>
      <c r="L264" s="32">
        <v>8.3213155088852986</v>
      </c>
      <c r="M264" s="54">
        <f t="shared" si="10"/>
        <v>2045</v>
      </c>
      <c r="N264" s="3"/>
      <c r="O264" s="3"/>
    </row>
    <row r="265" spans="8:15">
      <c r="H265" s="28">
        <v>53206</v>
      </c>
      <c r="I265" s="32">
        <v>9.1439659183673481</v>
      </c>
      <c r="J265" s="32">
        <v>9.0108999999999995</v>
      </c>
      <c r="K265" s="32">
        <v>8.51604816675232</v>
      </c>
      <c r="L265" s="32">
        <v>8.6168526655896613</v>
      </c>
      <c r="M265" s="54">
        <f t="shared" si="10"/>
        <v>2045</v>
      </c>
      <c r="N265" s="3"/>
      <c r="O265" s="3"/>
    </row>
    <row r="266" spans="8:15">
      <c r="H266" s="28">
        <v>53236</v>
      </c>
      <c r="I266" s="32">
        <v>9.2964148979591847</v>
      </c>
      <c r="J266" s="32">
        <v>9.1559000000000008</v>
      </c>
      <c r="K266" s="32">
        <v>8.6998578843114167</v>
      </c>
      <c r="L266" s="32">
        <v>8.9519697899838455</v>
      </c>
      <c r="M266" s="54">
        <f t="shared" si="10"/>
        <v>2045</v>
      </c>
      <c r="N266" s="3"/>
      <c r="O266" s="3"/>
    </row>
    <row r="267" spans="8:15">
      <c r="H267" s="28">
        <v>53267</v>
      </c>
      <c r="I267" s="32">
        <v>9.8366189795918366</v>
      </c>
      <c r="J267" s="32">
        <v>9.6999999999999993</v>
      </c>
      <c r="K267" s="32">
        <v>9.4093520890467932</v>
      </c>
      <c r="L267" s="32">
        <v>8.9488397415185794</v>
      </c>
      <c r="M267" s="54">
        <f t="shared" si="10"/>
        <v>2045</v>
      </c>
      <c r="N267" s="3"/>
      <c r="O267" s="3"/>
    </row>
    <row r="268" spans="8:15">
      <c r="H268" s="28">
        <v>53297</v>
      </c>
      <c r="I268" s="32">
        <v>10.121823061224491</v>
      </c>
      <c r="J268" s="32">
        <v>9.9992000000000001</v>
      </c>
      <c r="K268" s="32">
        <v>9.5950631092476808</v>
      </c>
      <c r="L268" s="32">
        <v>8.7766870759289173</v>
      </c>
      <c r="M268" s="54">
        <f t="shared" si="10"/>
        <v>2045</v>
      </c>
      <c r="N268" s="3"/>
      <c r="O268" s="3"/>
    </row>
    <row r="269" spans="8:15">
      <c r="H269" s="28">
        <v>53328</v>
      </c>
      <c r="I269" s="32">
        <v>10.672027142857143</v>
      </c>
      <c r="J269" s="32">
        <v>10.5435</v>
      </c>
      <c r="K269" s="32">
        <v>10.152607262313433</v>
      </c>
      <c r="L269" s="32">
        <v>9.593730694668821</v>
      </c>
      <c r="M269" s="54">
        <f t="shared" si="10"/>
        <v>2046</v>
      </c>
      <c r="N269" s="3"/>
      <c r="O269" s="3"/>
    </row>
    <row r="270" spans="8:15">
      <c r="H270" s="28">
        <v>53359</v>
      </c>
      <c r="I270" s="32">
        <v>10.504476122448981</v>
      </c>
      <c r="J270" s="32">
        <v>10.369899999999999</v>
      </c>
      <c r="K270" s="32">
        <v>9.9839565793307798</v>
      </c>
      <c r="L270" s="32">
        <v>9.7762831987075938</v>
      </c>
      <c r="M270" s="54">
        <f t="shared" si="10"/>
        <v>2046</v>
      </c>
      <c r="N270" s="3"/>
      <c r="O270" s="3"/>
    </row>
    <row r="271" spans="8:15">
      <c r="H271" s="28">
        <v>53387</v>
      </c>
      <c r="I271" s="32">
        <v>9.4590679591836739</v>
      </c>
      <c r="J271" s="32">
        <v>9.3199000000000005</v>
      </c>
      <c r="K271" s="32">
        <v>8.9375207145352977</v>
      </c>
      <c r="L271" s="32">
        <v>9.1230117932148627</v>
      </c>
      <c r="M271" s="54">
        <f t="shared" si="10"/>
        <v>2046</v>
      </c>
      <c r="N271" s="3"/>
      <c r="O271" s="3"/>
    </row>
    <row r="272" spans="8:15">
      <c r="H272" s="28">
        <v>53418</v>
      </c>
      <c r="I272" s="32">
        <v>8.9372312244897962</v>
      </c>
      <c r="J272" s="32">
        <v>8.7954000000000008</v>
      </c>
      <c r="K272" s="32">
        <v>8.4097807650435659</v>
      </c>
      <c r="L272" s="32">
        <v>8.7757783521809376</v>
      </c>
      <c r="M272" s="54">
        <f t="shared" si="10"/>
        <v>2046</v>
      </c>
      <c r="N272" s="3"/>
      <c r="O272" s="3"/>
    </row>
    <row r="273" spans="8:15">
      <c r="H273" s="28">
        <v>53448</v>
      </c>
      <c r="I273" s="32">
        <v>8.9891700000000014</v>
      </c>
      <c r="J273" s="32">
        <v>8.8459000000000003</v>
      </c>
      <c r="K273" s="32">
        <v>8.3690312246397749</v>
      </c>
      <c r="L273" s="32">
        <v>8.7337751211631662</v>
      </c>
      <c r="M273" s="54">
        <f t="shared" si="10"/>
        <v>2046</v>
      </c>
      <c r="N273" s="3"/>
      <c r="O273" s="3"/>
    </row>
    <row r="274" spans="8:15">
      <c r="H274" s="28">
        <v>53479</v>
      </c>
      <c r="I274" s="32">
        <v>9.0443740816326539</v>
      </c>
      <c r="J274" s="32">
        <v>8.9017999999999997</v>
      </c>
      <c r="K274" s="32">
        <v>8.2072149538559902</v>
      </c>
      <c r="L274" s="32">
        <v>8.8136418416801288</v>
      </c>
      <c r="M274" s="54">
        <f t="shared" si="10"/>
        <v>2046</v>
      </c>
      <c r="N274" s="3"/>
      <c r="O274" s="3"/>
    </row>
    <row r="275" spans="8:15">
      <c r="H275" s="28">
        <v>53509</v>
      </c>
      <c r="I275" s="32">
        <v>9.0985577551020409</v>
      </c>
      <c r="J275" s="32">
        <v>8.9628999999999994</v>
      </c>
      <c r="K275" s="32">
        <v>8.3533583244844678</v>
      </c>
      <c r="L275" s="32">
        <v>8.5542516962843305</v>
      </c>
      <c r="M275" s="54">
        <f t="shared" si="10"/>
        <v>2046</v>
      </c>
      <c r="N275" s="3"/>
      <c r="O275" s="3"/>
    </row>
    <row r="276" spans="8:15">
      <c r="H276" s="28">
        <v>53540</v>
      </c>
      <c r="I276" s="32">
        <v>9.1830475510204082</v>
      </c>
      <c r="J276" s="32">
        <v>9.0500000000000007</v>
      </c>
      <c r="K276" s="32">
        <v>8.7612134344275905</v>
      </c>
      <c r="L276" s="32">
        <v>8.6580481421647821</v>
      </c>
      <c r="M276" s="54">
        <f t="shared" si="10"/>
        <v>2046</v>
      </c>
      <c r="N276" s="3"/>
      <c r="O276" s="3"/>
    </row>
    <row r="277" spans="8:15">
      <c r="H277" s="28">
        <v>53571</v>
      </c>
      <c r="I277" s="32">
        <v>9.5033536734693893</v>
      </c>
      <c r="J277" s="32">
        <v>9.3630999999999993</v>
      </c>
      <c r="K277" s="32">
        <v>8.8324865902158134</v>
      </c>
      <c r="L277" s="32">
        <v>8.9724665589660759</v>
      </c>
      <c r="M277" s="54">
        <f t="shared" si="10"/>
        <v>2046</v>
      </c>
      <c r="N277" s="3"/>
      <c r="O277" s="3"/>
    </row>
    <row r="278" spans="8:15">
      <c r="H278" s="28">
        <v>53601</v>
      </c>
      <c r="I278" s="32">
        <v>9.6467210204081635</v>
      </c>
      <c r="J278" s="32">
        <v>9.4992000000000001</v>
      </c>
      <c r="K278" s="32">
        <v>9.0170157195853164</v>
      </c>
      <c r="L278" s="32">
        <v>9.2985974151857835</v>
      </c>
      <c r="M278" s="54">
        <f t="shared" si="10"/>
        <v>2046</v>
      </c>
      <c r="N278" s="3"/>
      <c r="O278" s="3"/>
    </row>
    <row r="279" spans="8:15">
      <c r="H279" s="28">
        <v>53632</v>
      </c>
      <c r="I279" s="32">
        <v>10.221721020408163</v>
      </c>
      <c r="J279" s="32">
        <v>10.077400000000001</v>
      </c>
      <c r="K279" s="32">
        <v>9.7369927821294873</v>
      </c>
      <c r="L279" s="32">
        <v>9.3298978998384499</v>
      </c>
      <c r="M279" s="54">
        <f t="shared" si="10"/>
        <v>2046</v>
      </c>
      <c r="N279" s="3"/>
      <c r="O279" s="3"/>
    </row>
    <row r="280" spans="8:15">
      <c r="H280" s="28">
        <v>53662</v>
      </c>
      <c r="I280" s="32">
        <v>10.508557755102041</v>
      </c>
      <c r="J280" s="32">
        <v>10.3782</v>
      </c>
      <c r="K280" s="32">
        <v>9.9589827121980647</v>
      </c>
      <c r="L280" s="32">
        <v>9.1593607431340871</v>
      </c>
      <c r="M280" s="54">
        <f t="shared" si="10"/>
        <v>2046</v>
      </c>
      <c r="N280" s="3"/>
      <c r="O280" s="3"/>
    </row>
    <row r="281" spans="8:15">
      <c r="H281" s="28">
        <v>53693</v>
      </c>
      <c r="I281" s="32">
        <v>10.957639387755103</v>
      </c>
      <c r="J281" s="32">
        <v>10.823399999999999</v>
      </c>
      <c r="K281" s="32">
        <v>10.349160846228319</v>
      </c>
      <c r="L281" s="32">
        <v>9.8763437802907923</v>
      </c>
      <c r="M281" s="54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10.903965918367348</v>
      </c>
      <c r="J282" s="32">
        <v>10.7614</v>
      </c>
      <c r="K282" s="32">
        <v>10.358513199763614</v>
      </c>
      <c r="L282" s="32">
        <v>10.171578029079161</v>
      </c>
      <c r="M282" s="54">
        <f t="shared" si="11"/>
        <v>2047</v>
      </c>
      <c r="N282" s="3"/>
      <c r="O282" s="3"/>
    </row>
    <row r="283" spans="8:15">
      <c r="H283" s="28">
        <v>53752</v>
      </c>
      <c r="I283" s="32">
        <v>9.813353673469388</v>
      </c>
      <c r="J283" s="32">
        <v>9.6671999999999993</v>
      </c>
      <c r="K283" s="32">
        <v>9.2803204421944336</v>
      </c>
      <c r="L283" s="32">
        <v>9.4735772213247191</v>
      </c>
      <c r="M283" s="54">
        <f t="shared" si="11"/>
        <v>2047</v>
      </c>
      <c r="N283" s="3"/>
      <c r="O283" s="3"/>
    </row>
    <row r="284" spans="8:15">
      <c r="H284" s="28">
        <v>53783</v>
      </c>
      <c r="I284" s="32">
        <v>9.2865169387755113</v>
      </c>
      <c r="J284" s="32">
        <v>9.1376000000000008</v>
      </c>
      <c r="K284" s="32">
        <v>8.7424059542412245</v>
      </c>
      <c r="L284" s="32">
        <v>9.1213962843295651</v>
      </c>
      <c r="M284" s="54">
        <f t="shared" si="11"/>
        <v>2047</v>
      </c>
      <c r="N284" s="3"/>
      <c r="O284" s="3"/>
    </row>
    <row r="285" spans="8:15">
      <c r="H285" s="28">
        <v>53813</v>
      </c>
      <c r="I285" s="32">
        <v>9.333455714285714</v>
      </c>
      <c r="J285" s="32">
        <v>9.1832999999999991</v>
      </c>
      <c r="K285" s="32">
        <v>8.7114712463937067</v>
      </c>
      <c r="L285" s="32">
        <v>9.0744455573505665</v>
      </c>
      <c r="M285" s="54">
        <f t="shared" si="11"/>
        <v>2047</v>
      </c>
      <c r="N285" s="3"/>
      <c r="O285" s="3"/>
    </row>
    <row r="286" spans="8:15">
      <c r="H286" s="28">
        <v>53844</v>
      </c>
      <c r="I286" s="32">
        <v>9.390700612244899</v>
      </c>
      <c r="J286" s="32">
        <v>9.2411999999999992</v>
      </c>
      <c r="K286" s="32">
        <v>8.2091162564977811</v>
      </c>
      <c r="L286" s="32">
        <v>9.1563316639741519</v>
      </c>
      <c r="M286" s="54">
        <f t="shared" si="11"/>
        <v>2047</v>
      </c>
      <c r="N286" s="3"/>
      <c r="O286" s="3"/>
    </row>
    <row r="287" spans="8:15">
      <c r="H287" s="28">
        <v>53874</v>
      </c>
      <c r="I287" s="32">
        <v>9.4469251020408169</v>
      </c>
      <c r="J287" s="32">
        <v>9.3043999999999993</v>
      </c>
      <c r="K287" s="32">
        <v>8.2568029822162163</v>
      </c>
      <c r="L287" s="32">
        <v>8.8989609046849765</v>
      </c>
      <c r="M287" s="54">
        <f t="shared" si="11"/>
        <v>2047</v>
      </c>
      <c r="N287" s="3"/>
      <c r="O287" s="3"/>
    </row>
    <row r="288" spans="8:15">
      <c r="H288" s="28">
        <v>53905</v>
      </c>
      <c r="I288" s="32">
        <v>9.5384557142857158</v>
      </c>
      <c r="J288" s="32">
        <v>9.3981999999999992</v>
      </c>
      <c r="K288" s="32">
        <v>9.0863361861738596</v>
      </c>
      <c r="L288" s="32">
        <v>9.00972423263328</v>
      </c>
      <c r="M288" s="54">
        <f t="shared" si="11"/>
        <v>2047</v>
      </c>
      <c r="N288" s="3"/>
      <c r="O288" s="3"/>
    </row>
    <row r="289" spans="8:15">
      <c r="H289" s="28">
        <v>53936</v>
      </c>
      <c r="I289" s="32">
        <v>9.8705985714285713</v>
      </c>
      <c r="J289" s="32">
        <v>9.7228999999999992</v>
      </c>
      <c r="K289" s="32">
        <v>9.1856664025679695</v>
      </c>
      <c r="L289" s="32">
        <v>9.3358550888529894</v>
      </c>
      <c r="M289" s="54">
        <f t="shared" si="11"/>
        <v>2047</v>
      </c>
      <c r="N289" s="3"/>
      <c r="O289" s="3"/>
    </row>
    <row r="290" spans="8:15">
      <c r="H290" s="28">
        <v>53966</v>
      </c>
      <c r="I290" s="32">
        <v>10.010598571428572</v>
      </c>
      <c r="J290" s="32">
        <v>9.8557000000000006</v>
      </c>
      <c r="K290" s="32">
        <v>9.3747175490314625</v>
      </c>
      <c r="L290" s="32">
        <v>9.6586539579967692</v>
      </c>
      <c r="M290" s="54">
        <f t="shared" si="11"/>
        <v>2047</v>
      </c>
      <c r="N290" s="3"/>
      <c r="O290" s="3"/>
    </row>
    <row r="291" spans="8:15">
      <c r="H291" s="28">
        <v>53997</v>
      </c>
      <c r="I291" s="32">
        <v>10.610598571428572</v>
      </c>
      <c r="J291" s="32">
        <v>10.458500000000001</v>
      </c>
      <c r="K291" s="32">
        <v>10.142586883525615</v>
      </c>
      <c r="L291" s="32">
        <v>9.7146919224555734</v>
      </c>
      <c r="M291" s="54">
        <f t="shared" si="11"/>
        <v>2047</v>
      </c>
      <c r="N291" s="3"/>
      <c r="O291" s="3"/>
    </row>
    <row r="292" spans="8:15">
      <c r="H292" s="28">
        <v>54027</v>
      </c>
      <c r="I292" s="32">
        <v>10.937333265306123</v>
      </c>
      <c r="J292" s="32">
        <v>10.798500000000001</v>
      </c>
      <c r="K292" s="32">
        <v>10.316633155086326</v>
      </c>
      <c r="L292" s="32">
        <v>9.5836337641357048</v>
      </c>
      <c r="M292" s="54">
        <f t="shared" si="11"/>
        <v>2047</v>
      </c>
      <c r="N292" s="3"/>
      <c r="O292" s="3"/>
    </row>
    <row r="293" spans="8:15">
      <c r="H293" s="28">
        <v>54058</v>
      </c>
      <c r="I293" s="32">
        <v>11.35947612244898</v>
      </c>
      <c r="J293" s="32">
        <v>11.2172</v>
      </c>
      <c r="K293" s="32">
        <v>10.746019232783784</v>
      </c>
      <c r="L293" s="32">
        <v>10.273960904684976</v>
      </c>
      <c r="M293" s="54">
        <f t="shared" si="11"/>
        <v>2048</v>
      </c>
      <c r="N293" s="3"/>
      <c r="O293" s="3"/>
    </row>
    <row r="294" spans="8:15">
      <c r="H294" s="28">
        <v>54089</v>
      </c>
      <c r="I294" s="32">
        <v>10.814272040816327</v>
      </c>
      <c r="J294" s="32">
        <v>10.6736</v>
      </c>
      <c r="K294" s="32">
        <v>10.237035376920533</v>
      </c>
      <c r="L294" s="32">
        <v>10.082826009693054</v>
      </c>
      <c r="M294" s="54">
        <f t="shared" si="11"/>
        <v>2048</v>
      </c>
      <c r="N294" s="3"/>
      <c r="O294" s="3"/>
    </row>
    <row r="295" spans="8:15">
      <c r="H295" s="28">
        <v>54118</v>
      </c>
      <c r="I295" s="32">
        <v>10.29508836734694</v>
      </c>
      <c r="J295" s="32">
        <v>10.139200000000001</v>
      </c>
      <c r="K295" s="32">
        <v>9.7413092529919325</v>
      </c>
      <c r="L295" s="32">
        <v>9.9502533117932153</v>
      </c>
      <c r="M295" s="54">
        <f t="shared" si="11"/>
        <v>2048</v>
      </c>
      <c r="N295" s="3"/>
      <c r="O295" s="3"/>
    </row>
    <row r="296" spans="8:15">
      <c r="H296" s="28">
        <v>54149</v>
      </c>
      <c r="I296" s="32">
        <v>9.771312857142858</v>
      </c>
      <c r="J296" s="32">
        <v>9.6128</v>
      </c>
      <c r="K296" s="32">
        <v>9.1926549744405008</v>
      </c>
      <c r="L296" s="32">
        <v>9.6011014539579964</v>
      </c>
      <c r="M296" s="54">
        <f t="shared" si="11"/>
        <v>2048</v>
      </c>
      <c r="N296" s="3"/>
      <c r="O296" s="3"/>
    </row>
    <row r="297" spans="8:15">
      <c r="H297" s="28">
        <v>54179</v>
      </c>
      <c r="I297" s="32">
        <v>9.8280475510204077</v>
      </c>
      <c r="J297" s="32">
        <v>9.6679999999999993</v>
      </c>
      <c r="K297" s="32">
        <v>9.172922536212182</v>
      </c>
      <c r="L297" s="32">
        <v>9.5638437802907923</v>
      </c>
      <c r="M297" s="54">
        <f t="shared" si="11"/>
        <v>2048</v>
      </c>
      <c r="N297" s="3"/>
      <c r="O297" s="3"/>
    </row>
    <row r="298" spans="8:15">
      <c r="H298" s="28">
        <v>54210</v>
      </c>
      <c r="I298" s="32">
        <v>9.8873332653061219</v>
      </c>
      <c r="J298" s="32">
        <v>9.7279</v>
      </c>
      <c r="K298" s="32">
        <v>8.6536099822137942</v>
      </c>
      <c r="L298" s="32">
        <v>9.6477492730210024</v>
      </c>
      <c r="M298" s="54">
        <f t="shared" si="11"/>
        <v>2048</v>
      </c>
      <c r="N298" s="3"/>
      <c r="O298" s="3"/>
    </row>
    <row r="299" spans="8:15">
      <c r="H299" s="28">
        <v>54240</v>
      </c>
      <c r="I299" s="32">
        <v>9.9460067346938779</v>
      </c>
      <c r="J299" s="32">
        <v>9.7934000000000001</v>
      </c>
      <c r="K299" s="32">
        <v>8.7052534728894706</v>
      </c>
      <c r="L299" s="32">
        <v>9.3928017770597751</v>
      </c>
      <c r="M299" s="54">
        <f t="shared" si="11"/>
        <v>2048</v>
      </c>
      <c r="N299" s="3"/>
      <c r="O299" s="3"/>
    </row>
    <row r="300" spans="8:15">
      <c r="H300" s="28">
        <v>54271</v>
      </c>
      <c r="I300" s="32">
        <v>10.09712918367347</v>
      </c>
      <c r="J300" s="32">
        <v>9.9458000000000002</v>
      </c>
      <c r="K300" s="32">
        <v>9.5935728990689793</v>
      </c>
      <c r="L300" s="32">
        <v>9.5625311793214873</v>
      </c>
      <c r="M300" s="54">
        <f t="shared" si="11"/>
        <v>2048</v>
      </c>
      <c r="N300" s="3"/>
      <c r="O300" s="3"/>
    </row>
    <row r="301" spans="8:15">
      <c r="H301" s="28">
        <v>54302</v>
      </c>
      <c r="I301" s="32">
        <v>10.41121081632653</v>
      </c>
      <c r="J301" s="32">
        <v>10.252700000000001</v>
      </c>
      <c r="K301" s="32">
        <v>9.7114022763021381</v>
      </c>
      <c r="L301" s="32">
        <v>9.870790468497578</v>
      </c>
      <c r="M301" s="54">
        <f t="shared" si="11"/>
        <v>2048</v>
      </c>
      <c r="N301" s="3"/>
      <c r="O301" s="3"/>
    </row>
    <row r="302" spans="8:15">
      <c r="H302" s="28">
        <v>54332</v>
      </c>
      <c r="I302" s="32">
        <v>10.569476122448979</v>
      </c>
      <c r="J302" s="32">
        <v>10.4034</v>
      </c>
      <c r="K302" s="32">
        <v>9.904924053301734</v>
      </c>
      <c r="L302" s="32">
        <v>10.21166284329564</v>
      </c>
      <c r="M302" s="54">
        <f t="shared" si="11"/>
        <v>2048</v>
      </c>
      <c r="N302" s="3"/>
      <c r="O302" s="3"/>
    </row>
    <row r="303" spans="8:15">
      <c r="H303" s="28">
        <v>54363</v>
      </c>
      <c r="I303" s="32">
        <v>11.214986326530612</v>
      </c>
      <c r="J303" s="32">
        <v>11.050800000000001</v>
      </c>
      <c r="K303" s="32">
        <v>10.71595809642033</v>
      </c>
      <c r="L303" s="32">
        <v>10.312733117932149</v>
      </c>
      <c r="M303" s="54">
        <f t="shared" si="11"/>
        <v>2048</v>
      </c>
      <c r="N303" s="3"/>
      <c r="O303" s="3"/>
    </row>
    <row r="304" spans="8:15">
      <c r="H304" s="28">
        <v>54393</v>
      </c>
      <c r="I304" s="32">
        <v>11.499272040816328</v>
      </c>
      <c r="J304" s="32">
        <v>11.3492</v>
      </c>
      <c r="K304" s="32">
        <v>10.872224618952401</v>
      </c>
      <c r="L304" s="32">
        <v>10.139671728594507</v>
      </c>
      <c r="M304" s="54">
        <f t="shared" si="11"/>
        <v>2048</v>
      </c>
      <c r="N304" s="3"/>
      <c r="O304" s="3"/>
    </row>
    <row r="305" spans="8:15">
      <c r="H305" s="28">
        <v>54424</v>
      </c>
      <c r="I305" s="32">
        <v>12.034272040816328</v>
      </c>
      <c r="J305" s="32">
        <v>11.878500000000001</v>
      </c>
      <c r="K305" s="32">
        <v>11.361887129050423</v>
      </c>
      <c r="L305" s="32">
        <v>10.941670920840066</v>
      </c>
      <c r="M305" s="54">
        <f t="shared" si="10"/>
        <v>2049</v>
      </c>
      <c r="N305" s="3"/>
      <c r="O305" s="3"/>
    </row>
    <row r="306" spans="8:15">
      <c r="H306" s="28">
        <v>54455</v>
      </c>
      <c r="I306" s="32">
        <v>11.858557755102041</v>
      </c>
      <c r="J306" s="32">
        <v>11.696899999999999</v>
      </c>
      <c r="K306" s="32">
        <v>11.176330268523197</v>
      </c>
      <c r="L306" s="32">
        <v>11.116145880452343</v>
      </c>
      <c r="M306" s="54">
        <f t="shared" si="10"/>
        <v>2049</v>
      </c>
      <c r="N306" s="3"/>
      <c r="O306" s="3"/>
    </row>
    <row r="307" spans="8:15">
      <c r="H307" s="28">
        <v>54483</v>
      </c>
      <c r="I307" s="32">
        <v>10.737639387755102</v>
      </c>
      <c r="J307" s="32">
        <v>10.572900000000001</v>
      </c>
      <c r="K307" s="32">
        <v>10.124550201707542</v>
      </c>
      <c r="L307" s="32">
        <v>10.388157189014541</v>
      </c>
      <c r="M307" s="54">
        <f t="shared" si="10"/>
        <v>2049</v>
      </c>
      <c r="N307" s="3"/>
      <c r="O307" s="3"/>
    </row>
    <row r="308" spans="8:15">
      <c r="H308" s="28">
        <v>54514</v>
      </c>
      <c r="I308" s="32">
        <v>10.14386387755102</v>
      </c>
      <c r="J308" s="32">
        <v>9.9778000000000002</v>
      </c>
      <c r="K308" s="32">
        <v>9.543008526108915</v>
      </c>
      <c r="L308" s="32">
        <v>9.9697403877221333</v>
      </c>
      <c r="M308" s="54">
        <f t="shared" si="10"/>
        <v>2049</v>
      </c>
      <c r="N308" s="3"/>
      <c r="O308" s="3"/>
    </row>
    <row r="309" spans="8:15">
      <c r="H309" s="28">
        <v>54544</v>
      </c>
      <c r="I309" s="32">
        <v>10.18774142857143</v>
      </c>
      <c r="J309" s="32">
        <v>10.0205</v>
      </c>
      <c r="K309" s="32">
        <v>9.5055991119677294</v>
      </c>
      <c r="L309" s="32">
        <v>9.9197605815831995</v>
      </c>
      <c r="M309" s="54">
        <f t="shared" si="10"/>
        <v>2049</v>
      </c>
      <c r="N309" s="3"/>
      <c r="O309" s="3"/>
    </row>
    <row r="310" spans="8:15">
      <c r="H310" s="28">
        <v>54575</v>
      </c>
      <c r="I310" s="32">
        <v>10.249272040816328</v>
      </c>
      <c r="J310" s="32">
        <v>10.0825</v>
      </c>
      <c r="K310" s="32">
        <v>8.9888044993057665</v>
      </c>
      <c r="L310" s="32">
        <v>10.005887399030694</v>
      </c>
      <c r="M310" s="54">
        <f t="shared" si="10"/>
        <v>2049</v>
      </c>
      <c r="N310" s="3"/>
      <c r="O310" s="3"/>
    </row>
    <row r="311" spans="8:15">
      <c r="H311" s="28">
        <v>54605</v>
      </c>
      <c r="I311" s="32">
        <v>10.309986326530613</v>
      </c>
      <c r="J311" s="32">
        <v>10.1501</v>
      </c>
      <c r="K311" s="32">
        <v>9.3223546465453815</v>
      </c>
      <c r="L311" s="32">
        <v>9.7529592891760917</v>
      </c>
      <c r="M311" s="54">
        <f t="shared" si="10"/>
        <v>2049</v>
      </c>
      <c r="N311" s="3"/>
      <c r="O311" s="3"/>
    </row>
    <row r="312" spans="8:15">
      <c r="H312" s="28">
        <v>54636</v>
      </c>
      <c r="I312" s="32">
        <v>10.459782244897958</v>
      </c>
      <c r="J312" s="32">
        <v>10.3012</v>
      </c>
      <c r="K312" s="32">
        <v>9.9303090128975402</v>
      </c>
      <c r="L312" s="32">
        <v>9.9213760904684989</v>
      </c>
      <c r="M312" s="54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10.768455714285714</v>
      </c>
      <c r="J313" s="32">
        <v>10.6028</v>
      </c>
      <c r="K313" s="32">
        <v>10.039145742500605</v>
      </c>
      <c r="L313" s="32">
        <v>10.224284006462035</v>
      </c>
      <c r="M313" s="54">
        <f t="shared" si="12"/>
        <v>2049</v>
      </c>
      <c r="N313" s="3"/>
      <c r="O313" s="3"/>
    </row>
    <row r="314" spans="8:15">
      <c r="H314" s="28">
        <v>54697</v>
      </c>
      <c r="I314" s="32">
        <v>10.925292448979592</v>
      </c>
      <c r="J314" s="32">
        <v>10.7521</v>
      </c>
      <c r="K314" s="32">
        <v>10.223726258427995</v>
      </c>
      <c r="L314" s="32">
        <v>10.563742810985461</v>
      </c>
      <c r="M314" s="54">
        <f t="shared" si="12"/>
        <v>2049</v>
      </c>
      <c r="N314" s="3"/>
      <c r="O314" s="3"/>
    </row>
    <row r="315" spans="8:15">
      <c r="H315" s="28">
        <v>54728</v>
      </c>
      <c r="I315" s="32">
        <v>11.579884285714288</v>
      </c>
      <c r="J315" s="32">
        <v>11.4085</v>
      </c>
      <c r="K315" s="32">
        <v>11.063536773962886</v>
      </c>
      <c r="L315" s="32">
        <v>10.673799353796447</v>
      </c>
      <c r="M315" s="54">
        <f t="shared" si="12"/>
        <v>2049</v>
      </c>
      <c r="N315" s="3"/>
      <c r="O315" s="3"/>
    </row>
    <row r="316" spans="8:15">
      <c r="H316" s="28">
        <v>54758</v>
      </c>
      <c r="I316" s="32">
        <v>11.906414897959184</v>
      </c>
      <c r="J316" s="32">
        <v>11.748200000000001</v>
      </c>
      <c r="K316" s="32">
        <v>11.246627079711578</v>
      </c>
      <c r="L316" s="32">
        <v>10.542539256865915</v>
      </c>
      <c r="M316" s="54">
        <f t="shared" si="12"/>
        <v>2049</v>
      </c>
      <c r="N316" s="3"/>
      <c r="O316" s="3"/>
    </row>
    <row r="317" spans="8:15">
      <c r="H317" s="28">
        <v>54789</v>
      </c>
      <c r="I317" s="32">
        <v>12.350394489795919</v>
      </c>
      <c r="J317" s="32">
        <v>12.1883</v>
      </c>
      <c r="K317" s="32">
        <v>11.664399795326744</v>
      </c>
      <c r="L317" s="32">
        <v>11.25447382875606</v>
      </c>
      <c r="M317" s="54">
        <f t="shared" si="12"/>
        <v>2050</v>
      </c>
      <c r="N317" s="3"/>
      <c r="O317" s="3"/>
    </row>
    <row r="318" spans="8:15">
      <c r="H318" s="28">
        <v>54820</v>
      </c>
      <c r="I318" s="32">
        <v>12.213863877551022</v>
      </c>
      <c r="J318" s="32">
        <v>12.045199999999999</v>
      </c>
      <c r="K318" s="32">
        <v>11.5547408807975</v>
      </c>
      <c r="L318" s="32">
        <v>11.46772100161551</v>
      </c>
      <c r="M318" s="54">
        <f t="shared" si="12"/>
        <v>2050</v>
      </c>
      <c r="N318" s="3"/>
      <c r="O318" s="3"/>
    </row>
    <row r="319" spans="8:15">
      <c r="H319" s="28">
        <v>54848</v>
      </c>
      <c r="I319" s="32">
        <v>11.238149591836734</v>
      </c>
      <c r="J319" s="32">
        <v>11.0634</v>
      </c>
      <c r="K319" s="32">
        <v>10.627007964719242</v>
      </c>
      <c r="L319" s="32">
        <v>10.883411631663975</v>
      </c>
      <c r="M319" s="54">
        <f t="shared" si="12"/>
        <v>2050</v>
      </c>
      <c r="N319" s="3"/>
      <c r="O319" s="3"/>
    </row>
    <row r="320" spans="8:15">
      <c r="H320" s="28">
        <v>54879</v>
      </c>
      <c r="I320" s="32">
        <v>10.68478224489796</v>
      </c>
      <c r="J320" s="32">
        <v>10.507999999999999</v>
      </c>
      <c r="K320" s="32">
        <v>10.041355364489714</v>
      </c>
      <c r="L320" s="32">
        <v>10.504978675282715</v>
      </c>
      <c r="M320" s="54">
        <f t="shared" si="12"/>
        <v>2050</v>
      </c>
      <c r="N320" s="3"/>
      <c r="O320" s="3"/>
    </row>
    <row r="321" spans="8:15">
      <c r="H321" s="28">
        <v>54909</v>
      </c>
      <c r="I321" s="32">
        <v>10.746823061224489</v>
      </c>
      <c r="J321" s="32">
        <v>10.5684</v>
      </c>
      <c r="K321" s="32">
        <v>9.9877077980564746</v>
      </c>
      <c r="L321" s="32">
        <v>10.47297140549273</v>
      </c>
      <c r="M321" s="54">
        <f t="shared" si="12"/>
        <v>2050</v>
      </c>
      <c r="N321" s="3"/>
      <c r="O321" s="3"/>
    </row>
    <row r="322" spans="8:15">
      <c r="H322" s="28">
        <v>54940</v>
      </c>
      <c r="I322" s="32">
        <v>10.811618979591838</v>
      </c>
      <c r="J322" s="32">
        <v>10.633699999999999</v>
      </c>
      <c r="K322" s="32">
        <v>9.4922386069173061</v>
      </c>
      <c r="L322" s="32">
        <v>10.562329240710824</v>
      </c>
      <c r="M322" s="54">
        <f t="shared" si="12"/>
        <v>2050</v>
      </c>
      <c r="N322" s="3"/>
      <c r="O322" s="3"/>
    </row>
    <row r="323" spans="8:15">
      <c r="H323" s="28">
        <v>54970</v>
      </c>
      <c r="I323" s="32">
        <v>10.875700612244898</v>
      </c>
      <c r="J323" s="32">
        <v>10.704499999999999</v>
      </c>
      <c r="K323" s="32">
        <v>9.8396631247862043</v>
      </c>
      <c r="L323" s="32">
        <v>10.312733117932149</v>
      </c>
      <c r="M323" s="54">
        <f t="shared" si="12"/>
        <v>2050</v>
      </c>
      <c r="N323" s="3"/>
      <c r="O323" s="3"/>
    </row>
    <row r="324" spans="8:15">
      <c r="H324" s="28">
        <v>55001</v>
      </c>
      <c r="I324" s="32">
        <v>11.027027142857143</v>
      </c>
      <c r="J324" s="32">
        <v>10.857100000000001</v>
      </c>
      <c r="K324" s="32">
        <v>10.450854844285196</v>
      </c>
      <c r="L324" s="32">
        <v>10.482664458804525</v>
      </c>
      <c r="M324" s="54">
        <f t="shared" si="12"/>
        <v>2050</v>
      </c>
      <c r="N324" s="3"/>
      <c r="O324" s="3"/>
    </row>
    <row r="325" spans="8:15">
      <c r="H325" s="28">
        <v>55032</v>
      </c>
      <c r="I325" s="32">
        <v>11.316312857142858</v>
      </c>
      <c r="J325" s="32">
        <v>11.139699999999999</v>
      </c>
      <c r="K325" s="32">
        <v>10.584151575442114</v>
      </c>
      <c r="L325" s="32">
        <v>10.766388206785139</v>
      </c>
      <c r="M325" s="54">
        <f t="shared" si="12"/>
        <v>2050</v>
      </c>
      <c r="N325" s="3"/>
      <c r="O325" s="3"/>
    </row>
    <row r="326" spans="8:15">
      <c r="H326" s="28">
        <v>55062</v>
      </c>
      <c r="I326" s="32">
        <v>11.464884285714287</v>
      </c>
      <c r="J326" s="32">
        <v>11.280900000000001</v>
      </c>
      <c r="K326" s="32">
        <v>10.776285915378784</v>
      </c>
      <c r="L326" s="32">
        <v>11.097668497576738</v>
      </c>
      <c r="M326" s="54">
        <f t="shared" si="12"/>
        <v>2050</v>
      </c>
      <c r="N326" s="3"/>
      <c r="O326" s="3"/>
    </row>
    <row r="327" spans="8:15">
      <c r="H327" s="28">
        <v>55093</v>
      </c>
      <c r="I327" s="32">
        <v>12.148251632653061</v>
      </c>
      <c r="J327" s="32">
        <v>11.965400000000001</v>
      </c>
      <c r="K327" s="32">
        <v>11.631666557953208</v>
      </c>
      <c r="L327" s="32">
        <v>11.236198384491116</v>
      </c>
      <c r="M327" s="54">
        <f t="shared" si="12"/>
        <v>2050</v>
      </c>
      <c r="N327" s="3"/>
      <c r="O327" s="3"/>
    </row>
    <row r="328" spans="8:15">
      <c r="H328" s="28">
        <v>55123</v>
      </c>
      <c r="I328" s="32">
        <v>12.475802653061226</v>
      </c>
      <c r="J328" s="32">
        <v>12.306100000000001</v>
      </c>
      <c r="K328" s="32">
        <v>11.798210392062524</v>
      </c>
      <c r="L328" s="32">
        <v>11.105947980613895</v>
      </c>
      <c r="M328" s="54">
        <f t="shared" si="12"/>
        <v>2050</v>
      </c>
      <c r="N328" s="3"/>
      <c r="O328" s="3"/>
    </row>
    <row r="329" spans="8:15">
      <c r="H329" s="28">
        <v>55154</v>
      </c>
      <c r="I329" s="32">
        <v>12.634680204081633</v>
      </c>
      <c r="J329" s="32">
        <v>12.466900000000001</v>
      </c>
      <c r="K329" s="32">
        <v>11.932432081261396</v>
      </c>
      <c r="L329" s="32">
        <v>11.535774313408725</v>
      </c>
      <c r="M329" s="54">
        <f t="shared" ref="M329:M340" si="13">YEAR(H329)</f>
        <v>2051</v>
      </c>
    </row>
    <row r="330" spans="8:15">
      <c r="H330" s="28">
        <v>55185</v>
      </c>
      <c r="I330" s="32">
        <v>12.49508836734694</v>
      </c>
      <c r="J330" s="32">
        <v>12.3208</v>
      </c>
      <c r="K330" s="32">
        <v>11.820203838837838</v>
      </c>
      <c r="L330" s="32">
        <v>11.74599240710824</v>
      </c>
      <c r="M330" s="54">
        <f t="shared" si="13"/>
        <v>2051</v>
      </c>
    </row>
    <row r="331" spans="8:15">
      <c r="H331" s="28">
        <v>55213</v>
      </c>
      <c r="I331" s="32">
        <v>11.496823061224491</v>
      </c>
      <c r="J331" s="32">
        <v>11.317</v>
      </c>
      <c r="K331" s="32">
        <v>10.871196887794675</v>
      </c>
      <c r="L331" s="32">
        <v>11.139368820678515</v>
      </c>
      <c r="M331" s="54">
        <f t="shared" si="13"/>
        <v>2051</v>
      </c>
    </row>
    <row r="332" spans="8:15">
      <c r="H332" s="28">
        <v>55244</v>
      </c>
      <c r="I332" s="32">
        <v>10.930802653061225</v>
      </c>
      <c r="J332" s="32">
        <v>10.749000000000001</v>
      </c>
      <c r="K332" s="32">
        <v>10.272029622841064</v>
      </c>
      <c r="L332" s="32">
        <v>10.748415670436188</v>
      </c>
      <c r="M332" s="54">
        <f t="shared" si="13"/>
        <v>2051</v>
      </c>
    </row>
    <row r="333" spans="8:15">
      <c r="H333" s="28">
        <v>55274</v>
      </c>
      <c r="I333" s="32">
        <v>10.994272040816327</v>
      </c>
      <c r="J333" s="32">
        <v>10.8109</v>
      </c>
      <c r="K333" s="32">
        <v>10.217148779018556</v>
      </c>
      <c r="L333" s="32">
        <v>10.71782197092084</v>
      </c>
      <c r="M333" s="54">
        <f t="shared" si="13"/>
        <v>2051</v>
      </c>
    </row>
    <row r="334" spans="8:15">
      <c r="H334" s="28">
        <v>55305</v>
      </c>
      <c r="I334" s="32">
        <v>11.060598571428573</v>
      </c>
      <c r="J334" s="32">
        <v>10.877700000000001</v>
      </c>
      <c r="K334" s="32">
        <v>9.7103231585865277</v>
      </c>
      <c r="L334" s="32">
        <v>10.808694345718903</v>
      </c>
      <c r="M334" s="54">
        <f t="shared" si="13"/>
        <v>2051</v>
      </c>
    </row>
    <row r="335" spans="8:15">
      <c r="H335" s="28">
        <v>55335</v>
      </c>
      <c r="I335" s="32">
        <v>11.126108775510204</v>
      </c>
      <c r="J335" s="32">
        <v>10.9499</v>
      </c>
      <c r="K335" s="32">
        <v>10.065712592927794</v>
      </c>
      <c r="L335" s="32">
        <v>10.560511793214863</v>
      </c>
      <c r="M335" s="54">
        <f t="shared" si="13"/>
        <v>2051</v>
      </c>
    </row>
    <row r="336" spans="8:15">
      <c r="H336" s="28">
        <v>55366</v>
      </c>
      <c r="I336" s="32">
        <v>11.280904693877551</v>
      </c>
      <c r="J336" s="32">
        <v>11.1059</v>
      </c>
      <c r="K336" s="32">
        <v>10.69093284272973</v>
      </c>
      <c r="L336" s="32">
        <v>10.733876090468497</v>
      </c>
      <c r="M336" s="54">
        <f t="shared" si="13"/>
        <v>2051</v>
      </c>
    </row>
    <row r="337" spans="8:13">
      <c r="H337" s="28">
        <v>55397</v>
      </c>
      <c r="I337" s="32">
        <v>11.576823061224491</v>
      </c>
      <c r="J337" s="32">
        <v>11.395099999999999</v>
      </c>
      <c r="K337" s="32">
        <v>10.827364153917708</v>
      </c>
      <c r="L337" s="32">
        <v>11.024162843295638</v>
      </c>
      <c r="M337" s="54">
        <f t="shared" si="13"/>
        <v>2051</v>
      </c>
    </row>
    <row r="338" spans="8:13">
      <c r="H338" s="28">
        <v>55427</v>
      </c>
      <c r="I338" s="32">
        <v>11.728863877551021</v>
      </c>
      <c r="J338" s="32">
        <v>11.5396</v>
      </c>
      <c r="K338" s="32">
        <v>11.023866351274709</v>
      </c>
      <c r="L338" s="32">
        <v>11.358876090468497</v>
      </c>
      <c r="M338" s="54">
        <f t="shared" si="13"/>
        <v>2051</v>
      </c>
    </row>
    <row r="339" spans="8:13">
      <c r="H339" s="28">
        <v>55458</v>
      </c>
      <c r="I339" s="32">
        <v>12.427843469387756</v>
      </c>
      <c r="J339" s="32">
        <v>12.2395</v>
      </c>
      <c r="K339" s="32">
        <v>11.898928045519563</v>
      </c>
      <c r="L339" s="32">
        <v>11.512854281098548</v>
      </c>
      <c r="M339" s="54">
        <f t="shared" si="13"/>
        <v>2051</v>
      </c>
    </row>
    <row r="340" spans="8:13">
      <c r="H340" s="28">
        <v>55488</v>
      </c>
      <c r="I340" s="32">
        <v>12.762945510204082</v>
      </c>
      <c r="J340" s="32">
        <v>12.5876</v>
      </c>
      <c r="K340" s="32">
        <v>12.069325871470353</v>
      </c>
      <c r="L340" s="32">
        <v>11.390075605815833</v>
      </c>
      <c r="M340" s="54">
        <f t="shared" si="13"/>
        <v>2051</v>
      </c>
    </row>
    <row r="341" spans="8:13">
      <c r="H341" s="28">
        <v>55519</v>
      </c>
      <c r="I341" s="32">
        <v>12.925598571428573</v>
      </c>
      <c r="J341" s="32">
        <v>12.752000000000001</v>
      </c>
      <c r="K341" s="32">
        <v>12.20657936758451</v>
      </c>
      <c r="L341" s="32">
        <v>11.823637802907916</v>
      </c>
      <c r="M341" s="54">
        <f t="shared" ref="M341:M343" si="14">YEAR(H341)</f>
        <v>2052</v>
      </c>
    </row>
    <row r="342" spans="8:13">
      <c r="H342" s="28">
        <v>55550</v>
      </c>
      <c r="I342" s="32">
        <v>12.782741428571429</v>
      </c>
      <c r="J342" s="32">
        <v>12.602600000000001</v>
      </c>
      <c r="K342" s="32">
        <v>12.091833183824527</v>
      </c>
      <c r="L342" s="32">
        <v>12.030624878836834</v>
      </c>
      <c r="M342" s="54">
        <f t="shared" si="14"/>
        <v>2052</v>
      </c>
    </row>
    <row r="343" spans="8:13">
      <c r="H343" s="28">
        <v>55579</v>
      </c>
      <c r="I343" s="32">
        <v>11.761516938775511</v>
      </c>
      <c r="J343" s="32">
        <v>11.5764</v>
      </c>
      <c r="K343" s="32">
        <v>11.120986945679711</v>
      </c>
      <c r="L343" s="32">
        <v>11.401283198707596</v>
      </c>
      <c r="M343" s="54">
        <f t="shared" si="14"/>
        <v>2052</v>
      </c>
    </row>
    <row r="344" spans="8:13">
      <c r="H344" s="28">
        <v>55610</v>
      </c>
      <c r="I344" s="32">
        <v>11.18243530612245</v>
      </c>
      <c r="J344" s="32">
        <v>10.995699999999999</v>
      </c>
      <c r="K344" s="32">
        <v>10.508048083212586</v>
      </c>
      <c r="L344" s="32">
        <v>10.997405977382877</v>
      </c>
      <c r="M344" s="54">
        <f t="shared" ref="M344:M365" si="15">YEAR(H344)</f>
        <v>2052</v>
      </c>
    </row>
    <row r="345" spans="8:13">
      <c r="H345" s="28">
        <v>55640</v>
      </c>
      <c r="I345" s="32">
        <v>11.247333265306123</v>
      </c>
      <c r="J345" s="32">
        <v>11.0589</v>
      </c>
      <c r="K345" s="32">
        <v>10.451933962000806</v>
      </c>
      <c r="L345" s="32">
        <v>10.968225848142167</v>
      </c>
      <c r="M345" s="54">
        <f t="shared" si="15"/>
        <v>2052</v>
      </c>
    </row>
    <row r="346" spans="8:13">
      <c r="H346" s="28">
        <v>55671</v>
      </c>
      <c r="I346" s="32">
        <v>11.315190408163266</v>
      </c>
      <c r="J346" s="32">
        <v>11.1272</v>
      </c>
      <c r="K346" s="32">
        <v>9.9333922063707139</v>
      </c>
      <c r="L346" s="32">
        <v>11.060612762520195</v>
      </c>
      <c r="M346" s="54">
        <f t="shared" si="15"/>
        <v>2052</v>
      </c>
    </row>
    <row r="347" spans="8:13">
      <c r="H347" s="28">
        <v>55701</v>
      </c>
      <c r="I347" s="32">
        <v>11.382231224489795</v>
      </c>
      <c r="J347" s="32">
        <v>11.201000000000001</v>
      </c>
      <c r="K347" s="32">
        <v>10.297003489973779</v>
      </c>
      <c r="L347" s="32">
        <v>10.813944749596123</v>
      </c>
      <c r="M347" s="54">
        <f t="shared" si="15"/>
        <v>2052</v>
      </c>
    </row>
    <row r="348" spans="8:13">
      <c r="H348" s="28">
        <v>55732</v>
      </c>
      <c r="I348" s="32">
        <v>11.540700612244898</v>
      </c>
      <c r="J348" s="32">
        <v>11.3605</v>
      </c>
      <c r="K348" s="32">
        <v>10.936611975983865</v>
      </c>
      <c r="L348" s="32">
        <v>10.99094394184168</v>
      </c>
      <c r="M348" s="54">
        <f t="shared" si="15"/>
        <v>2052</v>
      </c>
    </row>
    <row r="349" spans="8:13">
      <c r="H349" s="28">
        <v>55763</v>
      </c>
      <c r="I349" s="32">
        <v>11.843353673469387</v>
      </c>
      <c r="J349" s="32">
        <v>11.6563</v>
      </c>
      <c r="K349" s="32">
        <v>11.076075094087132</v>
      </c>
      <c r="L349" s="32">
        <v>11.287894668820678</v>
      </c>
      <c r="M349" s="54">
        <f t="shared" si="15"/>
        <v>2052</v>
      </c>
    </row>
    <row r="350" spans="8:13">
      <c r="H350" s="28">
        <v>55793</v>
      </c>
      <c r="I350" s="32">
        <v>11.99886387755102</v>
      </c>
      <c r="J350" s="32">
        <v>11.8042</v>
      </c>
      <c r="K350" s="32">
        <v>11.277150695096005</v>
      </c>
      <c r="L350" s="32">
        <v>11.6260408723748</v>
      </c>
      <c r="M350" s="54">
        <f t="shared" si="15"/>
        <v>2052</v>
      </c>
    </row>
    <row r="351" spans="8:13">
      <c r="H351" s="28">
        <v>55824</v>
      </c>
      <c r="I351" s="32">
        <v>12.713965918367348</v>
      </c>
      <c r="J351" s="32">
        <v>12.5199</v>
      </c>
      <c r="K351" s="32">
        <v>12.172304533474385</v>
      </c>
      <c r="L351" s="32">
        <v>11.795972213247174</v>
      </c>
      <c r="M351" s="54">
        <f t="shared" si="15"/>
        <v>2052</v>
      </c>
    </row>
    <row r="352" spans="8:13">
      <c r="H352" s="28">
        <v>55854</v>
      </c>
      <c r="I352" s="32">
        <v>13.056721020408164</v>
      </c>
      <c r="J352" s="32">
        <v>12.875500000000001</v>
      </c>
      <c r="K352" s="32">
        <v>12.346607737824526</v>
      </c>
      <c r="L352" s="32">
        <v>11.680766235864299</v>
      </c>
      <c r="M352" s="54">
        <f t="shared" si="15"/>
        <v>2052</v>
      </c>
    </row>
    <row r="353" spans="8:13">
      <c r="H353" s="28">
        <v>55885</v>
      </c>
      <c r="I353" s="32">
        <v>13.223047551020407</v>
      </c>
      <c r="J353" s="32">
        <v>13.0436</v>
      </c>
      <c r="K353" s="32">
        <v>12.487149973643405</v>
      </c>
      <c r="L353" s="32">
        <v>12.117963327948305</v>
      </c>
      <c r="M353" s="54">
        <f t="shared" si="15"/>
        <v>2053</v>
      </c>
    </row>
    <row r="354" spans="8:13">
      <c r="H354" s="28">
        <v>55916</v>
      </c>
      <c r="I354" s="32">
        <v>13.077027142857144</v>
      </c>
      <c r="J354" s="32">
        <v>12.891</v>
      </c>
      <c r="K354" s="32">
        <v>12.369680302315452</v>
      </c>
      <c r="L354" s="32">
        <v>12.321820355411957</v>
      </c>
      <c r="M354" s="54">
        <f t="shared" si="15"/>
        <v>2053</v>
      </c>
    </row>
    <row r="355" spans="8:13">
      <c r="H355" s="28">
        <v>55944</v>
      </c>
      <c r="I355" s="32">
        <v>12.032333265306121</v>
      </c>
      <c r="J355" s="32">
        <v>11.841699999999999</v>
      </c>
      <c r="K355" s="32">
        <v>11.376480911490116</v>
      </c>
      <c r="L355" s="32">
        <v>11.669255735056545</v>
      </c>
      <c r="M355" s="54">
        <f t="shared" si="15"/>
        <v>2053</v>
      </c>
    </row>
    <row r="356" spans="8:13">
      <c r="H356" s="28">
        <v>55975</v>
      </c>
      <c r="I356" s="32">
        <v>11.439884285714287</v>
      </c>
      <c r="J356" s="32">
        <v>11.247999999999999</v>
      </c>
      <c r="K356" s="32">
        <v>10.749462132162163</v>
      </c>
      <c r="L356" s="32">
        <v>11.252151534733443</v>
      </c>
      <c r="M356" s="54">
        <f t="shared" si="15"/>
        <v>2053</v>
      </c>
    </row>
    <row r="357" spans="8:13">
      <c r="H357" s="28">
        <v>56005</v>
      </c>
      <c r="I357" s="32">
        <v>11.506312857142857</v>
      </c>
      <c r="J357" s="32">
        <v>11.3127</v>
      </c>
      <c r="K357" s="32">
        <v>10.692063347003227</v>
      </c>
      <c r="L357" s="32">
        <v>11.224485945072699</v>
      </c>
      <c r="M357" s="54">
        <f t="shared" si="15"/>
        <v>2053</v>
      </c>
    </row>
    <row r="358" spans="8:13">
      <c r="H358" s="28">
        <v>56036</v>
      </c>
      <c r="I358" s="32">
        <v>11.575700612244898</v>
      </c>
      <c r="J358" s="32">
        <v>11.3825</v>
      </c>
      <c r="K358" s="32">
        <v>10.161599909943524</v>
      </c>
      <c r="L358" s="32">
        <v>11.318387399030696</v>
      </c>
      <c r="M358" s="54">
        <f t="shared" si="15"/>
        <v>2053</v>
      </c>
    </row>
    <row r="359" spans="8:13">
      <c r="H359" s="28">
        <v>56066</v>
      </c>
      <c r="I359" s="32">
        <v>11.644272040816327</v>
      </c>
      <c r="J359" s="32">
        <v>11.457800000000001</v>
      </c>
      <c r="K359" s="32">
        <v>10.53358720248205</v>
      </c>
      <c r="L359" s="32">
        <v>11.073233925686592</v>
      </c>
      <c r="M359" s="54">
        <f t="shared" si="15"/>
        <v>2053</v>
      </c>
    </row>
    <row r="360" spans="8:13">
      <c r="H360" s="28">
        <v>56097</v>
      </c>
      <c r="I360" s="32">
        <v>11.806312857142858</v>
      </c>
      <c r="J360" s="32">
        <v>11.620799999999999</v>
      </c>
      <c r="K360" s="32">
        <v>11.1878922440476</v>
      </c>
      <c r="L360" s="32">
        <v>11.25376704361874</v>
      </c>
      <c r="M360" s="54">
        <f t="shared" si="15"/>
        <v>2053</v>
      </c>
    </row>
    <row r="361" spans="8:13">
      <c r="H361" s="28">
        <v>56128</v>
      </c>
      <c r="I361" s="32">
        <v>12.116006734693878</v>
      </c>
      <c r="J361" s="32">
        <v>11.923500000000001</v>
      </c>
      <c r="K361" s="32">
        <v>11.3305927152977</v>
      </c>
      <c r="L361" s="32">
        <v>11.557684652665591</v>
      </c>
      <c r="M361" s="54">
        <f t="shared" si="15"/>
        <v>2053</v>
      </c>
    </row>
    <row r="362" spans="8:13">
      <c r="H362" s="28">
        <v>56158</v>
      </c>
      <c r="I362" s="32">
        <v>12.275088367346939</v>
      </c>
      <c r="J362" s="32">
        <v>12.0749</v>
      </c>
      <c r="K362" s="32">
        <v>11.536241719958451</v>
      </c>
      <c r="L362" s="32">
        <v>11.899364781906302</v>
      </c>
      <c r="M362" s="54">
        <f t="shared" si="15"/>
        <v>2053</v>
      </c>
    </row>
    <row r="363" spans="8:13">
      <c r="H363" s="28">
        <v>56189</v>
      </c>
      <c r="I363" s="32">
        <v>13.006618979591837</v>
      </c>
      <c r="J363" s="32">
        <v>12.806699999999999</v>
      </c>
      <c r="K363" s="32">
        <v>12.452052954607101</v>
      </c>
      <c r="L363" s="32">
        <v>12.085552180936997</v>
      </c>
      <c r="M363" s="54">
        <f t="shared" si="15"/>
        <v>2053</v>
      </c>
    </row>
    <row r="364" spans="8:13">
      <c r="H364" s="28">
        <v>56219</v>
      </c>
      <c r="I364" s="32">
        <v>13.357333265306123</v>
      </c>
      <c r="J364" s="32">
        <v>13.17</v>
      </c>
      <c r="K364" s="32">
        <v>12.630364310472366</v>
      </c>
      <c r="L364" s="32">
        <v>11.978221809369952</v>
      </c>
      <c r="M364" s="54">
        <f t="shared" si="15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4">
        <f t="shared" si="15"/>
        <v>1900</v>
      </c>
    </row>
    <row r="366" spans="8:13">
      <c r="H366" s="28"/>
      <c r="I366" s="32"/>
      <c r="J366" s="32"/>
      <c r="K366" s="32"/>
      <c r="L366" s="32"/>
      <c r="M366" s="54"/>
    </row>
    <row r="367" spans="8:13">
      <c r="H367" s="28"/>
      <c r="I367" s="32"/>
      <c r="J367" s="32"/>
      <c r="K367" s="32"/>
      <c r="L367" s="32"/>
      <c r="M367" s="54"/>
    </row>
    <row r="368" spans="8:13">
      <c r="H368" s="28"/>
      <c r="I368" s="32"/>
      <c r="J368" s="32"/>
      <c r="K368" s="32"/>
      <c r="L368" s="32"/>
      <c r="M368" s="54"/>
    </row>
    <row r="369" spans="8:13">
      <c r="H369" s="28"/>
      <c r="I369" s="32"/>
      <c r="J369" s="32"/>
      <c r="K369" s="32"/>
      <c r="L369" s="32"/>
      <c r="M369" s="54"/>
    </row>
    <row r="370" spans="8:13">
      <c r="H370" s="28"/>
      <c r="I370" s="32"/>
      <c r="J370" s="32"/>
      <c r="K370" s="32"/>
      <c r="L370" s="32"/>
      <c r="M370" s="54"/>
    </row>
    <row r="371" spans="8:13">
      <c r="H371" s="28"/>
      <c r="I371" s="32"/>
      <c r="J371" s="32"/>
      <c r="K371" s="32"/>
      <c r="L371" s="32"/>
      <c r="M371" s="54"/>
    </row>
    <row r="372" spans="8:13">
      <c r="H372" s="28"/>
      <c r="I372" s="32"/>
      <c r="J372" s="32"/>
      <c r="K372" s="32"/>
      <c r="L372" s="32"/>
      <c r="M372" s="54"/>
    </row>
    <row r="373" spans="8:13">
      <c r="H373" s="28"/>
      <c r="I373" s="32"/>
      <c r="J373" s="32"/>
      <c r="K373" s="32"/>
      <c r="L373" s="32"/>
      <c r="M373" s="54"/>
    </row>
    <row r="374" spans="8:13">
      <c r="H374" s="28"/>
      <c r="I374" s="32"/>
      <c r="J374" s="32"/>
      <c r="K374" s="32"/>
      <c r="L374" s="32"/>
      <c r="M374" s="54"/>
    </row>
    <row r="375" spans="8:13">
      <c r="H375" s="28"/>
      <c r="I375" s="32"/>
      <c r="J375" s="32"/>
      <c r="K375" s="32"/>
      <c r="L375" s="32"/>
      <c r="M375" s="54"/>
    </row>
    <row r="376" spans="8:13">
      <c r="H376" s="28"/>
      <c r="I376" s="32"/>
      <c r="J376" s="32"/>
      <c r="K376" s="32"/>
      <c r="L376" s="32"/>
      <c r="M376" s="54"/>
    </row>
    <row r="377" spans="8:13">
      <c r="H377" s="28"/>
      <c r="I377" s="32"/>
      <c r="J377" s="32"/>
      <c r="K377" s="32"/>
      <c r="L377" s="32"/>
      <c r="M377" s="54"/>
    </row>
    <row r="378" spans="8:13">
      <c r="H378" s="28"/>
      <c r="I378" s="32"/>
      <c r="J378" s="32"/>
      <c r="K378" s="32"/>
      <c r="L378" s="32"/>
      <c r="M378" s="54"/>
    </row>
    <row r="379" spans="8:13">
      <c r="H379" s="28"/>
      <c r="I379" s="32"/>
      <c r="J379" s="32"/>
      <c r="K379" s="32"/>
      <c r="L379" s="32"/>
      <c r="M379" s="54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V276"/>
  <sheetViews>
    <sheetView view="pageBreakPreview" topLeftCell="A2" zoomScale="60" zoomScaleNormal="90" workbookViewId="0">
      <selection activeCell="A3" sqref="A3"/>
    </sheetView>
  </sheetViews>
  <sheetFormatPr defaultColWidth="9.33203125" defaultRowHeight="12.75" outlineLevelRow="1"/>
  <cols>
    <col min="1" max="1" width="18.5" style="97" customWidth="1"/>
    <col min="2" max="2" width="22.83203125" style="97" customWidth="1"/>
    <col min="3" max="3" width="18.1640625" style="97" customWidth="1"/>
    <col min="4" max="4" width="18.33203125" style="97" customWidth="1"/>
    <col min="5" max="5" width="18.5" style="97" customWidth="1"/>
    <col min="6" max="7" width="16.1640625" style="97" customWidth="1"/>
    <col min="8" max="8" width="3.83203125" style="97" customWidth="1"/>
    <col min="9" max="9" width="9.5" style="97" customWidth="1"/>
    <col min="10" max="11" width="10" style="97" customWidth="1"/>
    <col min="12" max="12" width="9.33203125" style="97" customWidth="1"/>
    <col min="13" max="13" width="30.1640625" style="97" customWidth="1"/>
    <col min="14" max="14" width="20" style="97" customWidth="1"/>
    <col min="15" max="15" width="14.6640625" style="97" customWidth="1"/>
    <col min="16" max="16" width="14.33203125" style="97" customWidth="1"/>
    <col min="17" max="17" width="14.6640625" style="97" customWidth="1"/>
    <col min="18" max="18" width="13.6640625" style="97" customWidth="1"/>
    <col min="19" max="19" width="16" style="97" customWidth="1"/>
    <col min="20" max="20" width="15.1640625" style="97" bestFit="1" customWidth="1"/>
    <col min="21" max="21" width="13.83203125" style="97" customWidth="1"/>
    <col min="22" max="16384" width="9.33203125" style="97"/>
  </cols>
  <sheetData>
    <row r="1" spans="1:22" s="3" customFormat="1" ht="15.75" hidden="1">
      <c r="B1" s="1" t="s">
        <v>34</v>
      </c>
      <c r="C1" s="1"/>
      <c r="D1" s="10"/>
      <c r="E1" s="10"/>
      <c r="F1" s="10"/>
      <c r="G1" s="10"/>
      <c r="H1" s="29"/>
      <c r="I1" s="47"/>
      <c r="J1" s="47"/>
      <c r="K1" s="47"/>
    </row>
    <row r="2" spans="1:22" ht="5.25" customHeight="1"/>
    <row r="3" spans="1:22" ht="15.75">
      <c r="B3" s="1" t="str">
        <f>"Table "&amp;RIGHT('Table 4'!B3,1)+1</f>
        <v>Table 5</v>
      </c>
      <c r="C3" s="211"/>
      <c r="D3" s="211"/>
      <c r="E3" s="211"/>
      <c r="F3" s="211"/>
      <c r="G3" s="211"/>
      <c r="M3" s="97" t="s">
        <v>51</v>
      </c>
      <c r="O3" s="212"/>
    </row>
    <row r="4" spans="1:22" ht="38.25">
      <c r="B4" s="211" t="str">
        <f ca="1">'Table 1'!B5</f>
        <v>QF - Sch38 - UT - Solar T - 80.0 MW and 30.2% CF</v>
      </c>
      <c r="C4" s="211"/>
      <c r="D4" s="211"/>
      <c r="E4" s="211"/>
      <c r="F4" s="211"/>
      <c r="G4" s="211"/>
      <c r="K4" s="97">
        <f>MIN(K13:K24)</f>
        <v>45658</v>
      </c>
      <c r="M4" s="213" t="s">
        <v>337</v>
      </c>
      <c r="P4" s="214" t="s">
        <v>331</v>
      </c>
      <c r="Q4" s="214" t="s">
        <v>137</v>
      </c>
      <c r="R4" s="214" t="s">
        <v>136</v>
      </c>
      <c r="S4" s="214" t="s">
        <v>94</v>
      </c>
    </row>
    <row r="5" spans="1:22">
      <c r="B5" s="211" t="str">
        <f>TEXT($K$5,"MMMM YYYY")&amp;"  through  "&amp;TEXT($K$6,"MMMM YYYY")</f>
        <v>January 2025  through  December 2039</v>
      </c>
      <c r="C5" s="211"/>
      <c r="D5" s="211"/>
      <c r="E5" s="211"/>
      <c r="F5" s="211"/>
      <c r="G5" s="211"/>
      <c r="J5" s="97" t="s">
        <v>36</v>
      </c>
      <c r="K5" s="215">
        <f>MIN(K13:K24)</f>
        <v>45658</v>
      </c>
      <c r="M5" s="97" t="s">
        <v>37</v>
      </c>
      <c r="O5" s="3" t="s">
        <v>76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2">
      <c r="B6" s="211" t="s">
        <v>38</v>
      </c>
      <c r="C6" s="211"/>
      <c r="D6" s="211"/>
      <c r="E6" s="211"/>
      <c r="F6" s="211"/>
      <c r="G6" s="211"/>
      <c r="J6" s="97" t="s">
        <v>39</v>
      </c>
      <c r="K6" s="215">
        <f>EDATE(K5,15*12-1)</f>
        <v>51105</v>
      </c>
      <c r="M6" s="213">
        <v>80</v>
      </c>
      <c r="N6" s="97" t="s">
        <v>32</v>
      </c>
      <c r="O6" s="3" t="s">
        <v>77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2">
      <c r="A7" s="216" t="str">
        <f>Q4</f>
        <v>15 Year Starting 2027</v>
      </c>
      <c r="B7" s="211"/>
      <c r="C7" s="217">
        <f ca="1">NPV($K$10,INDIRECT("C"&amp;$Q$5&amp;":C"&amp;$Q$6))</f>
        <v>-5425611.8646800667</v>
      </c>
      <c r="D7" s="217">
        <f ca="1">NPV($K$10,INDIRECT("d"&amp;$Q$5&amp;":d"&amp;$Q$6))</f>
        <v>56729476.154969193</v>
      </c>
      <c r="E7" s="217">
        <f ca="1">NPV($K$10,INDIRECT("e"&amp;$Q$5&amp;":e"&amp;$Q$6))</f>
        <v>51303864.290289104</v>
      </c>
      <c r="F7" s="218">
        <f ca="1">NPV($K$10,INDIRECT("f"&amp;$Q$5&amp;":f"&amp;$Q$6))</f>
        <v>1982522.9068143526</v>
      </c>
      <c r="G7" s="219">
        <f ca="1">($C7+D7)/$F7</f>
        <v>25.878068855571271</v>
      </c>
      <c r="K7" s="215"/>
      <c r="M7" s="213"/>
      <c r="O7" s="3"/>
      <c r="P7"/>
      <c r="Q7"/>
      <c r="R7"/>
      <c r="S7"/>
    </row>
    <row r="8" spans="1:22">
      <c r="A8" s="216" t="str">
        <f>R4</f>
        <v>15 Year Starting 2026</v>
      </c>
      <c r="C8" s="217">
        <f ca="1">NPV($K$10,INDIRECT("C"&amp;$R$5&amp;":C"&amp;$R$6))</f>
        <v>1929674.8704358758</v>
      </c>
      <c r="D8" s="217">
        <f ca="1">NPV($K$10,INDIRECT("d"&amp;$R$5&amp;":d"&amp;$R$6))</f>
        <v>48908215.97432211</v>
      </c>
      <c r="E8" s="217">
        <f ca="1">NPV($K$10,INDIRECT("e"&amp;$R$5&amp;":e"&amp;$R$6))</f>
        <v>50837890.844758026</v>
      </c>
      <c r="F8" s="218">
        <f ca="1">NPV($K$10,INDIRECT("f"&amp;$R$5&amp;":f"&amp;$R$6))</f>
        <v>1992518.5101307221</v>
      </c>
      <c r="G8" s="219">
        <f ca="1">($C8+D8)/$F8</f>
        <v>25.514388240951746</v>
      </c>
      <c r="M8" s="220">
        <f ca="1">ROUNDUP(SUM(OFFSET(F12,MATCH(K5,B13:B24,0),0,12))/(EDATE(K5,12)-K5)/24/Study_MW,4)</f>
        <v>0.3019</v>
      </c>
      <c r="N8" s="221" t="s">
        <v>33</v>
      </c>
    </row>
    <row r="9" spans="1:22">
      <c r="A9" s="216"/>
      <c r="B9" s="216" t="str">
        <f>"Nominal NPV at "&amp;TEXT(J10,"0.00%")&amp;" Discount Rate"</f>
        <v>Nominal NPV at 6.38% Discount Rate</v>
      </c>
      <c r="J9" s="97" t="str">
        <f>'Table 1'!I42</f>
        <v>Discount Rate - 2025 IRP</v>
      </c>
    </row>
    <row r="10" spans="1:22">
      <c r="A10" s="216" t="str">
        <f>S4</f>
        <v>15 Year Starting 2025</v>
      </c>
      <c r="C10" s="217">
        <f ca="1">NPV($K$10,INDIRECT("C"&amp;$S$5&amp;":C"&amp;$S$6))</f>
        <v>9112934.2228584513</v>
      </c>
      <c r="D10" s="217">
        <f ca="1">NPV($K$10,INDIRECT("d"&amp;$S$5&amp;":d"&amp;$S$6))</f>
        <v>41650304.135839805</v>
      </c>
      <c r="E10" s="217">
        <f ca="1">NPV($K$10,INDIRECT("e"&amp;$S$5&amp;":e"&amp;$S$6))</f>
        <v>50763238.358698197</v>
      </c>
      <c r="F10" s="218">
        <f ca="1">NPV($K$10,INDIRECT("f"&amp;$S$5&amp;":f"&amp;$S$6))</f>
        <v>2002507.876705755</v>
      </c>
      <c r="G10" s="219">
        <f ca="1">($C10+D10)/$F10</f>
        <v>25.349832052699245</v>
      </c>
      <c r="J10" s="222">
        <f>'Table 1'!I43</f>
        <v>6.3799999999999996E-2</v>
      </c>
      <c r="K10" s="223">
        <f>((1+J10)^(1/12))-1</f>
        <v>5.1672547259051793E-3</v>
      </c>
    </row>
    <row r="11" spans="1:22">
      <c r="B11" s="224"/>
      <c r="C11" s="225" t="s">
        <v>18</v>
      </c>
      <c r="D11" s="226" t="s">
        <v>40</v>
      </c>
      <c r="E11" s="226" t="s">
        <v>41</v>
      </c>
      <c r="F11" s="226" t="s">
        <v>41</v>
      </c>
      <c r="G11" s="227" t="s">
        <v>48</v>
      </c>
      <c r="S11" s="97" t="s">
        <v>142</v>
      </c>
      <c r="U11" s="97" t="s">
        <v>142</v>
      </c>
    </row>
    <row r="12" spans="1:22">
      <c r="B12" s="228" t="s">
        <v>42</v>
      </c>
      <c r="C12" s="225" t="s">
        <v>43</v>
      </c>
      <c r="D12" s="229" t="str">
        <f>TEXT((SUM(F25:F72)/(8760*3+8784))/Study_MW,"0.0%")&amp;" CF"</f>
        <v>29.8% CF</v>
      </c>
      <c r="E12" s="230" t="s">
        <v>47</v>
      </c>
      <c r="F12" s="228" t="s">
        <v>44</v>
      </c>
      <c r="G12" s="229" t="str">
        <f>D12</f>
        <v>29.8% CF</v>
      </c>
      <c r="I12" s="226" t="s">
        <v>45</v>
      </c>
      <c r="J12" s="231" t="s">
        <v>0</v>
      </c>
      <c r="K12" s="231" t="s">
        <v>46</v>
      </c>
      <c r="L12" s="231" t="s">
        <v>45</v>
      </c>
      <c r="M12" s="231"/>
      <c r="N12" s="227"/>
      <c r="P12" s="97" t="s">
        <v>41</v>
      </c>
      <c r="Q12" s="97" t="s">
        <v>67</v>
      </c>
      <c r="R12" s="97" t="s">
        <v>68</v>
      </c>
      <c r="S12" s="97" t="s">
        <v>18</v>
      </c>
      <c r="U12" s="97" t="s">
        <v>6</v>
      </c>
      <c r="V12" s="97" t="str">
        <f t="shared" ref="V12:V75" si="0">IFERROR(IF(AND(MONTH(K13)&gt;=6,MONTH(K13)&lt;=9),"Summer","Winter"),"-")</f>
        <v>Winter</v>
      </c>
    </row>
    <row r="13" spans="1:22">
      <c r="B13" s="392">
        <v>45658</v>
      </c>
      <c r="C13" s="233">
        <v>100393.93704861868</v>
      </c>
      <c r="D13" s="234">
        <f>IF(ISNUMBER($F13),VLOOKUP($J13,'Table 1'!$B$13:$C$33,2,FALSE)/12*1000*Study_MW,"")</f>
        <v>0</v>
      </c>
      <c r="E13" s="235">
        <f t="shared" ref="E13:E16" si="1">IF(ISNUMBER(C13+D13),C13+D13,"")</f>
        <v>100393.93704861868</v>
      </c>
      <c r="F13" s="233">
        <v>8073.849738320002</v>
      </c>
      <c r="G13" s="236">
        <f t="shared" ref="G13:G16" si="2">IF(ISNUMBER($F13),E13/$F13,"")</f>
        <v>12.434456957023892</v>
      </c>
      <c r="I13" s="237">
        <f>1</f>
        <v>1</v>
      </c>
      <c r="J13" s="238">
        <f>YEAR(B13)</f>
        <v>2025</v>
      </c>
      <c r="K13" s="232">
        <f t="shared" ref="K13:K24" si="3">IF(ISNUMBER(F13),B13,"")</f>
        <v>45658</v>
      </c>
      <c r="L13" s="97">
        <v>840</v>
      </c>
      <c r="M13" s="216" t="s">
        <v>123</v>
      </c>
      <c r="V13" s="97" t="str">
        <f t="shared" si="0"/>
        <v>Winter</v>
      </c>
    </row>
    <row r="14" spans="1:22">
      <c r="B14" s="239">
        <f t="shared" ref="B14:B77" si="4">EDATE(B13,1)</f>
        <v>45689</v>
      </c>
      <c r="C14" s="97">
        <v>146351.14846717624</v>
      </c>
      <c r="D14" s="235">
        <f>IF(ISNUMBER($F14),VLOOKUP($J14,'Table 1'!$B$13:$C$33,2,FALSE)/12*1000*Study_MW,"")</f>
        <v>0</v>
      </c>
      <c r="E14" s="235">
        <f t="shared" si="1"/>
        <v>146351.14846717624</v>
      </c>
      <c r="F14" s="97">
        <v>12618.39361408</v>
      </c>
      <c r="G14" s="240">
        <f t="shared" si="2"/>
        <v>11.598239280146805</v>
      </c>
      <c r="I14" s="241">
        <f>I13+1</f>
        <v>2</v>
      </c>
      <c r="J14" s="238">
        <f t="shared" ref="J14:J77" si="5">YEAR(B14)</f>
        <v>2025</v>
      </c>
      <c r="K14" s="239">
        <f t="shared" si="3"/>
        <v>45689</v>
      </c>
      <c r="L14" s="97">
        <v>1151</v>
      </c>
      <c r="M14" s="242" t="s">
        <v>338</v>
      </c>
      <c r="V14" s="97" t="str">
        <f t="shared" si="0"/>
        <v>Winter</v>
      </c>
    </row>
    <row r="15" spans="1:22">
      <c r="B15" s="239">
        <f t="shared" si="4"/>
        <v>45717</v>
      </c>
      <c r="C15" s="97">
        <v>72764.797811883909</v>
      </c>
      <c r="D15" s="235">
        <f>IF(ISNUMBER($F15),VLOOKUP($J15,'Table 1'!$B$13:$C$33,2,FALSE)/12*1000*Study_MW,"")</f>
        <v>0</v>
      </c>
      <c r="E15" s="235">
        <f t="shared" si="1"/>
        <v>72764.797811883909</v>
      </c>
      <c r="F15" s="97">
        <v>15076.787500599998</v>
      </c>
      <c r="G15" s="240">
        <f t="shared" si="2"/>
        <v>4.8262799889557479</v>
      </c>
      <c r="I15" s="241">
        <f t="shared" ref="I15:I24" si="6">I14+1</f>
        <v>3</v>
      </c>
      <c r="J15" s="238">
        <f t="shared" si="5"/>
        <v>2025</v>
      </c>
      <c r="K15" s="239">
        <f t="shared" si="3"/>
        <v>45717</v>
      </c>
      <c r="V15" s="97" t="str">
        <f t="shared" si="0"/>
        <v>Winter</v>
      </c>
    </row>
    <row r="16" spans="1:22">
      <c r="B16" s="239">
        <f t="shared" si="4"/>
        <v>45748</v>
      </c>
      <c r="C16" s="97">
        <v>128299.30142063677</v>
      </c>
      <c r="D16" s="235">
        <f>IF(ISNUMBER($F16),VLOOKUP($J16,'Table 1'!$B$13:$C$33,2,FALSE)/12*1000*Study_MW,"")</f>
        <v>0</v>
      </c>
      <c r="E16" s="235">
        <f t="shared" si="1"/>
        <v>128299.30142063677</v>
      </c>
      <c r="F16" s="97">
        <v>19602.81437177</v>
      </c>
      <c r="G16" s="240">
        <f t="shared" si="2"/>
        <v>6.544942934592112</v>
      </c>
      <c r="I16" s="241">
        <f t="shared" si="6"/>
        <v>4</v>
      </c>
      <c r="J16" s="238">
        <f t="shared" si="5"/>
        <v>2025</v>
      </c>
      <c r="K16" s="239">
        <f t="shared" si="3"/>
        <v>45748</v>
      </c>
      <c r="L16" s="238">
        <f>YEAR(B13)</f>
        <v>2025</v>
      </c>
      <c r="M16" s="97">
        <f>SUMIF($J$13:$J$264,L16,$C$13:$C$264)</f>
        <v>4558423.2527786596</v>
      </c>
      <c r="N16" s="97">
        <f>SUMIF($J$13:$J$264,L16,$D$13:$D$264)</f>
        <v>0</v>
      </c>
      <c r="O16" s="97">
        <f t="shared" ref="O16:O25" si="7">SUMIF($J$13:$J$264,L16,$F$13:$F$264)</f>
        <v>211519.90988544005</v>
      </c>
      <c r="P16" s="243">
        <f t="shared" ref="P16:P25" si="8">(M16+N16)/O16</f>
        <v>21.550799899865304</v>
      </c>
      <c r="Q16" s="244">
        <f>M16/O16</f>
        <v>21.550799899865304</v>
      </c>
      <c r="R16" s="244">
        <f>IFERROR(N16/O16,0)</f>
        <v>0</v>
      </c>
      <c r="S16" s="97">
        <f t="shared" ref="S16:S41" si="9">SUMIFS($C$13:$C$276,$J$13:$J$276,L16,$V$12:$V$275,"Summer")</f>
        <v>3539011.768187542</v>
      </c>
      <c r="U16" s="97">
        <f>SUMIFS($D$13:$D$276,$J$13:$J$276,L16,$V$12:$V$275,"Summer")</f>
        <v>0</v>
      </c>
      <c r="V16" s="97" t="str">
        <f t="shared" si="0"/>
        <v>Winter</v>
      </c>
    </row>
    <row r="17" spans="2:22">
      <c r="B17" s="239">
        <f t="shared" si="4"/>
        <v>45778</v>
      </c>
      <c r="C17" s="97">
        <v>294218.15589880134</v>
      </c>
      <c r="D17" s="235">
        <f>IF(ISNUMBER($F17),VLOOKUP($J17,'Table 1'!$B$13:$C$33,2,FALSE)/12*1000*Study_MW,"")</f>
        <v>0</v>
      </c>
      <c r="E17" s="235">
        <f t="shared" ref="E17" si="10">IF(ISNUMBER(C17+D17),C17+D17,"")</f>
        <v>294218.15589880134</v>
      </c>
      <c r="F17" s="97">
        <v>22995.626781179995</v>
      </c>
      <c r="G17" s="240">
        <f t="shared" ref="G17" si="11">IF(ISNUMBER($F17),E17/$F17,"")</f>
        <v>12.794526485340004</v>
      </c>
      <c r="I17" s="241">
        <f t="shared" si="6"/>
        <v>5</v>
      </c>
      <c r="J17" s="238">
        <f t="shared" si="5"/>
        <v>2025</v>
      </c>
      <c r="K17" s="239">
        <f t="shared" si="3"/>
        <v>45778</v>
      </c>
      <c r="L17" s="238">
        <f>L16+1</f>
        <v>2026</v>
      </c>
      <c r="M17" s="97">
        <f>SUMIF($J$13:$J$264,L17,$C$13:$C$264)</f>
        <v>4344690.3472552961</v>
      </c>
      <c r="N17" s="97">
        <f t="shared" ref="N17:N36" si="12">SUMIF($J$13:$J$264,L17,$D$13:$D$264)</f>
        <v>0</v>
      </c>
      <c r="O17" s="97">
        <f t="shared" si="7"/>
        <v>210417.35984409999</v>
      </c>
      <c r="P17" s="243">
        <f t="shared" si="8"/>
        <v>20.647965312720938</v>
      </c>
      <c r="Q17" s="244">
        <f t="shared" ref="Q17:Q33" si="13">M17/O17</f>
        <v>20.647965312720938</v>
      </c>
      <c r="R17" s="244">
        <f t="shared" ref="R17:R33" si="14">IFERROR(N17/O17,0)</f>
        <v>0</v>
      </c>
      <c r="S17" s="97">
        <f t="shared" si="9"/>
        <v>3174757.4756410541</v>
      </c>
      <c r="U17" s="97">
        <f t="shared" ref="U17:U41" si="15">SUMIFS($D$13:$D$276,$J$13:$J$276,L17,$V$12:$V$275,"Summer")</f>
        <v>0</v>
      </c>
      <c r="V17" s="97" t="str">
        <f t="shared" si="0"/>
        <v>Summer</v>
      </c>
    </row>
    <row r="18" spans="2:22">
      <c r="B18" s="239">
        <f t="shared" si="4"/>
        <v>45809</v>
      </c>
      <c r="C18" s="97">
        <v>520687.27736453002</v>
      </c>
      <c r="D18" s="235">
        <f>IF(ISNUMBER($F18),VLOOKUP($J18,'Table 1'!$B$13:$C$33,2,FALSE)/12*1000*Study_MW,"")</f>
        <v>0</v>
      </c>
      <c r="E18" s="235">
        <f t="shared" ref="E18:E19" si="16">IF(ISNUMBER(C18+D18),C18+D18,"")</f>
        <v>520687.27736453002</v>
      </c>
      <c r="F18" s="97">
        <v>27862.086922160008</v>
      </c>
      <c r="G18" s="240">
        <f t="shared" ref="G18:G19" si="17">IF(ISNUMBER($F18),E18/$F18,"")</f>
        <v>18.688021425645733</v>
      </c>
      <c r="I18" s="241">
        <f t="shared" si="6"/>
        <v>6</v>
      </c>
      <c r="J18" s="238">
        <f t="shared" si="5"/>
        <v>2025</v>
      </c>
      <c r="K18" s="239">
        <f t="shared" si="3"/>
        <v>45809</v>
      </c>
      <c r="L18" s="238">
        <f t="shared" ref="L18:L42" si="18">L17+1</f>
        <v>2027</v>
      </c>
      <c r="M18" s="97">
        <f t="shared" ref="M18:M36" si="19">SUMIF($J$13:$J$264,L18,$C$13:$C$264)</f>
        <v>4728707.5616208045</v>
      </c>
      <c r="N18" s="97">
        <f t="shared" si="12"/>
        <v>0</v>
      </c>
      <c r="O18" s="97">
        <f t="shared" si="7"/>
        <v>209188.32677313001</v>
      </c>
      <c r="P18" s="243">
        <f t="shared" si="8"/>
        <v>22.605025980963109</v>
      </c>
      <c r="Q18" s="244">
        <f t="shared" si="13"/>
        <v>22.605025980963109</v>
      </c>
      <c r="R18" s="244">
        <f t="shared" si="14"/>
        <v>0</v>
      </c>
      <c r="S18" s="97">
        <f t="shared" si="9"/>
        <v>2807641.5428446196</v>
      </c>
      <c r="U18" s="97">
        <f t="shared" si="15"/>
        <v>0</v>
      </c>
      <c r="V18" s="97" t="str">
        <f t="shared" si="0"/>
        <v>Summer</v>
      </c>
    </row>
    <row r="19" spans="2:22">
      <c r="B19" s="239">
        <f t="shared" si="4"/>
        <v>45839</v>
      </c>
      <c r="C19" s="97">
        <v>1117055.3490484599</v>
      </c>
      <c r="D19" s="235">
        <f>IF(ISNUMBER($F19),VLOOKUP($J19,'Table 1'!$B$13:$C$33,2,FALSE)/12*1000*Study_MW,"")</f>
        <v>0</v>
      </c>
      <c r="E19" s="235">
        <f t="shared" si="16"/>
        <v>1117055.3490484599</v>
      </c>
      <c r="F19" s="97">
        <v>27277.766882940006</v>
      </c>
      <c r="G19" s="240">
        <f t="shared" si="17"/>
        <v>40.951128948428909</v>
      </c>
      <c r="I19" s="241">
        <f t="shared" si="6"/>
        <v>7</v>
      </c>
      <c r="J19" s="238">
        <f t="shared" si="5"/>
        <v>2025</v>
      </c>
      <c r="K19" s="239">
        <f t="shared" si="3"/>
        <v>45839</v>
      </c>
      <c r="L19" s="238">
        <f t="shared" si="18"/>
        <v>2028</v>
      </c>
      <c r="M19" s="97">
        <f t="shared" si="19"/>
        <v>5331981.1029639263</v>
      </c>
      <c r="N19" s="97">
        <f t="shared" si="12"/>
        <v>0</v>
      </c>
      <c r="O19" s="97">
        <f t="shared" si="7"/>
        <v>208193.03839231003</v>
      </c>
      <c r="P19" s="243">
        <f t="shared" si="8"/>
        <v>25.610755979825655</v>
      </c>
      <c r="Q19" s="244">
        <f t="shared" si="13"/>
        <v>25.610755979825655</v>
      </c>
      <c r="R19" s="244">
        <f t="shared" si="14"/>
        <v>0</v>
      </c>
      <c r="S19" s="97">
        <f t="shared" si="9"/>
        <v>3053207.7400303679</v>
      </c>
      <c r="U19" s="97">
        <f t="shared" si="15"/>
        <v>0</v>
      </c>
      <c r="V19" s="97" t="str">
        <f t="shared" si="0"/>
        <v>Summer</v>
      </c>
    </row>
    <row r="20" spans="2:22">
      <c r="B20" s="239">
        <f t="shared" si="4"/>
        <v>45870</v>
      </c>
      <c r="C20" s="97">
        <v>1313653.8806799217</v>
      </c>
      <c r="D20" s="235">
        <f>IF(ISNUMBER($F20),VLOOKUP($J20,'Table 1'!$B$13:$C$33,2,FALSE)/12*1000*Study_MW,"")</f>
        <v>0</v>
      </c>
      <c r="E20" s="235">
        <f t="shared" ref="E20:E22" si="20">IF(ISNUMBER(C20+D20),C20+D20,"")</f>
        <v>1313653.8806799217</v>
      </c>
      <c r="F20" s="97">
        <v>23575.165006140003</v>
      </c>
      <c r="G20" s="240">
        <f t="shared" ref="G20:G77" si="21">IF(ISNUMBER($F20),E20/$F20,"")</f>
        <v>55.721937909566648</v>
      </c>
      <c r="I20" s="241">
        <f t="shared" si="6"/>
        <v>8</v>
      </c>
      <c r="J20" s="238">
        <f t="shared" si="5"/>
        <v>2025</v>
      </c>
      <c r="K20" s="239">
        <f t="shared" si="3"/>
        <v>45870</v>
      </c>
      <c r="L20" s="238">
        <f t="shared" si="18"/>
        <v>2029</v>
      </c>
      <c r="M20" s="97">
        <f t="shared" si="19"/>
        <v>6027800.8619429003</v>
      </c>
      <c r="N20" s="97">
        <f t="shared" si="12"/>
        <v>0</v>
      </c>
      <c r="O20" s="97">
        <f t="shared" si="7"/>
        <v>207136.33390607001</v>
      </c>
      <c r="P20" s="243">
        <f t="shared" si="8"/>
        <v>29.100644721636929</v>
      </c>
      <c r="Q20" s="244">
        <f t="shared" si="13"/>
        <v>29.100644721636929</v>
      </c>
      <c r="R20" s="244">
        <f t="shared" si="14"/>
        <v>0</v>
      </c>
      <c r="S20" s="97">
        <f t="shared" si="9"/>
        <v>3405068.9966210704</v>
      </c>
      <c r="U20" s="97">
        <f t="shared" si="15"/>
        <v>0</v>
      </c>
      <c r="V20" s="97" t="str">
        <f t="shared" si="0"/>
        <v>Summer</v>
      </c>
    </row>
    <row r="21" spans="2:22">
      <c r="B21" s="239">
        <f t="shared" si="4"/>
        <v>45901</v>
      </c>
      <c r="C21" s="97">
        <v>587615.26109463011</v>
      </c>
      <c r="D21" s="235">
        <f>IF(ISNUMBER($F21),VLOOKUP($J21,'Table 1'!$B$13:$C$33,2,FALSE)/12*1000*Study_MW,"")</f>
        <v>0</v>
      </c>
      <c r="E21" s="235">
        <f t="shared" si="20"/>
        <v>587615.26109463011</v>
      </c>
      <c r="F21" s="97">
        <v>20127.294943790006</v>
      </c>
      <c r="G21" s="240">
        <f t="shared" si="21"/>
        <v>29.194944613057928</v>
      </c>
      <c r="I21" s="241">
        <f t="shared" si="6"/>
        <v>9</v>
      </c>
      <c r="J21" s="238">
        <f t="shared" si="5"/>
        <v>2025</v>
      </c>
      <c r="K21" s="239">
        <f t="shared" si="3"/>
        <v>45901</v>
      </c>
      <c r="L21" s="238">
        <f t="shared" si="18"/>
        <v>2030</v>
      </c>
      <c r="M21" s="97">
        <f t="shared" si="19"/>
        <v>5355801.8530397145</v>
      </c>
      <c r="N21" s="97">
        <f t="shared" si="12"/>
        <v>0</v>
      </c>
      <c r="O21" s="97">
        <f t="shared" si="7"/>
        <v>206129.27332415001</v>
      </c>
      <c r="P21" s="243">
        <f t="shared" si="8"/>
        <v>25.9827329067299</v>
      </c>
      <c r="Q21" s="244">
        <f t="shared" si="13"/>
        <v>25.9827329067299</v>
      </c>
      <c r="R21" s="244">
        <f t="shared" si="14"/>
        <v>0</v>
      </c>
      <c r="S21" s="97">
        <f t="shared" si="9"/>
        <v>3097140.1815646011</v>
      </c>
      <c r="U21" s="97">
        <f t="shared" si="15"/>
        <v>0</v>
      </c>
      <c r="V21" s="97" t="str">
        <f t="shared" si="0"/>
        <v>Winter</v>
      </c>
    </row>
    <row r="22" spans="2:22">
      <c r="B22" s="239">
        <f t="shared" si="4"/>
        <v>45931</v>
      </c>
      <c r="C22" s="97">
        <v>5445.8004130647168</v>
      </c>
      <c r="D22" s="235">
        <f>IF(ISNUMBER($F22),VLOOKUP($J22,'Table 1'!$B$13:$C$33,2,FALSE)/12*1000*Study_MW,"")</f>
        <v>0</v>
      </c>
      <c r="E22" s="235">
        <f t="shared" si="20"/>
        <v>5445.8004130647168</v>
      </c>
      <c r="F22" s="97">
        <v>14973.98915291</v>
      </c>
      <c r="G22" s="240">
        <f t="shared" si="21"/>
        <v>0.3636840094816281</v>
      </c>
      <c r="I22" s="241">
        <f t="shared" si="6"/>
        <v>10</v>
      </c>
      <c r="J22" s="238">
        <f t="shared" si="5"/>
        <v>2025</v>
      </c>
      <c r="K22" s="239">
        <f t="shared" si="3"/>
        <v>45931</v>
      </c>
      <c r="L22" s="238">
        <f t="shared" si="18"/>
        <v>2031</v>
      </c>
      <c r="M22" s="97">
        <f t="shared" si="19"/>
        <v>5114960.463168215</v>
      </c>
      <c r="N22" s="97">
        <f t="shared" si="12"/>
        <v>0</v>
      </c>
      <c r="O22" s="97">
        <f t="shared" si="7"/>
        <v>205253.63255509001</v>
      </c>
      <c r="P22" s="243">
        <f t="shared" si="8"/>
        <v>24.920194588007408</v>
      </c>
      <c r="Q22" s="244">
        <f t="shared" si="13"/>
        <v>24.920194588007408</v>
      </c>
      <c r="R22" s="244">
        <f t="shared" si="14"/>
        <v>0</v>
      </c>
      <c r="S22" s="97">
        <f t="shared" si="9"/>
        <v>2857015.1279584509</v>
      </c>
      <c r="U22" s="97">
        <f t="shared" si="15"/>
        <v>0</v>
      </c>
      <c r="V22" s="97" t="str">
        <f t="shared" si="0"/>
        <v>Winter</v>
      </c>
    </row>
    <row r="23" spans="2:22">
      <c r="B23" s="239">
        <f t="shared" si="4"/>
        <v>45962</v>
      </c>
      <c r="C23" s="97">
        <v>172955.2494685413</v>
      </c>
      <c r="D23" s="235">
        <f>IF(ISNUMBER($F23),VLOOKUP($J23,'Table 1'!$B$13:$C$33,2,FALSE)/12*1000*Study_MW,"")</f>
        <v>0</v>
      </c>
      <c r="E23" s="235">
        <f t="shared" ref="E23" si="22">IF(ISNUMBER(C23+D23),C23+D23,"")</f>
        <v>172955.2494685413</v>
      </c>
      <c r="F23" s="97">
        <v>11987.930104139998</v>
      </c>
      <c r="G23" s="240">
        <f t="shared" ref="G23" si="23">IF(ISNUMBER($F23),E23/$F23,"")</f>
        <v>14.427448939563945</v>
      </c>
      <c r="I23" s="241">
        <f t="shared" si="6"/>
        <v>11</v>
      </c>
      <c r="J23" s="238">
        <f t="shared" si="5"/>
        <v>2025</v>
      </c>
      <c r="K23" s="239">
        <f t="shared" si="3"/>
        <v>45962</v>
      </c>
      <c r="L23" s="238">
        <f t="shared" si="18"/>
        <v>2032</v>
      </c>
      <c r="M23" s="97">
        <f t="shared" si="19"/>
        <v>-3324121.960521799</v>
      </c>
      <c r="N23" s="97">
        <f t="shared" si="12"/>
        <v>9515018.436300721</v>
      </c>
      <c r="O23" s="97">
        <f t="shared" si="7"/>
        <v>204178.85520552</v>
      </c>
      <c r="P23" s="243">
        <f t="shared" si="8"/>
        <v>30.320948119467911</v>
      </c>
      <c r="Q23" s="244">
        <f t="shared" si="13"/>
        <v>-16.280441758652447</v>
      </c>
      <c r="R23" s="244">
        <f t="shared" si="14"/>
        <v>46.601389878120351</v>
      </c>
      <c r="S23" s="97">
        <f t="shared" si="9"/>
        <v>-1427255.777314669</v>
      </c>
      <c r="T23" s="36"/>
      <c r="U23" s="97">
        <f t="shared" si="15"/>
        <v>3171672.812100241</v>
      </c>
      <c r="V23" s="97" t="str">
        <f t="shared" si="0"/>
        <v>Winter</v>
      </c>
    </row>
    <row r="24" spans="2:22">
      <c r="B24" s="245">
        <f t="shared" si="4"/>
        <v>45992</v>
      </c>
      <c r="C24" s="246">
        <v>98983.09406239423</v>
      </c>
      <c r="D24" s="247">
        <f>IF(F24&lt;&gt;0,VLOOKUP($J24,'Table 1'!$B$13:$C$33,2,FALSE)/12*1000*Study_MW,0)</f>
        <v>0</v>
      </c>
      <c r="E24" s="247">
        <f t="shared" ref="E24" si="24">IF(ISNUMBER(C24+D24),C24+D24,"")</f>
        <v>98983.09406239423</v>
      </c>
      <c r="F24" s="246">
        <v>7348.2048674099988</v>
      </c>
      <c r="G24" s="248">
        <f t="shared" ref="G24" si="25">IF(ISNUMBER($F24),E24/$F24,"")</f>
        <v>13.470377574990302</v>
      </c>
      <c r="I24" s="249">
        <f t="shared" si="6"/>
        <v>12</v>
      </c>
      <c r="J24" s="238">
        <f t="shared" si="5"/>
        <v>2025</v>
      </c>
      <c r="K24" s="245">
        <f t="shared" si="3"/>
        <v>45992</v>
      </c>
      <c r="L24" s="238">
        <f t="shared" si="18"/>
        <v>2033</v>
      </c>
      <c r="M24" s="97">
        <f t="shared" si="19"/>
        <v>-3727594.3098255866</v>
      </c>
      <c r="N24" s="97">
        <f t="shared" si="12"/>
        <v>9722445.838325778</v>
      </c>
      <c r="O24" s="97">
        <f t="shared" si="7"/>
        <v>203041.70702740998</v>
      </c>
      <c r="P24" s="243">
        <f t="shared" si="8"/>
        <v>29.525222262295628</v>
      </c>
      <c r="Q24" s="244">
        <f t="shared" si="13"/>
        <v>-18.358761677089198</v>
      </c>
      <c r="R24" s="244">
        <f t="shared" si="14"/>
        <v>47.883983939384819</v>
      </c>
      <c r="S24" s="97">
        <f t="shared" si="9"/>
        <v>-1606140.5327657284</v>
      </c>
      <c r="U24" s="97">
        <f t="shared" si="15"/>
        <v>3240815.2794419257</v>
      </c>
      <c r="V24" s="97" t="str">
        <f t="shared" si="0"/>
        <v>Winter</v>
      </c>
    </row>
    <row r="25" spans="2:22" hidden="1" outlineLevel="1">
      <c r="B25" s="232">
        <f t="shared" si="4"/>
        <v>46023</v>
      </c>
      <c r="C25" s="233">
        <v>165460.24732192745</v>
      </c>
      <c r="D25" s="234">
        <f>IF(F25&lt;&gt;0,VLOOKUP($J25,'Table 1'!$B$13:$C$33,2,FALSE)/12*1000*Study_MW,0)</f>
        <v>0</v>
      </c>
      <c r="E25" s="234">
        <f t="shared" ref="E25:E77" si="26">C25+D25</f>
        <v>165460.24732192745</v>
      </c>
      <c r="F25" s="233">
        <v>7927.7886279499999</v>
      </c>
      <c r="G25" s="236">
        <f t="shared" si="21"/>
        <v>20.870920642180749</v>
      </c>
      <c r="I25" s="237">
        <f>I13+13</f>
        <v>14</v>
      </c>
      <c r="J25" s="238">
        <f t="shared" si="5"/>
        <v>2026</v>
      </c>
      <c r="K25" s="232">
        <f>IF(ISNUMBER(F25),IF(F25&lt;&gt;0,B25,""),"")</f>
        <v>46023</v>
      </c>
      <c r="L25" s="238">
        <f t="shared" si="18"/>
        <v>2034</v>
      </c>
      <c r="M25" s="97">
        <f t="shared" si="19"/>
        <v>-3994195.7129469961</v>
      </c>
      <c r="N25" s="97">
        <f t="shared" si="12"/>
        <v>9934395.1648494266</v>
      </c>
      <c r="O25" s="97">
        <f t="shared" si="7"/>
        <v>202239.33329541</v>
      </c>
      <c r="P25" s="243">
        <f t="shared" si="8"/>
        <v>29.372127345898683</v>
      </c>
      <c r="Q25" s="244">
        <f t="shared" si="13"/>
        <v>-19.749846124703616</v>
      </c>
      <c r="R25" s="244">
        <f t="shared" si="14"/>
        <v>49.121973470602299</v>
      </c>
      <c r="S25" s="97">
        <f t="shared" si="9"/>
        <v>-1603095.4239334895</v>
      </c>
      <c r="U25" s="97">
        <f t="shared" si="15"/>
        <v>3311465.0549498089</v>
      </c>
      <c r="V25" s="97" t="str">
        <f t="shared" si="0"/>
        <v>Winter</v>
      </c>
    </row>
    <row r="26" spans="2:22" hidden="1" outlineLevel="1">
      <c r="B26" s="239">
        <f t="shared" si="4"/>
        <v>46054</v>
      </c>
      <c r="C26" s="97">
        <v>173010.91768096376</v>
      </c>
      <c r="D26" s="235">
        <f>IF(F26&lt;&gt;0,VLOOKUP($J26,'Table 1'!$B$13:$C$33,2,FALSE)/12*1000*Study_MW,0)</f>
        <v>0</v>
      </c>
      <c r="E26" s="235">
        <f t="shared" si="26"/>
        <v>173010.91768096376</v>
      </c>
      <c r="F26" s="97">
        <v>12898.189071459999</v>
      </c>
      <c r="G26" s="240">
        <f t="shared" si="21"/>
        <v>13.413582071283743</v>
      </c>
      <c r="I26" s="241">
        <f t="shared" ref="I26:I89" si="27">I14+13</f>
        <v>15</v>
      </c>
      <c r="J26" s="238">
        <f t="shared" si="5"/>
        <v>2026</v>
      </c>
      <c r="K26" s="239">
        <f t="shared" ref="K26:K89" si="28">IF(ISNUMBER(F26),IF(F26&lt;&gt;0,B26,""),"")</f>
        <v>46054</v>
      </c>
      <c r="L26" s="238">
        <f t="shared" si="18"/>
        <v>2035</v>
      </c>
      <c r="M26" s="97">
        <f t="shared" si="19"/>
        <v>-4580364.0044991514</v>
      </c>
      <c r="N26" s="97">
        <f t="shared" si="12"/>
        <v>10150964.976898445</v>
      </c>
      <c r="O26" s="97">
        <f>SUMIF($J$13:$J$264,L26,$F$13:$F$264)</f>
        <v>201007.57106124001</v>
      </c>
      <c r="P26" s="243">
        <f>(M26+N26)/O26</f>
        <v>27.713388819081473</v>
      </c>
      <c r="Q26" s="244">
        <f t="shared" si="13"/>
        <v>-22.78702230128274</v>
      </c>
      <c r="R26" s="244">
        <f t="shared" si="14"/>
        <v>50.500411120364213</v>
      </c>
      <c r="S26" s="97">
        <f t="shared" si="9"/>
        <v>-2177374.3864268619</v>
      </c>
      <c r="U26" s="97">
        <f t="shared" si="15"/>
        <v>3383654.9922994813</v>
      </c>
      <c r="V26" s="97" t="str">
        <f t="shared" si="0"/>
        <v>Winter</v>
      </c>
    </row>
    <row r="27" spans="2:22" hidden="1" outlineLevel="1">
      <c r="B27" s="239">
        <f t="shared" si="4"/>
        <v>46082</v>
      </c>
      <c r="C27" s="97">
        <v>9041.1176967609208</v>
      </c>
      <c r="D27" s="235">
        <f>IF(F27&lt;&gt;0,VLOOKUP($J27,'Table 1'!$B$13:$C$33,2,FALSE)/12*1000*Study_MW,0)</f>
        <v>0</v>
      </c>
      <c r="E27" s="235">
        <f t="shared" si="26"/>
        <v>9041.1176967609208</v>
      </c>
      <c r="F27" s="97">
        <v>15002.424547280001</v>
      </c>
      <c r="G27" s="240">
        <f t="shared" si="21"/>
        <v>0.60264377056307949</v>
      </c>
      <c r="I27" s="241">
        <f t="shared" si="27"/>
        <v>16</v>
      </c>
      <c r="J27" s="238">
        <f t="shared" si="5"/>
        <v>2026</v>
      </c>
      <c r="K27" s="239">
        <f t="shared" si="28"/>
        <v>46082</v>
      </c>
      <c r="L27" s="238">
        <f t="shared" si="18"/>
        <v>2036</v>
      </c>
      <c r="M27" s="97">
        <f t="shared" si="19"/>
        <v>-4592052.5292800944</v>
      </c>
      <c r="N27" s="97">
        <f t="shared" si="12"/>
        <v>10372256.013466896</v>
      </c>
      <c r="O27" s="97">
        <f t="shared" ref="O27:O31" si="29">SUMIF($J$13:$J$264,L27,$F$13:$F$264)</f>
        <v>199909.23204461002</v>
      </c>
      <c r="P27" s="243">
        <f t="shared" ref="P27:P31" si="30">(M27+N27)/O27</f>
        <v>28.914139807695033</v>
      </c>
      <c r="Q27" s="244">
        <f t="shared" si="13"/>
        <v>-22.970687658163637</v>
      </c>
      <c r="R27" s="244">
        <f t="shared" si="14"/>
        <v>51.88482746585867</v>
      </c>
      <c r="S27" s="97">
        <f t="shared" si="9"/>
        <v>-1846588.2876314789</v>
      </c>
      <c r="U27" s="97">
        <f t="shared" si="15"/>
        <v>3457418.6711556325</v>
      </c>
      <c r="V27" s="97" t="str">
        <f t="shared" si="0"/>
        <v>Winter</v>
      </c>
    </row>
    <row r="28" spans="2:22" hidden="1" outlineLevel="1">
      <c r="B28" s="239">
        <f t="shared" si="4"/>
        <v>46113</v>
      </c>
      <c r="C28" s="97">
        <v>-5327.6396913570352</v>
      </c>
      <c r="D28" s="235">
        <f>IF(F28&lt;&gt;0,VLOOKUP($J28,'Table 1'!$B$13:$C$33,2,FALSE)/12*1000*Study_MW,0)</f>
        <v>0</v>
      </c>
      <c r="E28" s="235">
        <f t="shared" si="26"/>
        <v>-5327.6396913570352</v>
      </c>
      <c r="F28" s="97">
        <v>19567.194991030003</v>
      </c>
      <c r="G28" s="240">
        <f t="shared" si="21"/>
        <v>-0.27227406349245931</v>
      </c>
      <c r="I28" s="241">
        <f t="shared" si="27"/>
        <v>17</v>
      </c>
      <c r="J28" s="238">
        <f t="shared" si="5"/>
        <v>2026</v>
      </c>
      <c r="K28" s="239">
        <f t="shared" si="28"/>
        <v>46113</v>
      </c>
      <c r="L28" s="238">
        <f t="shared" si="18"/>
        <v>2037</v>
      </c>
      <c r="M28" s="97">
        <f t="shared" si="19"/>
        <v>-5297614.8673593132</v>
      </c>
      <c r="N28" s="97">
        <f t="shared" si="12"/>
        <v>10598371.191516126</v>
      </c>
      <c r="O28" s="97">
        <f t="shared" si="29"/>
        <v>199129.89594294003</v>
      </c>
      <c r="P28" s="243">
        <f t="shared" si="30"/>
        <v>26.619590690067579</v>
      </c>
      <c r="Q28" s="244">
        <f t="shared" si="13"/>
        <v>-26.603814772631257</v>
      </c>
      <c r="R28" s="244">
        <f t="shared" si="14"/>
        <v>53.223405462698835</v>
      </c>
      <c r="S28" s="97">
        <f t="shared" si="9"/>
        <v>-2530044.4229385611</v>
      </c>
      <c r="U28" s="97">
        <f t="shared" si="15"/>
        <v>3532790.3971720417</v>
      </c>
      <c r="V28" s="97" t="str">
        <f t="shared" si="0"/>
        <v>Winter</v>
      </c>
    </row>
    <row r="29" spans="2:22" hidden="1" outlineLevel="1">
      <c r="B29" s="239">
        <f t="shared" si="4"/>
        <v>46143</v>
      </c>
      <c r="C29" s="97">
        <v>197735.9831343565</v>
      </c>
      <c r="D29" s="235">
        <f>IF(F29&lt;&gt;0,VLOOKUP($J29,'Table 1'!$B$13:$C$33,2,FALSE)/12*1000*Study_MW,0)</f>
        <v>0</v>
      </c>
      <c r="E29" s="235">
        <f t="shared" si="26"/>
        <v>197735.9831343565</v>
      </c>
      <c r="F29" s="97">
        <v>23252.756424770003</v>
      </c>
      <c r="G29" s="240">
        <f t="shared" si="21"/>
        <v>8.5037652965614949</v>
      </c>
      <c r="I29" s="241">
        <f t="shared" si="27"/>
        <v>18</v>
      </c>
      <c r="J29" s="238">
        <f t="shared" si="5"/>
        <v>2026</v>
      </c>
      <c r="K29" s="239">
        <f t="shared" si="28"/>
        <v>46143</v>
      </c>
      <c r="L29" s="238">
        <f t="shared" si="18"/>
        <v>2038</v>
      </c>
      <c r="M29" s="97">
        <f t="shared" si="19"/>
        <v>-6502630.661044037</v>
      </c>
      <c r="N29" s="97">
        <f t="shared" si="12"/>
        <v>10829415.686047086</v>
      </c>
      <c r="O29" s="97">
        <f t="shared" si="29"/>
        <v>197962.94307640003</v>
      </c>
      <c r="P29" s="243">
        <f t="shared" si="30"/>
        <v>21.85654020779641</v>
      </c>
      <c r="Q29" s="244">
        <f t="shared" si="13"/>
        <v>-32.847716648334888</v>
      </c>
      <c r="R29" s="244">
        <f t="shared" si="14"/>
        <v>54.704256856131302</v>
      </c>
      <c r="S29" s="97">
        <f t="shared" si="9"/>
        <v>-3204925.7228348507</v>
      </c>
      <c r="U29" s="97">
        <f t="shared" si="15"/>
        <v>3609805.2286823625</v>
      </c>
      <c r="V29" s="97" t="str">
        <f t="shared" si="0"/>
        <v>Summer</v>
      </c>
    </row>
    <row r="30" spans="2:22" hidden="1" outlineLevel="1">
      <c r="B30" s="239">
        <f t="shared" si="4"/>
        <v>46174</v>
      </c>
      <c r="C30" s="97">
        <v>603564.1280483033</v>
      </c>
      <c r="D30" s="235">
        <f>IF(F30&lt;&gt;0,VLOOKUP($J30,'Table 1'!$B$13:$C$33,2,FALSE)/12*1000*Study_MW,0)</f>
        <v>0</v>
      </c>
      <c r="E30" s="235">
        <f t="shared" si="26"/>
        <v>603564.1280483033</v>
      </c>
      <c r="F30" s="97">
        <v>27699.54495421</v>
      </c>
      <c r="G30" s="240">
        <f t="shared" si="21"/>
        <v>21.789676655196054</v>
      </c>
      <c r="I30" s="241">
        <f t="shared" si="27"/>
        <v>19</v>
      </c>
      <c r="J30" s="238">
        <f t="shared" si="5"/>
        <v>2026</v>
      </c>
      <c r="K30" s="239">
        <f t="shared" si="28"/>
        <v>46174</v>
      </c>
      <c r="L30" s="238">
        <f t="shared" si="18"/>
        <v>2039</v>
      </c>
      <c r="M30" s="97">
        <f t="shared" si="19"/>
        <v>-7018413.00809702</v>
      </c>
      <c r="N30" s="97">
        <f t="shared" si="12"/>
        <v>11065496.946114808</v>
      </c>
      <c r="O30" s="97">
        <f t="shared" si="29"/>
        <v>197018.61189304001</v>
      </c>
      <c r="P30" s="243">
        <f t="shared" si="30"/>
        <v>20.541632585529133</v>
      </c>
      <c r="Q30" s="244">
        <f t="shared" si="13"/>
        <v>-35.623096420490803</v>
      </c>
      <c r="R30" s="244">
        <f t="shared" si="14"/>
        <v>56.164729006019932</v>
      </c>
      <c r="S30" s="97">
        <f t="shared" si="9"/>
        <v>-3523655.3403720316</v>
      </c>
      <c r="U30" s="97">
        <f t="shared" si="15"/>
        <v>3688498.9820382698</v>
      </c>
      <c r="V30" s="97" t="str">
        <f t="shared" si="0"/>
        <v>Summer</v>
      </c>
    </row>
    <row r="31" spans="2:22" hidden="1" outlineLevel="1">
      <c r="B31" s="239">
        <f t="shared" si="4"/>
        <v>46204</v>
      </c>
      <c r="C31" s="97">
        <v>1000364.304523624</v>
      </c>
      <c r="D31" s="235">
        <f>IF(F31&lt;&gt;0,VLOOKUP($J31,'Table 1'!$B$13:$C$33,2,FALSE)/12*1000*Study_MW,0)</f>
        <v>0</v>
      </c>
      <c r="E31" s="235">
        <f t="shared" si="26"/>
        <v>1000364.304523624</v>
      </c>
      <c r="F31" s="97">
        <v>26567.320554510003</v>
      </c>
      <c r="G31" s="240">
        <f t="shared" si="21"/>
        <v>37.653940391584001</v>
      </c>
      <c r="I31" s="241">
        <f t="shared" si="27"/>
        <v>20</v>
      </c>
      <c r="J31" s="238">
        <f t="shared" si="5"/>
        <v>2026</v>
      </c>
      <c r="K31" s="239">
        <f t="shared" si="28"/>
        <v>46204</v>
      </c>
      <c r="L31" s="238">
        <f t="shared" si="18"/>
        <v>2040</v>
      </c>
      <c r="M31" s="97">
        <f t="shared" si="19"/>
        <v>-7585557.1030721478</v>
      </c>
      <c r="N31" s="97">
        <f t="shared" si="12"/>
        <v>11306724.782907953</v>
      </c>
      <c r="O31" s="97">
        <f t="shared" si="29"/>
        <v>196262.33717591001</v>
      </c>
      <c r="P31" s="243">
        <f t="shared" si="30"/>
        <v>18.960172050231531</v>
      </c>
      <c r="Q31" s="244">
        <f t="shared" si="13"/>
        <v>-38.650090548311418</v>
      </c>
      <c r="R31" s="244">
        <f t="shared" si="14"/>
        <v>57.610262598542946</v>
      </c>
      <c r="S31" s="97">
        <f t="shared" si="9"/>
        <v>-3716108.2749223062</v>
      </c>
      <c r="U31" s="97">
        <f t="shared" si="15"/>
        <v>3768908.2609693175</v>
      </c>
      <c r="V31" s="97" t="str">
        <f t="shared" si="0"/>
        <v>Summer</v>
      </c>
    </row>
    <row r="32" spans="2:22" hidden="1" outlineLevel="1">
      <c r="B32" s="239">
        <f t="shared" si="4"/>
        <v>46235</v>
      </c>
      <c r="C32" s="97">
        <v>1058595.9651759185</v>
      </c>
      <c r="D32" s="235">
        <f>IF(F32&lt;&gt;0,VLOOKUP($J32,'Table 1'!$B$13:$C$33,2,FALSE)/12*1000*Study_MW,0)</f>
        <v>0</v>
      </c>
      <c r="E32" s="235">
        <f t="shared" si="26"/>
        <v>1058595.9651759185</v>
      </c>
      <c r="F32" s="97">
        <v>23383.303694230002</v>
      </c>
      <c r="G32" s="240">
        <f t="shared" si="21"/>
        <v>45.27144577252934</v>
      </c>
      <c r="I32" s="241">
        <f t="shared" si="27"/>
        <v>21</v>
      </c>
      <c r="J32" s="238">
        <f t="shared" si="5"/>
        <v>2026</v>
      </c>
      <c r="K32" s="239">
        <f t="shared" si="28"/>
        <v>46235</v>
      </c>
      <c r="L32" s="238">
        <f t="shared" si="18"/>
        <v>2041</v>
      </c>
      <c r="M32" s="97">
        <f t="shared" si="19"/>
        <v>-7435642.2687064791</v>
      </c>
      <c r="N32" s="97">
        <f t="shared" si="12"/>
        <v>11553211.377756046</v>
      </c>
      <c r="O32" s="97">
        <f t="shared" ref="O32:O35" si="31">SUMIF($J$13:$J$264,L32,$F$13:$F$264)</f>
        <v>195059.27005278002</v>
      </c>
      <c r="P32" s="243">
        <f t="shared" ref="P32:P34" si="32">(M32+N32)/O32</f>
        <v>21.109322863432311</v>
      </c>
      <c r="Q32" s="244">
        <f t="shared" si="13"/>
        <v>-38.119912305088135</v>
      </c>
      <c r="R32" s="244">
        <f t="shared" si="14"/>
        <v>59.229235168520454</v>
      </c>
      <c r="S32" s="97">
        <f t="shared" si="9"/>
        <v>-3658514.9564056075</v>
      </c>
      <c r="U32" s="97">
        <f t="shared" si="15"/>
        <v>3851070.4592520166</v>
      </c>
      <c r="V32" s="97" t="str">
        <f t="shared" si="0"/>
        <v>Summer</v>
      </c>
    </row>
    <row r="33" spans="2:22" hidden="1" outlineLevel="1">
      <c r="B33" s="239">
        <f t="shared" si="4"/>
        <v>46266</v>
      </c>
      <c r="C33" s="97">
        <v>512233.07789320825</v>
      </c>
      <c r="D33" s="235">
        <f>IF(F33&lt;&gt;0,VLOOKUP($J33,'Table 1'!$B$13:$C$33,2,FALSE)/12*1000*Study_MW,0)</f>
        <v>0</v>
      </c>
      <c r="E33" s="235">
        <f t="shared" si="26"/>
        <v>512233.07789320825</v>
      </c>
      <c r="F33" s="97">
        <v>20356.963118739997</v>
      </c>
      <c r="G33" s="240">
        <f t="shared" si="21"/>
        <v>25.162548799907299</v>
      </c>
      <c r="I33" s="241">
        <f t="shared" si="27"/>
        <v>22</v>
      </c>
      <c r="J33" s="238">
        <f t="shared" si="5"/>
        <v>2026</v>
      </c>
      <c r="K33" s="239">
        <f t="shared" si="28"/>
        <v>46266</v>
      </c>
      <c r="L33" s="238">
        <f t="shared" si="18"/>
        <v>2042</v>
      </c>
      <c r="M33" s="97">
        <f t="shared" si="19"/>
        <v>1924821.4178876295</v>
      </c>
      <c r="N33" s="97">
        <f t="shared" si="12"/>
        <v>11805071.386223525</v>
      </c>
      <c r="O33" s="97">
        <f t="shared" si="31"/>
        <v>194254.59724127001</v>
      </c>
      <c r="P33" s="243">
        <f t="shared" si="32"/>
        <v>70.679886082995594</v>
      </c>
      <c r="Q33" s="244">
        <f t="shared" si="13"/>
        <v>9.908756061494616</v>
      </c>
      <c r="R33" s="244">
        <f t="shared" si="14"/>
        <v>60.77113002150098</v>
      </c>
      <c r="S33" s="97">
        <f t="shared" si="9"/>
        <v>1022401.1950818222</v>
      </c>
      <c r="U33" s="97">
        <f t="shared" si="15"/>
        <v>3935023.7954078419</v>
      </c>
      <c r="V33" s="97" t="str">
        <f t="shared" si="0"/>
        <v>Winter</v>
      </c>
    </row>
    <row r="34" spans="2:22" hidden="1" outlineLevel="1">
      <c r="B34" s="239">
        <f t="shared" si="4"/>
        <v>46296</v>
      </c>
      <c r="C34" s="97">
        <v>160649.84057089349</v>
      </c>
      <c r="D34" s="235">
        <f>IF(F34&lt;&gt;0,VLOOKUP($J34,'Table 1'!$B$13:$C$33,2,FALSE)/12*1000*Study_MW,0)</f>
        <v>0</v>
      </c>
      <c r="E34" s="235">
        <f t="shared" si="26"/>
        <v>160649.84057089349</v>
      </c>
      <c r="F34" s="97">
        <v>14838.950198999997</v>
      </c>
      <c r="G34" s="240">
        <f t="shared" si="21"/>
        <v>10.826226816349834</v>
      </c>
      <c r="I34" s="241">
        <f t="shared" si="27"/>
        <v>23</v>
      </c>
      <c r="J34" s="238">
        <f t="shared" si="5"/>
        <v>2026</v>
      </c>
      <c r="K34" s="239">
        <f t="shared" si="28"/>
        <v>46296</v>
      </c>
      <c r="L34" s="238">
        <f t="shared" si="18"/>
        <v>2043</v>
      </c>
      <c r="M34" s="97">
        <f t="shared" si="19"/>
        <v>1804594.0699242239</v>
      </c>
      <c r="N34" s="97">
        <f t="shared" si="12"/>
        <v>12062421.946116915</v>
      </c>
      <c r="O34" s="97">
        <f t="shared" si="31"/>
        <v>193235.03774630002</v>
      </c>
      <c r="P34" s="243">
        <f t="shared" si="32"/>
        <v>71.762430756720562</v>
      </c>
      <c r="Q34" s="244">
        <f t="shared" ref="Q34" si="33">M34/O34</f>
        <v>9.3388553699743184</v>
      </c>
      <c r="R34" s="244">
        <f t="shared" ref="R34" si="34">IFERROR(N34/O34,0)</f>
        <v>62.423575386746244</v>
      </c>
      <c r="S34" s="97">
        <f t="shared" si="9"/>
        <v>880724.02904296538</v>
      </c>
      <c r="U34" s="97">
        <f t="shared" si="15"/>
        <v>4020807.3153723055</v>
      </c>
      <c r="V34" s="97" t="str">
        <f t="shared" si="0"/>
        <v>Winter</v>
      </c>
    </row>
    <row r="35" spans="2:22" hidden="1" outlineLevel="1">
      <c r="B35" s="239">
        <f t="shared" si="4"/>
        <v>46327</v>
      </c>
      <c r="C35" s="97">
        <v>256337.35042043554</v>
      </c>
      <c r="D35" s="235">
        <f>IF(F35&lt;&gt;0,VLOOKUP($J35,'Table 1'!$B$13:$C$33,2,FALSE)/12*1000*Study_MW,0)</f>
        <v>0</v>
      </c>
      <c r="E35" s="235">
        <f t="shared" si="26"/>
        <v>256337.35042043554</v>
      </c>
      <c r="F35" s="97">
        <v>11502.170850349998</v>
      </c>
      <c r="G35" s="240">
        <f t="shared" si="21"/>
        <v>22.285997465655406</v>
      </c>
      <c r="I35" s="241">
        <f t="shared" si="27"/>
        <v>24</v>
      </c>
      <c r="J35" s="238">
        <f t="shared" si="5"/>
        <v>2026</v>
      </c>
      <c r="K35" s="239">
        <f t="shared" si="28"/>
        <v>46327</v>
      </c>
      <c r="L35" s="238">
        <f t="shared" si="18"/>
        <v>2044</v>
      </c>
      <c r="M35" s="97">
        <f t="shared" si="19"/>
        <v>1324245.0113631655</v>
      </c>
      <c r="N35" s="97">
        <f t="shared" si="12"/>
        <v>12325382.741542757</v>
      </c>
      <c r="O35" s="97">
        <f t="shared" si="31"/>
        <v>192099.33088644</v>
      </c>
      <c r="P35" s="243">
        <f t="shared" ref="P35" si="35">(M35+N35)/O35</f>
        <v>71.055050998459407</v>
      </c>
      <c r="Q35" s="244">
        <f t="shared" ref="Q35" si="36">M35/O35</f>
        <v>6.8935430709334238</v>
      </c>
      <c r="R35" s="244">
        <f t="shared" ref="R35" si="37">IFERROR(N35/O35,0)</f>
        <v>64.161507927525975</v>
      </c>
      <c r="S35" s="97">
        <f t="shared" si="9"/>
        <v>771738.32137478888</v>
      </c>
      <c r="U35" s="97">
        <f t="shared" si="15"/>
        <v>4108460.9138475847</v>
      </c>
      <c r="V35" s="97" t="str">
        <f t="shared" si="0"/>
        <v>Winter</v>
      </c>
    </row>
    <row r="36" spans="2:22" hidden="1" outlineLevel="1">
      <c r="B36" s="245">
        <f t="shared" si="4"/>
        <v>46357</v>
      </c>
      <c r="C36" s="246">
        <v>213025.05448026204</v>
      </c>
      <c r="D36" s="247">
        <f>IF(F36&lt;&gt;0,VLOOKUP($J36,'Table 1'!$B$13:$C$33,2,FALSE)/12*1000*Study_MW,0)</f>
        <v>0</v>
      </c>
      <c r="E36" s="247">
        <f t="shared" si="26"/>
        <v>213025.05448026204</v>
      </c>
      <c r="F36" s="246">
        <v>7420.7528105699985</v>
      </c>
      <c r="G36" s="248">
        <f t="shared" si="21"/>
        <v>28.706663584971142</v>
      </c>
      <c r="I36" s="249">
        <f t="shared" si="27"/>
        <v>25</v>
      </c>
      <c r="J36" s="238">
        <f t="shared" si="5"/>
        <v>2026</v>
      </c>
      <c r="K36" s="245">
        <f t="shared" si="28"/>
        <v>46357</v>
      </c>
      <c r="L36" s="238">
        <f t="shared" si="18"/>
        <v>2045</v>
      </c>
      <c r="M36" s="97">
        <f t="shared" si="19"/>
        <v>1353113.5526108828</v>
      </c>
      <c r="N36" s="97">
        <f t="shared" si="12"/>
        <v>12594076.090987111</v>
      </c>
      <c r="O36" s="97">
        <f t="shared" ref="O36" si="38">SUMIF($J$13:$J$264,L36,$F$13:$F$264)</f>
        <v>192099.33088644</v>
      </c>
      <c r="P36" s="243">
        <f t="shared" ref="P36" si="39">(M36+N36)/O36</f>
        <v>72.604051139787202</v>
      </c>
      <c r="Q36" s="244">
        <f t="shared" ref="Q36" si="40">M36/O36</f>
        <v>7.0438223098797739</v>
      </c>
      <c r="R36" s="244">
        <f t="shared" ref="R36" si="41">IFERROR(N36/O36,0)</f>
        <v>65.56022882990743</v>
      </c>
      <c r="S36" s="97">
        <f t="shared" si="9"/>
        <v>788562.21678075939</v>
      </c>
      <c r="U36" s="97">
        <f t="shared" si="15"/>
        <v>4198025.3636623714</v>
      </c>
      <c r="V36" s="97" t="str">
        <f t="shared" si="0"/>
        <v>Winter</v>
      </c>
    </row>
    <row r="37" spans="2:22" hidden="1" outlineLevel="1">
      <c r="B37" s="232">
        <f t="shared" si="4"/>
        <v>46388</v>
      </c>
      <c r="C37" s="233">
        <v>238807.80541925196</v>
      </c>
      <c r="D37" s="234">
        <f>IF(F37&lt;&gt;0,VLOOKUP($J37,'Table 1'!$B$13:$C$33,2,FALSE)/12*1000*Study_MW,0)</f>
        <v>0</v>
      </c>
      <c r="E37" s="234">
        <f t="shared" si="26"/>
        <v>238807.80541925196</v>
      </c>
      <c r="F37" s="233">
        <v>7808.1862644400017</v>
      </c>
      <c r="G37" s="236">
        <f t="shared" si="21"/>
        <v>30.584286456744653</v>
      </c>
      <c r="I37" s="237">
        <f>I25+13</f>
        <v>27</v>
      </c>
      <c r="J37" s="238">
        <f t="shared" si="5"/>
        <v>2027</v>
      </c>
      <c r="K37" s="232">
        <f t="shared" si="28"/>
        <v>46388</v>
      </c>
      <c r="L37" s="238">
        <f t="shared" si="18"/>
        <v>2046</v>
      </c>
      <c r="M37" s="97">
        <f>SUMIF($J$13:$J$276,L37,$C$13:$C$276)</f>
        <v>1382611.4280578</v>
      </c>
      <c r="N37" s="97">
        <f>SUMIF($J$13:$J$276,L37,$D$13:$D$276)</f>
        <v>0</v>
      </c>
      <c r="O37" s="97">
        <f>SUMIF($J$13:$J$276,L37,$F$13:$F$276)</f>
        <v>192099.33088644</v>
      </c>
      <c r="P37" s="243">
        <f t="shared" ref="P37" si="42">(M37+N37)/O37</f>
        <v>7.1973776362351529</v>
      </c>
      <c r="Q37" s="244">
        <f t="shared" ref="Q37" si="43">M37/O37</f>
        <v>7.1973776362351529</v>
      </c>
      <c r="R37" s="244">
        <f t="shared" ref="R37" si="44">IFERROR(N37/O37,0)</f>
        <v>0</v>
      </c>
      <c r="S37" s="97">
        <f t="shared" si="9"/>
        <v>805752.87310657988</v>
      </c>
      <c r="U37" s="97">
        <f t="shared" si="15"/>
        <v>0</v>
      </c>
      <c r="V37" s="97" t="str">
        <f t="shared" si="0"/>
        <v>Winter</v>
      </c>
    </row>
    <row r="38" spans="2:22" hidden="1" outlineLevel="1">
      <c r="B38" s="239">
        <f t="shared" si="4"/>
        <v>46419</v>
      </c>
      <c r="C38" s="97">
        <v>286523.28075490368</v>
      </c>
      <c r="D38" s="235">
        <f>IF(F38&lt;&gt;0,VLOOKUP($J38,'Table 1'!$B$13:$C$33,2,FALSE)/12*1000*Study_MW,0)</f>
        <v>0</v>
      </c>
      <c r="E38" s="235">
        <f t="shared" si="26"/>
        <v>286523.28075490368</v>
      </c>
      <c r="F38" s="97">
        <v>13197.492554160001</v>
      </c>
      <c r="G38" s="240">
        <f t="shared" si="21"/>
        <v>21.710433218966905</v>
      </c>
      <c r="I38" s="241">
        <f t="shared" si="27"/>
        <v>28</v>
      </c>
      <c r="J38" s="238">
        <f t="shared" si="5"/>
        <v>2027</v>
      </c>
      <c r="K38" s="239">
        <f t="shared" si="28"/>
        <v>46419</v>
      </c>
      <c r="L38" s="238">
        <f t="shared" si="18"/>
        <v>2047</v>
      </c>
      <c r="M38" s="97">
        <f>SUMIF($J$13:$J$276,L38,$C$13:$C$276)</f>
        <v>0</v>
      </c>
      <c r="N38" s="97">
        <f>SUMIF($J$13:$J$276,L38,$D$13:$D$276)</f>
        <v>0</v>
      </c>
      <c r="O38" s="97">
        <f>SUMIF($J$13:$J$276,L38,$F$13:$F$276)</f>
        <v>0</v>
      </c>
      <c r="P38" s="243" t="e">
        <f t="shared" ref="P38:P41" si="45">(M38+N38)/O38</f>
        <v>#DIV/0!</v>
      </c>
      <c r="Q38" s="244" t="e">
        <f t="shared" ref="Q38:Q41" si="46">M38/O38</f>
        <v>#DIV/0!</v>
      </c>
      <c r="R38" s="244">
        <f t="shared" ref="R38:R41" si="47">IFERROR(N38/O38,0)</f>
        <v>0</v>
      </c>
      <c r="S38" s="97">
        <f t="shared" si="9"/>
        <v>0</v>
      </c>
      <c r="U38" s="97">
        <f t="shared" si="15"/>
        <v>0</v>
      </c>
      <c r="V38" s="97" t="str">
        <f t="shared" si="0"/>
        <v>Winter</v>
      </c>
    </row>
    <row r="39" spans="2:22" hidden="1" outlineLevel="1">
      <c r="B39" s="239">
        <f t="shared" si="4"/>
        <v>46447</v>
      </c>
      <c r="C39" s="97">
        <v>127239.93418810642</v>
      </c>
      <c r="D39" s="235">
        <f>IF(F39&lt;&gt;0,VLOOKUP($J39,'Table 1'!$B$13:$C$33,2,FALSE)/12*1000*Study_MW,0)</f>
        <v>0</v>
      </c>
      <c r="E39" s="235">
        <f t="shared" si="26"/>
        <v>127239.93418810642</v>
      </c>
      <c r="F39" s="97">
        <v>15010.745307990001</v>
      </c>
      <c r="G39" s="240">
        <f t="shared" si="21"/>
        <v>8.4765900411606125</v>
      </c>
      <c r="I39" s="241">
        <f t="shared" si="27"/>
        <v>29</v>
      </c>
      <c r="J39" s="238">
        <f t="shared" si="5"/>
        <v>2027</v>
      </c>
      <c r="K39" s="239">
        <f t="shared" si="28"/>
        <v>46447</v>
      </c>
      <c r="L39" s="238">
        <f t="shared" si="18"/>
        <v>2048</v>
      </c>
      <c r="M39" s="97">
        <f>SUMIF($J$13:$J$352,L39,$C$13:$C$352)</f>
        <v>0</v>
      </c>
      <c r="N39" s="97">
        <f>SUMIF($J$13:$J$352,L39,$D$13:$D$352)</f>
        <v>0</v>
      </c>
      <c r="O39" s="97">
        <f>SUMIF($J$13:$J$352,L39,$F$13:$F$352)</f>
        <v>0</v>
      </c>
      <c r="P39" s="243" t="e">
        <f t="shared" si="45"/>
        <v>#DIV/0!</v>
      </c>
      <c r="Q39" s="244" t="e">
        <f t="shared" si="46"/>
        <v>#DIV/0!</v>
      </c>
      <c r="R39" s="244">
        <f t="shared" si="47"/>
        <v>0</v>
      </c>
      <c r="S39" s="97">
        <f t="shared" si="9"/>
        <v>0</v>
      </c>
      <c r="U39" s="97">
        <f t="shared" si="15"/>
        <v>0</v>
      </c>
      <c r="V39" s="97" t="str">
        <f t="shared" si="0"/>
        <v>Winter</v>
      </c>
    </row>
    <row r="40" spans="2:22" hidden="1" outlineLevel="1">
      <c r="B40" s="239">
        <f t="shared" si="4"/>
        <v>46478</v>
      </c>
      <c r="C40" s="97">
        <v>196271.01488915287</v>
      </c>
      <c r="D40" s="235">
        <f>IF(F40&lt;&gt;0,VLOOKUP($J40,'Table 1'!$B$13:$C$33,2,FALSE)/12*1000*Study_MW,0)</f>
        <v>0</v>
      </c>
      <c r="E40" s="235">
        <f t="shared" si="26"/>
        <v>196271.01488915287</v>
      </c>
      <c r="F40" s="97">
        <v>19324.798448429996</v>
      </c>
      <c r="G40" s="240">
        <f t="shared" si="21"/>
        <v>10.156432700342005</v>
      </c>
      <c r="I40" s="241">
        <f t="shared" si="27"/>
        <v>30</v>
      </c>
      <c r="J40" s="238">
        <f t="shared" si="5"/>
        <v>2027</v>
      </c>
      <c r="K40" s="239">
        <f t="shared" si="28"/>
        <v>46478</v>
      </c>
      <c r="L40" s="238">
        <f t="shared" si="18"/>
        <v>2049</v>
      </c>
      <c r="M40" s="97">
        <f>SUMIF($J$13:$J$352,L40,$C$13:$C$352)</f>
        <v>0</v>
      </c>
      <c r="N40" s="97">
        <f>SUMIF($J$13:$J$352,L40,$D$13:$D$352)</f>
        <v>0</v>
      </c>
      <c r="O40" s="97">
        <f>SUMIF($J$13:$J$352,L40,$F$13:$F$352)</f>
        <v>0</v>
      </c>
      <c r="P40" s="243" t="e">
        <f t="shared" si="45"/>
        <v>#DIV/0!</v>
      </c>
      <c r="Q40" s="244" t="e">
        <f t="shared" si="46"/>
        <v>#DIV/0!</v>
      </c>
      <c r="R40" s="244">
        <f t="shared" si="47"/>
        <v>0</v>
      </c>
      <c r="S40" s="97">
        <f t="shared" si="9"/>
        <v>0</v>
      </c>
      <c r="T40" s="219"/>
      <c r="U40" s="97">
        <f t="shared" si="15"/>
        <v>0</v>
      </c>
      <c r="V40" s="97" t="str">
        <f t="shared" si="0"/>
        <v>Winter</v>
      </c>
    </row>
    <row r="41" spans="2:22" hidden="1" outlineLevel="1">
      <c r="B41" s="239">
        <f t="shared" si="4"/>
        <v>46508</v>
      </c>
      <c r="C41" s="97">
        <v>317242.93110868533</v>
      </c>
      <c r="D41" s="235">
        <f>IF(F41&lt;&gt;0,VLOOKUP($J41,'Table 1'!$B$13:$C$33,2,FALSE)/12*1000*Study_MW,0)</f>
        <v>0</v>
      </c>
      <c r="E41" s="235">
        <f t="shared" si="26"/>
        <v>317242.93110868533</v>
      </c>
      <c r="F41" s="97">
        <v>23466.222752000001</v>
      </c>
      <c r="G41" s="240">
        <f t="shared" si="21"/>
        <v>13.519130644136029</v>
      </c>
      <c r="I41" s="241">
        <f t="shared" si="27"/>
        <v>31</v>
      </c>
      <c r="J41" s="238">
        <f t="shared" si="5"/>
        <v>2027</v>
      </c>
      <c r="K41" s="239">
        <f t="shared" si="28"/>
        <v>46508</v>
      </c>
      <c r="L41" s="238">
        <f t="shared" si="18"/>
        <v>2050</v>
      </c>
      <c r="M41" s="97">
        <f>SUMIF($J$13:$J$352,L41,$C$13:$C$352)</f>
        <v>0</v>
      </c>
      <c r="N41" s="97">
        <f>SUMIF($J$13:$J$352,L41,$D$13:$D$352)</f>
        <v>0</v>
      </c>
      <c r="O41" s="97">
        <f>SUMIF($J$13:$J$352,L41,$F$13:$F$352)</f>
        <v>0</v>
      </c>
      <c r="P41" s="243" t="e">
        <f t="shared" si="45"/>
        <v>#DIV/0!</v>
      </c>
      <c r="Q41" s="244" t="e">
        <f t="shared" si="46"/>
        <v>#DIV/0!</v>
      </c>
      <c r="R41" s="244">
        <f t="shared" si="47"/>
        <v>0</v>
      </c>
      <c r="S41" s="97">
        <f t="shared" si="9"/>
        <v>0</v>
      </c>
      <c r="T41" s="219"/>
      <c r="U41" s="97">
        <f t="shared" si="15"/>
        <v>0</v>
      </c>
      <c r="V41" s="97" t="str">
        <f t="shared" si="0"/>
        <v>Summer</v>
      </c>
    </row>
    <row r="42" spans="2:22" hidden="1" outlineLevel="1">
      <c r="B42" s="239">
        <f t="shared" si="4"/>
        <v>46539</v>
      </c>
      <c r="C42" s="97">
        <v>572590.85796544969</v>
      </c>
      <c r="D42" s="235">
        <f>IF(F42&lt;&gt;0,VLOOKUP($J42,'Table 1'!$B$13:$C$33,2,FALSE)/12*1000*Study_MW,0)</f>
        <v>0</v>
      </c>
      <c r="E42" s="235">
        <f t="shared" si="26"/>
        <v>572590.85796544969</v>
      </c>
      <c r="F42" s="97">
        <v>27631.144101360005</v>
      </c>
      <c r="G42" s="240">
        <f t="shared" si="21"/>
        <v>20.722661930501342</v>
      </c>
      <c r="I42" s="241">
        <f t="shared" si="27"/>
        <v>32</v>
      </c>
      <c r="J42" s="238">
        <f t="shared" si="5"/>
        <v>2027</v>
      </c>
      <c r="K42" s="239">
        <f t="shared" si="28"/>
        <v>46539</v>
      </c>
      <c r="L42" s="238">
        <f t="shared" si="18"/>
        <v>2051</v>
      </c>
      <c r="P42" s="243"/>
      <c r="Q42" s="244"/>
      <c r="R42" s="244"/>
      <c r="V42" s="97" t="str">
        <f t="shared" si="0"/>
        <v>Summer</v>
      </c>
    </row>
    <row r="43" spans="2:22" hidden="1" outlineLevel="1">
      <c r="B43" s="239">
        <f t="shared" si="4"/>
        <v>46569</v>
      </c>
      <c r="C43" s="97">
        <v>874521.76127050188</v>
      </c>
      <c r="D43" s="235">
        <f>IF(F43&lt;&gt;0,VLOOKUP($J43,'Table 1'!$B$13:$C$33,2,FALSE)/12*1000*Study_MW,0)</f>
        <v>0</v>
      </c>
      <c r="E43" s="235">
        <f t="shared" si="26"/>
        <v>874521.76127050188</v>
      </c>
      <c r="F43" s="97">
        <v>26096.487196050006</v>
      </c>
      <c r="G43" s="240">
        <f t="shared" si="21"/>
        <v>33.5110911557043</v>
      </c>
      <c r="I43" s="241">
        <f t="shared" si="27"/>
        <v>33</v>
      </c>
      <c r="J43" s="238">
        <f t="shared" si="5"/>
        <v>2027</v>
      </c>
      <c r="K43" s="239">
        <f t="shared" si="28"/>
        <v>46569</v>
      </c>
      <c r="V43" s="97" t="str">
        <f t="shared" si="0"/>
        <v>Summer</v>
      </c>
    </row>
    <row r="44" spans="2:22" hidden="1" outlineLevel="1">
      <c r="B44" s="239">
        <f t="shared" si="4"/>
        <v>46600</v>
      </c>
      <c r="C44" s="97">
        <v>896097.91428050085</v>
      </c>
      <c r="D44" s="235">
        <f>IF(F44&lt;&gt;0,VLOOKUP($J44,'Table 1'!$B$13:$C$33,2,FALSE)/12*1000*Study_MW,0)</f>
        <v>0</v>
      </c>
      <c r="E44" s="235">
        <f t="shared" si="26"/>
        <v>896097.91428050085</v>
      </c>
      <c r="F44" s="97">
        <v>23464.918429460002</v>
      </c>
      <c r="G44" s="240">
        <f t="shared" si="21"/>
        <v>38.188835685678654</v>
      </c>
      <c r="I44" s="241">
        <f t="shared" si="27"/>
        <v>34</v>
      </c>
      <c r="J44" s="238">
        <f t="shared" si="5"/>
        <v>2027</v>
      </c>
      <c r="K44" s="239">
        <f t="shared" si="28"/>
        <v>46600</v>
      </c>
      <c r="V44" s="97" t="str">
        <f t="shared" si="0"/>
        <v>Summer</v>
      </c>
    </row>
    <row r="45" spans="2:22" hidden="1" outlineLevel="1">
      <c r="B45" s="239">
        <f t="shared" si="4"/>
        <v>46631</v>
      </c>
      <c r="C45" s="97">
        <v>464431.00932816742</v>
      </c>
      <c r="D45" s="235">
        <f>IF(F45&lt;&gt;0,VLOOKUP($J45,'Table 1'!$B$13:$C$33,2,FALSE)/12*1000*Study_MW,0)</f>
        <v>0</v>
      </c>
      <c r="E45" s="235">
        <f t="shared" si="26"/>
        <v>464431.00932816742</v>
      </c>
      <c r="F45" s="97">
        <v>19784.144322879998</v>
      </c>
      <c r="G45" s="240">
        <f t="shared" si="21"/>
        <v>23.474910097125683</v>
      </c>
      <c r="I45" s="241">
        <f t="shared" si="27"/>
        <v>35</v>
      </c>
      <c r="J45" s="238">
        <f t="shared" si="5"/>
        <v>2027</v>
      </c>
      <c r="K45" s="239">
        <f t="shared" si="28"/>
        <v>46631</v>
      </c>
      <c r="V45" s="97" t="str">
        <f t="shared" si="0"/>
        <v>Winter</v>
      </c>
    </row>
    <row r="46" spans="2:22" hidden="1" outlineLevel="1">
      <c r="B46" s="239">
        <f t="shared" si="4"/>
        <v>46661</v>
      </c>
      <c r="C46" s="97">
        <v>227996.85631206923</v>
      </c>
      <c r="D46" s="235">
        <f>IF(F46&lt;&gt;0,VLOOKUP($J46,'Table 1'!$B$13:$C$33,2,FALSE)/12*1000*Study_MW,0)</f>
        <v>0</v>
      </c>
      <c r="E46" s="235">
        <f t="shared" si="26"/>
        <v>227996.85631206923</v>
      </c>
      <c r="F46" s="97">
        <v>14865.411221200002</v>
      </c>
      <c r="G46" s="240">
        <f t="shared" si="21"/>
        <v>15.337406609170433</v>
      </c>
      <c r="I46" s="241">
        <f t="shared" si="27"/>
        <v>36</v>
      </c>
      <c r="J46" s="238">
        <f t="shared" si="5"/>
        <v>2027</v>
      </c>
      <c r="K46" s="239">
        <f t="shared" si="28"/>
        <v>46661</v>
      </c>
      <c r="V46" s="97" t="str">
        <f t="shared" si="0"/>
        <v>Winter</v>
      </c>
    </row>
    <row r="47" spans="2:22" hidden="1" outlineLevel="1">
      <c r="B47" s="239">
        <f t="shared" si="4"/>
        <v>46692</v>
      </c>
      <c r="C47" s="97">
        <v>279904.69106248929</v>
      </c>
      <c r="D47" s="235">
        <f>IF(F47&lt;&gt;0,VLOOKUP($J47,'Table 1'!$B$13:$C$33,2,FALSE)/12*1000*Study_MW,0)</f>
        <v>0</v>
      </c>
      <c r="E47" s="235">
        <f t="shared" si="26"/>
        <v>279904.69106248929</v>
      </c>
      <c r="F47" s="97">
        <v>11233.356253030001</v>
      </c>
      <c r="G47" s="240">
        <f t="shared" si="21"/>
        <v>24.91728070913712</v>
      </c>
      <c r="I47" s="241">
        <f t="shared" si="27"/>
        <v>37</v>
      </c>
      <c r="J47" s="238">
        <f t="shared" si="5"/>
        <v>2027</v>
      </c>
      <c r="K47" s="239">
        <f t="shared" si="28"/>
        <v>46692</v>
      </c>
      <c r="V47" s="97" t="str">
        <f t="shared" si="0"/>
        <v>Winter</v>
      </c>
    </row>
    <row r="48" spans="2:22" hidden="1" outlineLevel="1">
      <c r="B48" s="245">
        <f t="shared" si="4"/>
        <v>46722</v>
      </c>
      <c r="C48" s="246">
        <v>247079.50504152541</v>
      </c>
      <c r="D48" s="247">
        <f>IF(F48&lt;&gt;0,VLOOKUP($J48,'Table 1'!$B$13:$C$33,2,FALSE)/12*1000*Study_MW,0)</f>
        <v>0</v>
      </c>
      <c r="E48" s="247">
        <f t="shared" si="26"/>
        <v>247079.50504152541</v>
      </c>
      <c r="F48" s="246">
        <v>7305.4199221300005</v>
      </c>
      <c r="G48" s="248">
        <f t="shared" si="21"/>
        <v>33.821396671950083</v>
      </c>
      <c r="I48" s="249">
        <f t="shared" si="27"/>
        <v>38</v>
      </c>
      <c r="J48" s="238">
        <f t="shared" si="5"/>
        <v>2027</v>
      </c>
      <c r="K48" s="245">
        <f t="shared" si="28"/>
        <v>46722</v>
      </c>
      <c r="V48" s="97" t="str">
        <f t="shared" si="0"/>
        <v>Winter</v>
      </c>
    </row>
    <row r="49" spans="2:22" hidden="1" outlineLevel="1">
      <c r="B49" s="232">
        <f t="shared" si="4"/>
        <v>46753</v>
      </c>
      <c r="C49" s="233">
        <v>294733.21331288025</v>
      </c>
      <c r="D49" s="234">
        <f>IF(F49&lt;&gt;0,VLOOKUP($J49,'Table 1'!$B$13:$C$33,2,FALSE)/12*1000*Study_MW,0)</f>
        <v>0</v>
      </c>
      <c r="E49" s="234">
        <f t="shared" si="26"/>
        <v>294733.21331288025</v>
      </c>
      <c r="F49" s="233">
        <v>7942.3963492300018</v>
      </c>
      <c r="G49" s="236">
        <f t="shared" si="21"/>
        <v>37.108852335410582</v>
      </c>
      <c r="I49" s="237">
        <f>I37+13</f>
        <v>40</v>
      </c>
      <c r="J49" s="238">
        <f t="shared" si="5"/>
        <v>2028</v>
      </c>
      <c r="K49" s="232">
        <f t="shared" si="28"/>
        <v>46753</v>
      </c>
      <c r="V49" s="97" t="str">
        <f t="shared" si="0"/>
        <v>Winter</v>
      </c>
    </row>
    <row r="50" spans="2:22" hidden="1" outlineLevel="1">
      <c r="B50" s="239">
        <f t="shared" si="4"/>
        <v>46784</v>
      </c>
      <c r="C50" s="97">
        <v>318743.33725297038</v>
      </c>
      <c r="D50" s="235">
        <f>IF(F50&lt;&gt;0,VLOOKUP($J50,'Table 1'!$B$13:$C$33,2,FALSE)/12*1000*Study_MW,0)</f>
        <v>0</v>
      </c>
      <c r="E50" s="235">
        <f t="shared" si="26"/>
        <v>318743.33725297038</v>
      </c>
      <c r="F50" s="97">
        <v>13253.555115520001</v>
      </c>
      <c r="G50" s="240">
        <f t="shared" si="21"/>
        <v>24.049648149100751</v>
      </c>
      <c r="I50" s="241">
        <f t="shared" si="27"/>
        <v>41</v>
      </c>
      <c r="J50" s="238">
        <f t="shared" si="5"/>
        <v>2028</v>
      </c>
      <c r="K50" s="239">
        <f t="shared" si="28"/>
        <v>46784</v>
      </c>
      <c r="V50" s="97" t="str">
        <f t="shared" si="0"/>
        <v>Winter</v>
      </c>
    </row>
    <row r="51" spans="2:22" hidden="1" outlineLevel="1">
      <c r="B51" s="239">
        <f t="shared" si="4"/>
        <v>46813</v>
      </c>
      <c r="C51" s="97">
        <v>150157.21698210473</v>
      </c>
      <c r="D51" s="235">
        <f>IF(F51&lt;&gt;0,VLOOKUP($J51,'Table 1'!$B$13:$C$33,2,FALSE)/12*1000*Study_MW,0)</f>
        <v>0</v>
      </c>
      <c r="E51" s="235">
        <f t="shared" si="26"/>
        <v>150157.21698210473</v>
      </c>
      <c r="F51" s="97">
        <v>15729.407847569999</v>
      </c>
      <c r="G51" s="240">
        <f t="shared" si="21"/>
        <v>9.5462727165092982</v>
      </c>
      <c r="I51" s="241">
        <f t="shared" si="27"/>
        <v>42</v>
      </c>
      <c r="J51" s="238">
        <f t="shared" si="5"/>
        <v>2028</v>
      </c>
      <c r="K51" s="239">
        <f t="shared" si="28"/>
        <v>46813</v>
      </c>
      <c r="V51" s="97" t="str">
        <f t="shared" si="0"/>
        <v>Winter</v>
      </c>
    </row>
    <row r="52" spans="2:22" hidden="1" outlineLevel="1">
      <c r="B52" s="239">
        <f t="shared" si="4"/>
        <v>46844</v>
      </c>
      <c r="C52" s="97">
        <v>233812.35641189868</v>
      </c>
      <c r="D52" s="235">
        <f>IF(F52&lt;&gt;0,VLOOKUP($J52,'Table 1'!$B$13:$C$33,2,FALSE)/12*1000*Study_MW,0)</f>
        <v>0</v>
      </c>
      <c r="E52" s="235">
        <f t="shared" si="26"/>
        <v>233812.35641189868</v>
      </c>
      <c r="F52" s="97">
        <v>18908.50663267</v>
      </c>
      <c r="G52" s="240">
        <f t="shared" si="21"/>
        <v>12.365458624210923</v>
      </c>
      <c r="I52" s="241">
        <f t="shared" si="27"/>
        <v>43</v>
      </c>
      <c r="J52" s="238">
        <f t="shared" si="5"/>
        <v>2028</v>
      </c>
      <c r="K52" s="239">
        <f t="shared" si="28"/>
        <v>46844</v>
      </c>
      <c r="V52" s="97" t="str">
        <f t="shared" si="0"/>
        <v>Winter</v>
      </c>
    </row>
    <row r="53" spans="2:22" hidden="1" outlineLevel="1">
      <c r="B53" s="239">
        <f t="shared" si="4"/>
        <v>46874</v>
      </c>
      <c r="C53" s="97">
        <v>357684.76867166103</v>
      </c>
      <c r="D53" s="235">
        <f>IF(F53&lt;&gt;0,VLOOKUP($J53,'Table 1'!$B$13:$C$33,2,FALSE)/12*1000*Study_MW,0)</f>
        <v>0</v>
      </c>
      <c r="E53" s="235">
        <f t="shared" si="26"/>
        <v>357684.76867166103</v>
      </c>
      <c r="F53" s="97">
        <v>24188.308919890002</v>
      </c>
      <c r="G53" s="240">
        <f t="shared" si="21"/>
        <v>14.787506222790858</v>
      </c>
      <c r="I53" s="241">
        <f t="shared" si="27"/>
        <v>44</v>
      </c>
      <c r="J53" s="238">
        <f t="shared" si="5"/>
        <v>2028</v>
      </c>
      <c r="K53" s="239">
        <f t="shared" si="28"/>
        <v>46874</v>
      </c>
      <c r="V53" s="97" t="str">
        <f t="shared" si="0"/>
        <v>Summer</v>
      </c>
    </row>
    <row r="54" spans="2:22" hidden="1" outlineLevel="1">
      <c r="B54" s="239">
        <f t="shared" si="4"/>
        <v>46905</v>
      </c>
      <c r="C54" s="97">
        <v>530473.68591104168</v>
      </c>
      <c r="D54" s="235">
        <f>IF(F54&lt;&gt;0,VLOOKUP($J54,'Table 1'!$B$13:$C$33,2,FALSE)/12*1000*Study_MW,0)</f>
        <v>0</v>
      </c>
      <c r="E54" s="235">
        <f t="shared" si="26"/>
        <v>530473.68591104168</v>
      </c>
      <c r="F54" s="97">
        <v>27431.77225387</v>
      </c>
      <c r="G54" s="240">
        <f t="shared" si="21"/>
        <v>19.337929791838508</v>
      </c>
      <c r="I54" s="241">
        <f t="shared" si="27"/>
        <v>45</v>
      </c>
      <c r="J54" s="238">
        <f t="shared" si="5"/>
        <v>2028</v>
      </c>
      <c r="K54" s="239">
        <f t="shared" si="28"/>
        <v>46905</v>
      </c>
      <c r="V54" s="97" t="str">
        <f t="shared" si="0"/>
        <v>Summer</v>
      </c>
    </row>
    <row r="55" spans="2:22" hidden="1" outlineLevel="1">
      <c r="B55" s="239">
        <f t="shared" si="4"/>
        <v>46935</v>
      </c>
      <c r="C55" s="97">
        <v>942935.47616469732</v>
      </c>
      <c r="D55" s="235">
        <f>IF(F55&lt;&gt;0,VLOOKUP($J55,'Table 1'!$B$13:$C$33,2,FALSE)/12*1000*Study_MW,0)</f>
        <v>0</v>
      </c>
      <c r="E55" s="235">
        <f t="shared" si="26"/>
        <v>942935.47616469732</v>
      </c>
      <c r="F55" s="97">
        <v>25609.493612790007</v>
      </c>
      <c r="G55" s="240">
        <f t="shared" si="21"/>
        <v>36.819762640436288</v>
      </c>
      <c r="I55" s="241">
        <f t="shared" si="27"/>
        <v>46</v>
      </c>
      <c r="J55" s="238">
        <f t="shared" si="5"/>
        <v>2028</v>
      </c>
      <c r="K55" s="239">
        <f t="shared" si="28"/>
        <v>46935</v>
      </c>
      <c r="V55" s="97" t="str">
        <f t="shared" si="0"/>
        <v>Summer</v>
      </c>
    </row>
    <row r="56" spans="2:22" hidden="1" outlineLevel="1">
      <c r="B56" s="239">
        <f t="shared" si="4"/>
        <v>46966</v>
      </c>
      <c r="C56" s="97">
        <v>988160.13858377119</v>
      </c>
      <c r="D56" s="235">
        <f>IF(F56&lt;&gt;0,VLOOKUP($J56,'Table 1'!$B$13:$C$33,2,FALSE)/12*1000*Study_MW,0)</f>
        <v>0</v>
      </c>
      <c r="E56" s="235">
        <f t="shared" si="26"/>
        <v>988160.13858377119</v>
      </c>
      <c r="F56" s="97">
        <v>23597.426417670005</v>
      </c>
      <c r="G56" s="240">
        <f t="shared" si="21"/>
        <v>41.875758868510609</v>
      </c>
      <c r="I56" s="241">
        <f t="shared" si="27"/>
        <v>47</v>
      </c>
      <c r="J56" s="238">
        <f t="shared" si="5"/>
        <v>2028</v>
      </c>
      <c r="K56" s="239">
        <f t="shared" si="28"/>
        <v>46966</v>
      </c>
      <c r="V56" s="97" t="str">
        <f t="shared" si="0"/>
        <v>Summer</v>
      </c>
    </row>
    <row r="57" spans="2:22" hidden="1" outlineLevel="1">
      <c r="B57" s="239">
        <f t="shared" si="4"/>
        <v>46997</v>
      </c>
      <c r="C57" s="97">
        <v>591638.43937085767</v>
      </c>
      <c r="D57" s="235">
        <f>IF(F57&lt;&gt;0,VLOOKUP($J57,'Table 1'!$B$13:$C$33,2,FALSE)/12*1000*Study_MW,0)</f>
        <v>0</v>
      </c>
      <c r="E57" s="235">
        <f t="shared" si="26"/>
        <v>591638.43937085767</v>
      </c>
      <c r="F57" s="97">
        <v>18760.44575626</v>
      </c>
      <c r="G57" s="240">
        <f t="shared" si="21"/>
        <v>31.536480905494439</v>
      </c>
      <c r="I57" s="241">
        <f t="shared" si="27"/>
        <v>48</v>
      </c>
      <c r="J57" s="238">
        <f t="shared" si="5"/>
        <v>2028</v>
      </c>
      <c r="K57" s="239">
        <f t="shared" si="28"/>
        <v>46997</v>
      </c>
      <c r="V57" s="97" t="str">
        <f t="shared" si="0"/>
        <v>Winter</v>
      </c>
    </row>
    <row r="58" spans="2:22" hidden="1" outlineLevel="1">
      <c r="B58" s="239">
        <f t="shared" si="4"/>
        <v>47027</v>
      </c>
      <c r="C58" s="97">
        <v>310352.01393862918</v>
      </c>
      <c r="D58" s="235">
        <f>IF(F58&lt;&gt;0,VLOOKUP($J58,'Table 1'!$B$13:$C$33,2,FALSE)/12*1000*Study_MW,0)</f>
        <v>0</v>
      </c>
      <c r="E58" s="235">
        <f t="shared" si="26"/>
        <v>310352.01393862918</v>
      </c>
      <c r="F58" s="97">
        <v>15057.580032460002</v>
      </c>
      <c r="G58" s="240">
        <f t="shared" si="21"/>
        <v>20.611015400190176</v>
      </c>
      <c r="I58" s="241">
        <f t="shared" si="27"/>
        <v>49</v>
      </c>
      <c r="J58" s="238">
        <f t="shared" si="5"/>
        <v>2028</v>
      </c>
      <c r="K58" s="239">
        <f t="shared" si="28"/>
        <v>47027</v>
      </c>
      <c r="V58" s="97" t="str">
        <f t="shared" si="0"/>
        <v>Winter</v>
      </c>
    </row>
    <row r="59" spans="2:22" hidden="1" outlineLevel="1">
      <c r="B59" s="239">
        <f t="shared" si="4"/>
        <v>47058</v>
      </c>
      <c r="C59" s="97">
        <v>330506.91862009262</v>
      </c>
      <c r="D59" s="235">
        <f>IF(F59&lt;&gt;0,VLOOKUP($J59,'Table 1'!$B$13:$C$33,2,FALSE)/12*1000*Study_MW,0)</f>
        <v>0</v>
      </c>
      <c r="E59" s="235">
        <f t="shared" si="26"/>
        <v>330506.91862009262</v>
      </c>
      <c r="F59" s="97">
        <v>10802.87470952</v>
      </c>
      <c r="G59" s="240">
        <f t="shared" si="21"/>
        <v>30.594348958692859</v>
      </c>
      <c r="I59" s="241">
        <f t="shared" si="27"/>
        <v>50</v>
      </c>
      <c r="J59" s="238">
        <f t="shared" si="5"/>
        <v>2028</v>
      </c>
      <c r="K59" s="239">
        <f t="shared" si="28"/>
        <v>47058</v>
      </c>
      <c r="V59" s="97" t="str">
        <f t="shared" si="0"/>
        <v>Winter</v>
      </c>
    </row>
    <row r="60" spans="2:22" hidden="1" outlineLevel="1">
      <c r="B60" s="245">
        <f t="shared" si="4"/>
        <v>47088</v>
      </c>
      <c r="C60" s="246">
        <v>282783.53774332209</v>
      </c>
      <c r="D60" s="247">
        <f>IF(F60&lt;&gt;0,VLOOKUP($J60,'Table 1'!$B$13:$C$33,2,FALSE)/12*1000*Study_MW,0)</f>
        <v>0</v>
      </c>
      <c r="E60" s="247">
        <f t="shared" si="26"/>
        <v>282783.53774332209</v>
      </c>
      <c r="F60" s="246">
        <v>6911.2707448599995</v>
      </c>
      <c r="G60" s="248">
        <f t="shared" si="21"/>
        <v>40.916287059602148</v>
      </c>
      <c r="I60" s="249">
        <f t="shared" si="27"/>
        <v>51</v>
      </c>
      <c r="J60" s="238">
        <f t="shared" si="5"/>
        <v>2028</v>
      </c>
      <c r="K60" s="245">
        <f t="shared" si="28"/>
        <v>47088</v>
      </c>
      <c r="V60" s="97" t="str">
        <f t="shared" si="0"/>
        <v>Winter</v>
      </c>
    </row>
    <row r="61" spans="2:22" hidden="1" outlineLevel="1">
      <c r="B61" s="232">
        <f t="shared" si="4"/>
        <v>47119</v>
      </c>
      <c r="C61" s="233">
        <v>282644.94307226781</v>
      </c>
      <c r="D61" s="234">
        <f>IF(F61&lt;&gt;0,VLOOKUP($J61,'Table 1'!$B$13:$C$33,2,FALSE)/12*1000*Study_MW,0)</f>
        <v>0</v>
      </c>
      <c r="E61" s="234">
        <f t="shared" si="26"/>
        <v>282644.94307226781</v>
      </c>
      <c r="F61" s="233">
        <v>7840.8388459899998</v>
      </c>
      <c r="G61" s="236">
        <f t="shared" si="21"/>
        <v>36.047793944498615</v>
      </c>
      <c r="I61" s="237">
        <f>I49+13</f>
        <v>53</v>
      </c>
      <c r="J61" s="238">
        <f t="shared" si="5"/>
        <v>2029</v>
      </c>
      <c r="K61" s="232">
        <f t="shared" si="28"/>
        <v>47119</v>
      </c>
      <c r="V61" s="97" t="str">
        <f t="shared" si="0"/>
        <v>Winter</v>
      </c>
    </row>
    <row r="62" spans="2:22" hidden="1" outlineLevel="1">
      <c r="B62" s="239">
        <f t="shared" si="4"/>
        <v>47150</v>
      </c>
      <c r="C62" s="97">
        <v>439480.73143974034</v>
      </c>
      <c r="D62" s="235">
        <f>IF(F62&lt;&gt;0,VLOOKUP($J62,'Table 1'!$B$13:$C$33,2,FALSE)/12*1000*Study_MW,0)</f>
        <v>0</v>
      </c>
      <c r="E62" s="235">
        <f t="shared" si="26"/>
        <v>439480.73143974034</v>
      </c>
      <c r="F62" s="97">
        <v>13082.984383779998</v>
      </c>
      <c r="G62" s="240">
        <f t="shared" si="21"/>
        <v>33.591779868253845</v>
      </c>
      <c r="I62" s="241">
        <f t="shared" si="27"/>
        <v>54</v>
      </c>
      <c r="J62" s="238">
        <f t="shared" si="5"/>
        <v>2029</v>
      </c>
      <c r="K62" s="239">
        <f t="shared" si="28"/>
        <v>47150</v>
      </c>
      <c r="V62" s="97" t="str">
        <f t="shared" si="0"/>
        <v>Winter</v>
      </c>
    </row>
    <row r="63" spans="2:22" hidden="1" outlineLevel="1">
      <c r="B63" s="239">
        <f t="shared" si="4"/>
        <v>47178</v>
      </c>
      <c r="C63" s="97">
        <v>256203.22937765377</v>
      </c>
      <c r="D63" s="235">
        <f>IF(F63&lt;&gt;0,VLOOKUP($J63,'Table 1'!$B$13:$C$33,2,FALSE)/12*1000*Study_MW,0)</f>
        <v>0</v>
      </c>
      <c r="E63" s="235">
        <f t="shared" si="26"/>
        <v>256203.22937765377</v>
      </c>
      <c r="F63" s="97">
        <v>15888.300594010001</v>
      </c>
      <c r="G63" s="240">
        <f t="shared" si="21"/>
        <v>16.125275819255595</v>
      </c>
      <c r="I63" s="241">
        <f t="shared" si="27"/>
        <v>55</v>
      </c>
      <c r="J63" s="238">
        <f t="shared" si="5"/>
        <v>2029</v>
      </c>
      <c r="K63" s="239">
        <f t="shared" si="28"/>
        <v>47178</v>
      </c>
      <c r="V63" s="97" t="str">
        <f t="shared" si="0"/>
        <v>Winter</v>
      </c>
    </row>
    <row r="64" spans="2:22" hidden="1" outlineLevel="1">
      <c r="B64" s="239">
        <f t="shared" si="4"/>
        <v>47209</v>
      </c>
      <c r="C64" s="97">
        <v>226515.73917837458</v>
      </c>
      <c r="D64" s="235">
        <f>IF(F64&lt;&gt;0,VLOOKUP($J64,'Table 1'!$B$13:$C$33,2,FALSE)/12*1000*Study_MW,0)</f>
        <v>0</v>
      </c>
      <c r="E64" s="235">
        <f t="shared" si="26"/>
        <v>226515.73917837458</v>
      </c>
      <c r="F64" s="97">
        <v>19189.762663399997</v>
      </c>
      <c r="G64" s="240">
        <f t="shared" si="21"/>
        <v>11.803988572010878</v>
      </c>
      <c r="I64" s="241">
        <f t="shared" si="27"/>
        <v>56</v>
      </c>
      <c r="J64" s="238">
        <f t="shared" si="5"/>
        <v>2029</v>
      </c>
      <c r="K64" s="239">
        <f t="shared" si="28"/>
        <v>47209</v>
      </c>
      <c r="V64" s="97" t="str">
        <f t="shared" si="0"/>
        <v>Winter</v>
      </c>
    </row>
    <row r="65" spans="2:22" hidden="1" outlineLevel="1">
      <c r="B65" s="239">
        <f t="shared" si="4"/>
        <v>47239</v>
      </c>
      <c r="C65" s="97">
        <v>419993.56232486025</v>
      </c>
      <c r="D65" s="235">
        <f>IF(F65&lt;&gt;0,VLOOKUP($J65,'Table 1'!$B$13:$C$33,2,FALSE)/12*1000*Study_MW,0)</f>
        <v>0</v>
      </c>
      <c r="E65" s="235">
        <f t="shared" si="26"/>
        <v>419993.56232486025</v>
      </c>
      <c r="F65" s="97">
        <v>23988.111134000002</v>
      </c>
      <c r="G65" s="240">
        <f t="shared" si="21"/>
        <v>17.508404891853882</v>
      </c>
      <c r="I65" s="241">
        <f t="shared" si="27"/>
        <v>57</v>
      </c>
      <c r="J65" s="238">
        <f t="shared" si="5"/>
        <v>2029</v>
      </c>
      <c r="K65" s="239">
        <f t="shared" si="28"/>
        <v>47239</v>
      </c>
      <c r="V65" s="97" t="str">
        <f t="shared" si="0"/>
        <v>Summer</v>
      </c>
    </row>
    <row r="66" spans="2:22" hidden="1" outlineLevel="1">
      <c r="B66" s="239">
        <f t="shared" si="4"/>
        <v>47270</v>
      </c>
      <c r="C66" s="97">
        <v>735734.72459936608</v>
      </c>
      <c r="D66" s="235">
        <f>IF(F66&lt;&gt;0,VLOOKUP($J66,'Table 1'!$B$13:$C$33,2,FALSE)/12*1000*Study_MW,0)</f>
        <v>0</v>
      </c>
      <c r="E66" s="235">
        <f t="shared" si="26"/>
        <v>735734.72459936608</v>
      </c>
      <c r="F66" s="97">
        <v>27418.161138869997</v>
      </c>
      <c r="G66" s="240">
        <f t="shared" si="21"/>
        <v>26.833846401038709</v>
      </c>
      <c r="I66" s="241">
        <f t="shared" si="27"/>
        <v>58</v>
      </c>
      <c r="J66" s="238">
        <f t="shared" si="5"/>
        <v>2029</v>
      </c>
      <c r="K66" s="239">
        <f t="shared" si="28"/>
        <v>47270</v>
      </c>
      <c r="V66" s="97" t="str">
        <f t="shared" si="0"/>
        <v>Summer</v>
      </c>
    </row>
    <row r="67" spans="2:22" hidden="1" outlineLevel="1">
      <c r="B67" s="239">
        <f t="shared" si="4"/>
        <v>47300</v>
      </c>
      <c r="C67" s="97">
        <v>1022804.0311824152</v>
      </c>
      <c r="D67" s="235">
        <f>IF(F67&lt;&gt;0,VLOOKUP($J67,'Table 1'!$B$13:$C$33,2,FALSE)/12*1000*Study_MW,0)</f>
        <v>0</v>
      </c>
      <c r="E67" s="235">
        <f t="shared" si="26"/>
        <v>1022804.0311824152</v>
      </c>
      <c r="F67" s="97">
        <v>25423.350393540004</v>
      </c>
      <c r="G67" s="240">
        <f t="shared" si="21"/>
        <v>40.230890710702965</v>
      </c>
      <c r="I67" s="241">
        <f t="shared" si="27"/>
        <v>59</v>
      </c>
      <c r="J67" s="238">
        <f t="shared" si="5"/>
        <v>2029</v>
      </c>
      <c r="K67" s="239">
        <f t="shared" si="28"/>
        <v>47300</v>
      </c>
      <c r="V67" s="97" t="str">
        <f t="shared" si="0"/>
        <v>Summer</v>
      </c>
    </row>
    <row r="68" spans="2:22" hidden="1" outlineLevel="1">
      <c r="B68" s="239">
        <f t="shared" si="4"/>
        <v>47331</v>
      </c>
      <c r="C68" s="97">
        <v>958897.32600837306</v>
      </c>
      <c r="D68" s="235">
        <f>IF(F68&lt;&gt;0,VLOOKUP($J68,'Table 1'!$B$13:$C$33,2,FALSE)/12*1000*Study_MW,0)</f>
        <v>0</v>
      </c>
      <c r="E68" s="235">
        <f t="shared" si="26"/>
        <v>958897.32600837306</v>
      </c>
      <c r="F68" s="97">
        <v>23196.192257989998</v>
      </c>
      <c r="G68" s="240">
        <f t="shared" si="21"/>
        <v>41.338566060473909</v>
      </c>
      <c r="I68" s="241">
        <f t="shared" si="27"/>
        <v>60</v>
      </c>
      <c r="J68" s="238">
        <f t="shared" si="5"/>
        <v>2029</v>
      </c>
      <c r="K68" s="239">
        <f t="shared" si="28"/>
        <v>47331</v>
      </c>
      <c r="V68" s="97" t="str">
        <f t="shared" si="0"/>
        <v>Summer</v>
      </c>
    </row>
    <row r="69" spans="2:22" hidden="1" outlineLevel="1">
      <c r="B69" s="239">
        <f t="shared" si="4"/>
        <v>47362</v>
      </c>
      <c r="C69" s="97">
        <v>687632.91483091598</v>
      </c>
      <c r="D69" s="235">
        <f>IF(F69&lt;&gt;0,VLOOKUP($J69,'Table 1'!$B$13:$C$33,2,FALSE)/12*1000*Study_MW,0)</f>
        <v>0</v>
      </c>
      <c r="E69" s="235">
        <f t="shared" si="26"/>
        <v>687632.91483091598</v>
      </c>
      <c r="F69" s="97">
        <v>18754.250387450003</v>
      </c>
      <c r="G69" s="240">
        <f t="shared" si="21"/>
        <v>36.665443866051142</v>
      </c>
      <c r="I69" s="241">
        <f t="shared" si="27"/>
        <v>61</v>
      </c>
      <c r="J69" s="238">
        <f t="shared" si="5"/>
        <v>2029</v>
      </c>
      <c r="K69" s="239">
        <f t="shared" si="28"/>
        <v>47362</v>
      </c>
      <c r="V69" s="97" t="str">
        <f t="shared" si="0"/>
        <v>Winter</v>
      </c>
    </row>
    <row r="70" spans="2:22" hidden="1" outlineLevel="1">
      <c r="B70" s="239">
        <f t="shared" si="4"/>
        <v>47392</v>
      </c>
      <c r="C70" s="97">
        <v>380101.01901291998</v>
      </c>
      <c r="D70" s="235">
        <f>IF(F70&lt;&gt;0,VLOOKUP($J70,'Table 1'!$B$13:$C$33,2,FALSE)/12*1000*Study_MW,0)</f>
        <v>0</v>
      </c>
      <c r="E70" s="235">
        <f t="shared" si="26"/>
        <v>380101.01901291998</v>
      </c>
      <c r="F70" s="97">
        <v>14632.294025819996</v>
      </c>
      <c r="G70" s="240">
        <f t="shared" si="21"/>
        <v>25.976857650768746</v>
      </c>
      <c r="I70" s="241">
        <f t="shared" si="27"/>
        <v>62</v>
      </c>
      <c r="J70" s="238">
        <f t="shared" si="5"/>
        <v>2029</v>
      </c>
      <c r="K70" s="239">
        <f t="shared" si="28"/>
        <v>47392</v>
      </c>
      <c r="V70" s="97" t="str">
        <f t="shared" si="0"/>
        <v>Winter</v>
      </c>
    </row>
    <row r="71" spans="2:22" hidden="1" outlineLevel="1">
      <c r="B71" s="239">
        <f t="shared" si="4"/>
        <v>47423</v>
      </c>
      <c r="C71" s="97">
        <v>319937.31957660202</v>
      </c>
      <c r="D71" s="235">
        <f>IF(F71&lt;&gt;0,VLOOKUP($J71,'Table 1'!$B$13:$C$33,2,FALSE)/12*1000*Study_MW,0)</f>
        <v>0</v>
      </c>
      <c r="E71" s="235">
        <f t="shared" si="26"/>
        <v>319937.31957660202</v>
      </c>
      <c r="F71" s="97">
        <v>10601.717656710001</v>
      </c>
      <c r="G71" s="240">
        <f t="shared" si="21"/>
        <v>30.177875881660405</v>
      </c>
      <c r="I71" s="241">
        <f t="shared" si="27"/>
        <v>63</v>
      </c>
      <c r="J71" s="238">
        <f t="shared" si="5"/>
        <v>2029</v>
      </c>
      <c r="K71" s="239">
        <f t="shared" si="28"/>
        <v>47423</v>
      </c>
      <c r="V71" s="97" t="str">
        <f t="shared" si="0"/>
        <v>Winter</v>
      </c>
    </row>
    <row r="72" spans="2:22" hidden="1" outlineLevel="1">
      <c r="B72" s="245">
        <f t="shared" si="4"/>
        <v>47453</v>
      </c>
      <c r="C72" s="246">
        <v>297855.3213394116</v>
      </c>
      <c r="D72" s="247">
        <f>IF(F72&lt;&gt;0,VLOOKUP($J72,'Table 1'!$B$13:$C$33,2,FALSE)/12*1000*Study_MW,0)</f>
        <v>0</v>
      </c>
      <c r="E72" s="247">
        <f t="shared" si="26"/>
        <v>297855.3213394116</v>
      </c>
      <c r="F72" s="246">
        <v>7120.3704245100016</v>
      </c>
      <c r="G72" s="248">
        <f t="shared" si="21"/>
        <v>41.831436228952782</v>
      </c>
      <c r="I72" s="249">
        <f t="shared" si="27"/>
        <v>64</v>
      </c>
      <c r="J72" s="238">
        <f t="shared" si="5"/>
        <v>2029</v>
      </c>
      <c r="K72" s="245">
        <f t="shared" si="28"/>
        <v>47453</v>
      </c>
      <c r="V72" s="97" t="str">
        <f t="shared" si="0"/>
        <v>Winter</v>
      </c>
    </row>
    <row r="73" spans="2:22" hidden="1" outlineLevel="1">
      <c r="B73" s="232">
        <f t="shared" si="4"/>
        <v>47484</v>
      </c>
      <c r="C73" s="233">
        <v>304199.89262044692</v>
      </c>
      <c r="D73" s="234">
        <f>IF(F73&lt;&gt;0,VLOOKUP($J73,'Table 1'!$B$13:$C$33,2,FALSE)/12*1000*Study_MW,0)</f>
        <v>0</v>
      </c>
      <c r="E73" s="234">
        <f t="shared" si="26"/>
        <v>304199.89262044692</v>
      </c>
      <c r="F73" s="233">
        <v>7912.0648933800003</v>
      </c>
      <c r="G73" s="236">
        <f t="shared" si="21"/>
        <v>38.447598284358108</v>
      </c>
      <c r="I73" s="237">
        <f>I61+13</f>
        <v>66</v>
      </c>
      <c r="J73" s="238">
        <f t="shared" si="5"/>
        <v>2030</v>
      </c>
      <c r="K73" s="232">
        <f t="shared" si="28"/>
        <v>47484</v>
      </c>
      <c r="V73" s="97" t="str">
        <f t="shared" si="0"/>
        <v>Winter</v>
      </c>
    </row>
    <row r="74" spans="2:22" hidden="1" outlineLevel="1">
      <c r="B74" s="239">
        <f t="shared" si="4"/>
        <v>47515</v>
      </c>
      <c r="C74" s="97">
        <v>343561.98899135779</v>
      </c>
      <c r="D74" s="235">
        <f>IF(F74&lt;&gt;0,VLOOKUP($J74,'Table 1'!$B$13:$C$33,2,FALSE)/12*1000*Study_MW,0)</f>
        <v>0</v>
      </c>
      <c r="E74" s="235">
        <f t="shared" si="26"/>
        <v>343561.98899135779</v>
      </c>
      <c r="F74" s="97">
        <v>12850.276500740001</v>
      </c>
      <c r="G74" s="240">
        <f t="shared" si="21"/>
        <v>26.735766267097311</v>
      </c>
      <c r="I74" s="241">
        <f t="shared" si="27"/>
        <v>67</v>
      </c>
      <c r="J74" s="238">
        <f t="shared" si="5"/>
        <v>2030</v>
      </c>
      <c r="K74" s="239">
        <f t="shared" si="28"/>
        <v>47515</v>
      </c>
      <c r="V74" s="97" t="str">
        <f t="shared" si="0"/>
        <v>Winter</v>
      </c>
    </row>
    <row r="75" spans="2:22" hidden="1" outlineLevel="1">
      <c r="B75" s="239">
        <f t="shared" si="4"/>
        <v>47543</v>
      </c>
      <c r="C75" s="97">
        <v>230249.91905649949</v>
      </c>
      <c r="D75" s="235">
        <f>IF(F75&lt;&gt;0,VLOOKUP($J75,'Table 1'!$B$13:$C$33,2,FALSE)/12*1000*Study_MW,0)</f>
        <v>0</v>
      </c>
      <c r="E75" s="235">
        <f t="shared" si="26"/>
        <v>230249.91905649949</v>
      </c>
      <c r="F75" s="97">
        <v>16137.093751120003</v>
      </c>
      <c r="G75" s="240">
        <f t="shared" si="21"/>
        <v>14.268363474093276</v>
      </c>
      <c r="I75" s="241">
        <f t="shared" si="27"/>
        <v>68</v>
      </c>
      <c r="J75" s="238">
        <f t="shared" si="5"/>
        <v>2030</v>
      </c>
      <c r="K75" s="239">
        <f t="shared" si="28"/>
        <v>47543</v>
      </c>
      <c r="V75" s="97" t="str">
        <f t="shared" si="0"/>
        <v>Winter</v>
      </c>
    </row>
    <row r="76" spans="2:22" hidden="1" outlineLevel="1">
      <c r="B76" s="239">
        <f t="shared" si="4"/>
        <v>47574</v>
      </c>
      <c r="C76" s="97">
        <v>164003.40915497509</v>
      </c>
      <c r="D76" s="235">
        <f>IF(F76&lt;&gt;0,VLOOKUP($J76,'Table 1'!$B$13:$C$33,2,FALSE)/12*1000*Study_MW,0)</f>
        <v>0</v>
      </c>
      <c r="E76" s="235">
        <f t="shared" si="26"/>
        <v>164003.40915497509</v>
      </c>
      <c r="F76" s="97">
        <v>19389.98543823</v>
      </c>
      <c r="G76" s="240">
        <f t="shared" si="21"/>
        <v>8.458150197040375</v>
      </c>
      <c r="I76" s="241">
        <f t="shared" si="27"/>
        <v>69</v>
      </c>
      <c r="J76" s="238">
        <f t="shared" si="5"/>
        <v>2030</v>
      </c>
      <c r="K76" s="239">
        <f t="shared" si="28"/>
        <v>47574</v>
      </c>
      <c r="V76" s="97" t="str">
        <f t="shared" ref="V76:V139" si="48">IFERROR(IF(AND(MONTH(K77)&gt;=6,MONTH(K77)&lt;=9),"Summer","Winter"),"-")</f>
        <v>Winter</v>
      </c>
    </row>
    <row r="77" spans="2:22" hidden="1" outlineLevel="1">
      <c r="B77" s="239">
        <f t="shared" si="4"/>
        <v>47604</v>
      </c>
      <c r="C77" s="97">
        <v>288322.15277569776</v>
      </c>
      <c r="D77" s="235">
        <f>IF(F77&lt;&gt;0,VLOOKUP($J77,'Table 1'!$B$13:$C$33,2,FALSE)/12*1000*Study_MW,0)</f>
        <v>0</v>
      </c>
      <c r="E77" s="235">
        <f t="shared" si="26"/>
        <v>288322.15277569776</v>
      </c>
      <c r="F77" s="97">
        <v>23938.034615159995</v>
      </c>
      <c r="G77" s="240">
        <f t="shared" si="21"/>
        <v>12.044520672265337</v>
      </c>
      <c r="I77" s="241">
        <f t="shared" si="27"/>
        <v>70</v>
      </c>
      <c r="J77" s="238">
        <f t="shared" si="5"/>
        <v>2030</v>
      </c>
      <c r="K77" s="239">
        <f t="shared" si="28"/>
        <v>47604</v>
      </c>
      <c r="V77" s="97" t="str">
        <f t="shared" si="48"/>
        <v>Summer</v>
      </c>
    </row>
    <row r="78" spans="2:22" hidden="1" outlineLevel="1">
      <c r="B78" s="239">
        <f t="shared" ref="B78:B141" si="49">EDATE(B77,1)</f>
        <v>47635</v>
      </c>
      <c r="C78" s="97">
        <v>634160.69895035611</v>
      </c>
      <c r="D78" s="235">
        <f>IF(F78&lt;&gt;0,VLOOKUP($J78,'Table 1'!$B$13:$C$33,2,FALSE)/12*1000*Study_MW,0)</f>
        <v>0</v>
      </c>
      <c r="E78" s="235">
        <f t="shared" ref="E78:E141" si="50">C78+D78</f>
        <v>634160.69895035611</v>
      </c>
      <c r="F78" s="97">
        <v>26765.704971740004</v>
      </c>
      <c r="G78" s="240">
        <f t="shared" ref="G78:G141" si="51">IF(ISNUMBER($F78),E78/$F78,"")</f>
        <v>23.693031796469441</v>
      </c>
      <c r="I78" s="241">
        <f t="shared" si="27"/>
        <v>71</v>
      </c>
      <c r="J78" s="238">
        <f t="shared" ref="J78:J141" si="52">YEAR(B78)</f>
        <v>2030</v>
      </c>
      <c r="K78" s="239">
        <f t="shared" si="28"/>
        <v>47635</v>
      </c>
      <c r="V78" s="97" t="str">
        <f t="shared" si="48"/>
        <v>Summer</v>
      </c>
    </row>
    <row r="79" spans="2:22" hidden="1" outlineLevel="1">
      <c r="B79" s="239">
        <f t="shared" si="49"/>
        <v>47665</v>
      </c>
      <c r="C79" s="97">
        <v>991772.04528985021</v>
      </c>
      <c r="D79" s="235">
        <f>IF(F79&lt;&gt;0,VLOOKUP($J79,'Table 1'!$B$13:$C$33,2,FALSE)/12*1000*Study_MW,0)</f>
        <v>0</v>
      </c>
      <c r="E79" s="235">
        <f t="shared" si="50"/>
        <v>991772.04528985021</v>
      </c>
      <c r="F79" s="97">
        <v>25582.454686929996</v>
      </c>
      <c r="G79" s="240">
        <f t="shared" si="51"/>
        <v>38.767665473342703</v>
      </c>
      <c r="I79" s="241">
        <f t="shared" si="27"/>
        <v>72</v>
      </c>
      <c r="J79" s="238">
        <f t="shared" si="52"/>
        <v>2030</v>
      </c>
      <c r="K79" s="239">
        <f t="shared" si="28"/>
        <v>47665</v>
      </c>
      <c r="V79" s="97" t="str">
        <f t="shared" si="48"/>
        <v>Summer</v>
      </c>
    </row>
    <row r="80" spans="2:22" hidden="1" outlineLevel="1">
      <c r="B80" s="239">
        <f t="shared" si="49"/>
        <v>47696</v>
      </c>
      <c r="C80" s="97">
        <v>857321.10432807438</v>
      </c>
      <c r="D80" s="235">
        <f>IF(F80&lt;&gt;0,VLOOKUP($J80,'Table 1'!$B$13:$C$33,2,FALSE)/12*1000*Study_MW,0)</f>
        <v>0</v>
      </c>
      <c r="E80" s="235">
        <f t="shared" si="50"/>
        <v>857321.10432807438</v>
      </c>
      <c r="F80" s="97">
        <v>23169.559803370001</v>
      </c>
      <c r="G80" s="240">
        <f t="shared" si="51"/>
        <v>37.002045425281558</v>
      </c>
      <c r="I80" s="241">
        <f t="shared" si="27"/>
        <v>73</v>
      </c>
      <c r="J80" s="238">
        <f t="shared" si="52"/>
        <v>2030</v>
      </c>
      <c r="K80" s="239">
        <f t="shared" si="28"/>
        <v>47696</v>
      </c>
      <c r="V80" s="97" t="str">
        <f t="shared" si="48"/>
        <v>Summer</v>
      </c>
    </row>
    <row r="81" spans="2:22" hidden="1" outlineLevel="1">
      <c r="B81" s="239">
        <f t="shared" si="49"/>
        <v>47727</v>
      </c>
      <c r="C81" s="97">
        <v>613886.33299632056</v>
      </c>
      <c r="D81" s="235">
        <f>IF(F81&lt;&gt;0,VLOOKUP($J81,'Table 1'!$B$13:$C$33,2,FALSE)/12*1000*Study_MW,0)</f>
        <v>0</v>
      </c>
      <c r="E81" s="235">
        <f t="shared" si="50"/>
        <v>613886.33299632056</v>
      </c>
      <c r="F81" s="97">
        <v>18548.890694060003</v>
      </c>
      <c r="G81" s="240">
        <f t="shared" si="51"/>
        <v>33.095582001187175</v>
      </c>
      <c r="I81" s="241">
        <f t="shared" si="27"/>
        <v>74</v>
      </c>
      <c r="J81" s="238">
        <f t="shared" si="52"/>
        <v>2030</v>
      </c>
      <c r="K81" s="239">
        <f t="shared" si="28"/>
        <v>47727</v>
      </c>
      <c r="V81" s="97" t="str">
        <f t="shared" si="48"/>
        <v>Winter</v>
      </c>
    </row>
    <row r="82" spans="2:22" hidden="1" outlineLevel="1">
      <c r="B82" s="239">
        <f t="shared" si="49"/>
        <v>47757</v>
      </c>
      <c r="C82" s="97">
        <v>330124.58668170439</v>
      </c>
      <c r="D82" s="235">
        <f>IF(F82&lt;&gt;0,VLOOKUP($J82,'Table 1'!$B$13:$C$33,2,FALSE)/12*1000*Study_MW,0)</f>
        <v>0</v>
      </c>
      <c r="E82" s="235">
        <f t="shared" si="50"/>
        <v>330124.58668170439</v>
      </c>
      <c r="F82" s="97">
        <v>14369.89971084</v>
      </c>
      <c r="G82" s="240">
        <f t="shared" si="51"/>
        <v>22.973339642215691</v>
      </c>
      <c r="I82" s="241">
        <f t="shared" si="27"/>
        <v>75</v>
      </c>
      <c r="J82" s="238">
        <f t="shared" si="52"/>
        <v>2030</v>
      </c>
      <c r="K82" s="239">
        <f t="shared" si="28"/>
        <v>47757</v>
      </c>
      <c r="V82" s="97" t="str">
        <f t="shared" si="48"/>
        <v>Winter</v>
      </c>
    </row>
    <row r="83" spans="2:22" hidden="1" outlineLevel="1">
      <c r="B83" s="239">
        <f t="shared" si="49"/>
        <v>47788</v>
      </c>
      <c r="C83" s="97">
        <v>329131.00265349203</v>
      </c>
      <c r="D83" s="235">
        <f>IF(F83&lt;&gt;0,VLOOKUP($J83,'Table 1'!$B$13:$C$33,2,FALSE)/12*1000*Study_MW,0)</f>
        <v>0</v>
      </c>
      <c r="E83" s="235">
        <f t="shared" si="50"/>
        <v>329131.00265349203</v>
      </c>
      <c r="F83" s="97">
        <v>10252.802631050001</v>
      </c>
      <c r="G83" s="240">
        <f t="shared" si="51"/>
        <v>32.101564274410045</v>
      </c>
      <c r="I83" s="241">
        <f t="shared" si="27"/>
        <v>76</v>
      </c>
      <c r="J83" s="238">
        <f t="shared" si="52"/>
        <v>2030</v>
      </c>
      <c r="K83" s="239">
        <f t="shared" si="28"/>
        <v>47788</v>
      </c>
      <c r="V83" s="97" t="str">
        <f t="shared" si="48"/>
        <v>Winter</v>
      </c>
    </row>
    <row r="84" spans="2:22" hidden="1" outlineLevel="1">
      <c r="B84" s="245">
        <f t="shared" si="49"/>
        <v>47818</v>
      </c>
      <c r="C84" s="246">
        <v>269068.71954094095</v>
      </c>
      <c r="D84" s="247">
        <f>IF(F84&lt;&gt;0,VLOOKUP($J84,'Table 1'!$B$13:$C$33,2,FALSE)/12*1000*Study_MW,0)</f>
        <v>0</v>
      </c>
      <c r="E84" s="247">
        <f t="shared" si="50"/>
        <v>269068.71954094095</v>
      </c>
      <c r="F84" s="246">
        <v>7212.5056275300003</v>
      </c>
      <c r="G84" s="248">
        <f t="shared" si="51"/>
        <v>37.305859216790161</v>
      </c>
      <c r="I84" s="249">
        <f t="shared" si="27"/>
        <v>77</v>
      </c>
      <c r="J84" s="238">
        <f t="shared" si="52"/>
        <v>2030</v>
      </c>
      <c r="K84" s="245">
        <f t="shared" si="28"/>
        <v>47818</v>
      </c>
      <c r="V84" s="97" t="str">
        <f t="shared" si="48"/>
        <v>Winter</v>
      </c>
    </row>
    <row r="85" spans="2:22" hidden="1" outlineLevel="1">
      <c r="B85" s="232">
        <f t="shared" si="49"/>
        <v>47849</v>
      </c>
      <c r="C85" s="233">
        <v>329170.09911036439</v>
      </c>
      <c r="D85" s="234">
        <f>IF(F85&lt;&gt;0,VLOOKUP($J85,'Table 1'!$B$13:$C$33,2,FALSE)/12*1000*Study_MW,0)</f>
        <v>0</v>
      </c>
      <c r="E85" s="234">
        <f t="shared" si="50"/>
        <v>329170.09911036439</v>
      </c>
      <c r="F85" s="233">
        <v>7834.661939800003</v>
      </c>
      <c r="G85" s="236">
        <f t="shared" si="51"/>
        <v>42.014588713545336</v>
      </c>
      <c r="I85" s="237">
        <f>I73+13</f>
        <v>79</v>
      </c>
      <c r="J85" s="238">
        <f t="shared" si="52"/>
        <v>2031</v>
      </c>
      <c r="K85" s="232">
        <f t="shared" si="28"/>
        <v>47849</v>
      </c>
      <c r="V85" s="97" t="str">
        <f t="shared" si="48"/>
        <v>Winter</v>
      </c>
    </row>
    <row r="86" spans="2:22" hidden="1" outlineLevel="1">
      <c r="B86" s="239">
        <f t="shared" si="49"/>
        <v>47880</v>
      </c>
      <c r="C86" s="97">
        <v>330754.91057852196</v>
      </c>
      <c r="D86" s="235">
        <f>IF(F86&lt;&gt;0,VLOOKUP($J86,'Table 1'!$B$13:$C$33,2,FALSE)/12*1000*Study_MW,0)</f>
        <v>0</v>
      </c>
      <c r="E86" s="235">
        <f t="shared" si="50"/>
        <v>330754.91057852196</v>
      </c>
      <c r="F86" s="97">
        <v>12244.573703280001</v>
      </c>
      <c r="G86" s="240">
        <f t="shared" si="51"/>
        <v>27.012366342318749</v>
      </c>
      <c r="I86" s="241">
        <f t="shared" si="27"/>
        <v>80</v>
      </c>
      <c r="J86" s="238">
        <f t="shared" si="52"/>
        <v>2031</v>
      </c>
      <c r="K86" s="239">
        <f t="shared" si="28"/>
        <v>47880</v>
      </c>
      <c r="V86" s="97" t="str">
        <f t="shared" si="48"/>
        <v>Winter</v>
      </c>
    </row>
    <row r="87" spans="2:22" hidden="1" outlineLevel="1">
      <c r="B87" s="239">
        <f t="shared" si="49"/>
        <v>47908</v>
      </c>
      <c r="C87" s="97">
        <v>173551.31921148859</v>
      </c>
      <c r="D87" s="235">
        <f>IF(F87&lt;&gt;0,VLOOKUP($J87,'Table 1'!$B$13:$C$33,2,FALSE)/12*1000*Study_MW,0)</f>
        <v>0</v>
      </c>
      <c r="E87" s="235">
        <f t="shared" si="50"/>
        <v>173551.31921148859</v>
      </c>
      <c r="F87" s="97">
        <v>14630.137670919999</v>
      </c>
      <c r="G87" s="240">
        <f t="shared" si="51"/>
        <v>11.86258961571173</v>
      </c>
      <c r="I87" s="241">
        <f t="shared" si="27"/>
        <v>81</v>
      </c>
      <c r="J87" s="238">
        <f t="shared" si="52"/>
        <v>2031</v>
      </c>
      <c r="K87" s="239">
        <f t="shared" si="28"/>
        <v>47908</v>
      </c>
      <c r="V87" s="97" t="str">
        <f t="shared" si="48"/>
        <v>Winter</v>
      </c>
    </row>
    <row r="88" spans="2:22" hidden="1" outlineLevel="1">
      <c r="B88" s="239">
        <f t="shared" si="49"/>
        <v>47939</v>
      </c>
      <c r="C88" s="97">
        <v>196094.51971200178</v>
      </c>
      <c r="D88" s="235">
        <f>IF(F88&lt;&gt;0,VLOOKUP($J88,'Table 1'!$B$13:$C$33,2,FALSE)/12*1000*Study_MW,0)</f>
        <v>0</v>
      </c>
      <c r="E88" s="235">
        <f t="shared" si="50"/>
        <v>196094.51971200178</v>
      </c>
      <c r="F88" s="97">
        <v>19022.080996010005</v>
      </c>
      <c r="G88" s="240">
        <f t="shared" si="51"/>
        <v>10.308783763097937</v>
      </c>
      <c r="I88" s="241">
        <f t="shared" si="27"/>
        <v>82</v>
      </c>
      <c r="J88" s="238">
        <f t="shared" si="52"/>
        <v>2031</v>
      </c>
      <c r="K88" s="239">
        <f t="shared" si="28"/>
        <v>47939</v>
      </c>
      <c r="V88" s="97" t="str">
        <f t="shared" si="48"/>
        <v>Winter</v>
      </c>
    </row>
    <row r="89" spans="2:22" hidden="1" outlineLevel="1">
      <c r="B89" s="239">
        <f t="shared" si="49"/>
        <v>47969</v>
      </c>
      <c r="C89" s="97">
        <v>245453.92309507588</v>
      </c>
      <c r="D89" s="235">
        <f>IF(F89&lt;&gt;0,VLOOKUP($J89,'Table 1'!$B$13:$C$33,2,FALSE)/12*1000*Study_MW,0)</f>
        <v>0</v>
      </c>
      <c r="E89" s="235">
        <f t="shared" si="50"/>
        <v>245453.92309507588</v>
      </c>
      <c r="F89" s="97">
        <v>22314.381337800001</v>
      </c>
      <c r="G89" s="240">
        <f t="shared" si="51"/>
        <v>10.999808570954334</v>
      </c>
      <c r="I89" s="241">
        <f t="shared" si="27"/>
        <v>83</v>
      </c>
      <c r="J89" s="238">
        <f t="shared" si="52"/>
        <v>2031</v>
      </c>
      <c r="K89" s="239">
        <f t="shared" si="28"/>
        <v>47969</v>
      </c>
      <c r="V89" s="97" t="str">
        <f t="shared" si="48"/>
        <v>Summer</v>
      </c>
    </row>
    <row r="90" spans="2:22" hidden="1" outlineLevel="1">
      <c r="B90" s="239">
        <f t="shared" si="49"/>
        <v>48000</v>
      </c>
      <c r="C90" s="97">
        <v>492213.66464770836</v>
      </c>
      <c r="D90" s="235">
        <f>IF(F90&lt;&gt;0,VLOOKUP($J90,'Table 1'!$B$13:$C$33,2,FALSE)/12*1000*Study_MW,0)</f>
        <v>0</v>
      </c>
      <c r="E90" s="235">
        <f t="shared" si="50"/>
        <v>492213.66464770836</v>
      </c>
      <c r="F90" s="97">
        <v>27036.672597070006</v>
      </c>
      <c r="G90" s="240">
        <f t="shared" si="51"/>
        <v>18.205408334938749</v>
      </c>
      <c r="I90" s="241">
        <f t="shared" ref="I90:I96" si="53">I78+13</f>
        <v>84</v>
      </c>
      <c r="J90" s="238">
        <f t="shared" si="52"/>
        <v>2031</v>
      </c>
      <c r="K90" s="239">
        <f t="shared" ref="K90:K153" si="54">IF(ISNUMBER(F90),IF(F90&lt;&gt;0,B90,""),"")</f>
        <v>48000</v>
      </c>
      <c r="V90" s="97" t="str">
        <f t="shared" si="48"/>
        <v>Summer</v>
      </c>
    </row>
    <row r="91" spans="2:22" hidden="1" outlineLevel="1">
      <c r="B91" s="239">
        <f t="shared" si="49"/>
        <v>48030</v>
      </c>
      <c r="C91" s="97">
        <v>908667.33196301991</v>
      </c>
      <c r="D91" s="235">
        <f>IF(F91&lt;&gt;0,VLOOKUP($J91,'Table 1'!$B$13:$C$33,2,FALSE)/12*1000*Study_MW,0)</f>
        <v>0</v>
      </c>
      <c r="E91" s="235">
        <f t="shared" si="50"/>
        <v>908667.33196301991</v>
      </c>
      <c r="F91" s="97">
        <v>26469.66303906</v>
      </c>
      <c r="G91" s="240">
        <f t="shared" si="51"/>
        <v>34.328632390300683</v>
      </c>
      <c r="I91" s="241">
        <f t="shared" si="53"/>
        <v>85</v>
      </c>
      <c r="J91" s="238">
        <f t="shared" si="52"/>
        <v>2031</v>
      </c>
      <c r="K91" s="239">
        <f t="shared" si="54"/>
        <v>48030</v>
      </c>
      <c r="V91" s="97" t="str">
        <f t="shared" si="48"/>
        <v>Summer</v>
      </c>
    </row>
    <row r="92" spans="2:22" hidden="1" outlineLevel="1">
      <c r="B92" s="239">
        <f t="shared" si="49"/>
        <v>48061</v>
      </c>
      <c r="C92" s="97">
        <v>844642.92269566981</v>
      </c>
      <c r="D92" s="235">
        <f>IF(F92&lt;&gt;0,VLOOKUP($J92,'Table 1'!$B$13:$C$33,2,FALSE)/12*1000*Study_MW,0)</f>
        <v>0</v>
      </c>
      <c r="E92" s="235">
        <f t="shared" si="50"/>
        <v>844642.92269566981</v>
      </c>
      <c r="F92" s="97">
        <v>22876.750742859997</v>
      </c>
      <c r="G92" s="240">
        <f t="shared" si="51"/>
        <v>36.921454982381583</v>
      </c>
      <c r="I92" s="241">
        <f t="shared" si="53"/>
        <v>86</v>
      </c>
      <c r="J92" s="238">
        <f t="shared" si="52"/>
        <v>2031</v>
      </c>
      <c r="K92" s="239">
        <f t="shared" si="54"/>
        <v>48061</v>
      </c>
      <c r="V92" s="97" t="str">
        <f t="shared" si="48"/>
        <v>Summer</v>
      </c>
    </row>
    <row r="93" spans="2:22" hidden="1" outlineLevel="1">
      <c r="B93" s="239">
        <f t="shared" si="49"/>
        <v>48092</v>
      </c>
      <c r="C93" s="97">
        <v>611491.20865205256</v>
      </c>
      <c r="D93" s="235">
        <f>IF(F93&lt;&gt;0,VLOOKUP($J93,'Table 1'!$B$13:$C$33,2,FALSE)/12*1000*Study_MW,0)</f>
        <v>0</v>
      </c>
      <c r="E93" s="235">
        <f t="shared" si="50"/>
        <v>611491.20865205256</v>
      </c>
      <c r="F93" s="97">
        <v>19531.02383106</v>
      </c>
      <c r="G93" s="240">
        <f t="shared" si="51"/>
        <v>31.308712433170246</v>
      </c>
      <c r="I93" s="241">
        <f t="shared" si="53"/>
        <v>87</v>
      </c>
      <c r="J93" s="238">
        <f t="shared" si="52"/>
        <v>2031</v>
      </c>
      <c r="K93" s="239">
        <f t="shared" si="54"/>
        <v>48092</v>
      </c>
      <c r="V93" s="97" t="str">
        <f t="shared" si="48"/>
        <v>Winter</v>
      </c>
    </row>
    <row r="94" spans="2:22" hidden="1" outlineLevel="1">
      <c r="B94" s="239">
        <f t="shared" si="49"/>
        <v>48122</v>
      </c>
      <c r="C94" s="97">
        <v>292823.79240343289</v>
      </c>
      <c r="D94" s="235">
        <f>IF(F94&lt;&gt;0,VLOOKUP($J94,'Table 1'!$B$13:$C$33,2,FALSE)/12*1000*Study_MW,0)</f>
        <v>0</v>
      </c>
      <c r="E94" s="235">
        <f t="shared" si="50"/>
        <v>292823.79240343289</v>
      </c>
      <c r="F94" s="97">
        <v>14530.384724229996</v>
      </c>
      <c r="G94" s="240">
        <f t="shared" si="51"/>
        <v>20.152514744853075</v>
      </c>
      <c r="I94" s="241">
        <f t="shared" si="53"/>
        <v>88</v>
      </c>
      <c r="J94" s="238">
        <f t="shared" si="52"/>
        <v>2031</v>
      </c>
      <c r="K94" s="239">
        <f t="shared" si="54"/>
        <v>48122</v>
      </c>
      <c r="V94" s="97" t="str">
        <f t="shared" si="48"/>
        <v>Winter</v>
      </c>
    </row>
    <row r="95" spans="2:22" hidden="1" outlineLevel="1">
      <c r="B95" s="239">
        <f t="shared" si="49"/>
        <v>48153</v>
      </c>
      <c r="C95" s="97">
        <v>412059.99590879766</v>
      </c>
      <c r="D95" s="235">
        <f>IF(F95&lt;&gt;0,VLOOKUP($J95,'Table 1'!$B$13:$C$33,2,FALSE)/12*1000*Study_MW,0)</f>
        <v>0</v>
      </c>
      <c r="E95" s="235">
        <f t="shared" si="50"/>
        <v>412059.99590879766</v>
      </c>
      <c r="F95" s="97">
        <v>11632.78767482</v>
      </c>
      <c r="G95" s="240">
        <f t="shared" si="51"/>
        <v>35.422291494302002</v>
      </c>
      <c r="I95" s="241">
        <f t="shared" si="53"/>
        <v>89</v>
      </c>
      <c r="J95" s="238">
        <f t="shared" si="52"/>
        <v>2031</v>
      </c>
      <c r="K95" s="239">
        <f t="shared" si="54"/>
        <v>48153</v>
      </c>
      <c r="V95" s="97" t="str">
        <f t="shared" si="48"/>
        <v>Winter</v>
      </c>
    </row>
    <row r="96" spans="2:22" hidden="1" outlineLevel="1">
      <c r="B96" s="245">
        <f t="shared" si="49"/>
        <v>48183</v>
      </c>
      <c r="C96" s="246">
        <v>278036.77519008121</v>
      </c>
      <c r="D96" s="247">
        <f>IF(F96&lt;&gt;0,VLOOKUP($J96,'Table 1'!$B$13:$C$33,2,FALSE)/12*1000*Study_MW,0)</f>
        <v>0</v>
      </c>
      <c r="E96" s="247">
        <f t="shared" si="50"/>
        <v>278036.77519008121</v>
      </c>
      <c r="F96" s="246">
        <v>7130.5142981799991</v>
      </c>
      <c r="G96" s="248">
        <f t="shared" si="51"/>
        <v>38.992527546161384</v>
      </c>
      <c r="I96" s="249">
        <f t="shared" si="53"/>
        <v>90</v>
      </c>
      <c r="J96" s="238">
        <f t="shared" si="52"/>
        <v>2031</v>
      </c>
      <c r="K96" s="245">
        <f t="shared" si="54"/>
        <v>48183</v>
      </c>
      <c r="V96" s="97" t="str">
        <f t="shared" si="48"/>
        <v>Winter</v>
      </c>
    </row>
    <row r="97" spans="2:22" hidden="1" outlineLevel="1">
      <c r="B97" s="232">
        <f t="shared" si="49"/>
        <v>48214</v>
      </c>
      <c r="C97" s="233">
        <v>-46575.861216486373</v>
      </c>
      <c r="D97" s="234">
        <f>IF(F97&lt;&gt;0,VLOOKUP($J97,'Table 1'!$B$13:$C$33,2,FALSE)/12*1000*Study_MW,0)</f>
        <v>792918.20302506024</v>
      </c>
      <c r="E97" s="234">
        <f t="shared" si="50"/>
        <v>746342.34180857381</v>
      </c>
      <c r="F97" s="233">
        <v>7692.7436384899993</v>
      </c>
      <c r="G97" s="236">
        <f t="shared" si="51"/>
        <v>97.019006076624251</v>
      </c>
      <c r="I97" s="237">
        <f>I85+13</f>
        <v>92</v>
      </c>
      <c r="J97" s="238">
        <f t="shared" si="52"/>
        <v>2032</v>
      </c>
      <c r="K97" s="232">
        <f t="shared" si="54"/>
        <v>48214</v>
      </c>
      <c r="V97" s="97" t="str">
        <f t="shared" si="48"/>
        <v>Winter</v>
      </c>
    </row>
    <row r="98" spans="2:22" hidden="1" outlineLevel="1">
      <c r="B98" s="239">
        <f t="shared" si="49"/>
        <v>48245</v>
      </c>
      <c r="C98" s="97">
        <v>-110699.75592517585</v>
      </c>
      <c r="D98" s="235">
        <f>IF(F98&lt;&gt;0,VLOOKUP($J98,'Table 1'!$B$13:$C$33,2,FALSE)/12*1000*Study_MW,0)</f>
        <v>792918.20302506024</v>
      </c>
      <c r="E98" s="235">
        <f t="shared" si="50"/>
        <v>682218.44709988439</v>
      </c>
      <c r="F98" s="97">
        <v>13136.926538129996</v>
      </c>
      <c r="G98" s="240">
        <f t="shared" si="51"/>
        <v>51.931358915629303</v>
      </c>
      <c r="I98" s="241">
        <f t="shared" ref="I98:I120" si="55">I86+13</f>
        <v>93</v>
      </c>
      <c r="J98" s="238">
        <f t="shared" si="52"/>
        <v>2032</v>
      </c>
      <c r="K98" s="239">
        <f t="shared" si="54"/>
        <v>48245</v>
      </c>
      <c r="V98" s="97" t="str">
        <f t="shared" si="48"/>
        <v>Winter</v>
      </c>
    </row>
    <row r="99" spans="2:22" hidden="1" outlineLevel="1">
      <c r="B99" s="239">
        <f t="shared" si="49"/>
        <v>48274</v>
      </c>
      <c r="C99" s="97">
        <v>-473599.60869055067</v>
      </c>
      <c r="D99" s="235">
        <f>IF(F99&lt;&gt;0,VLOOKUP($J99,'Table 1'!$B$13:$C$33,2,FALSE)/12*1000*Study_MW,0)</f>
        <v>792918.20302506024</v>
      </c>
      <c r="E99" s="235">
        <f t="shared" si="50"/>
        <v>319318.59433450957</v>
      </c>
      <c r="F99" s="97">
        <v>14639.267267539999</v>
      </c>
      <c r="G99" s="240">
        <f t="shared" si="51"/>
        <v>21.812471109298102</v>
      </c>
      <c r="I99" s="241">
        <f t="shared" si="55"/>
        <v>94</v>
      </c>
      <c r="J99" s="238">
        <f t="shared" si="52"/>
        <v>2032</v>
      </c>
      <c r="K99" s="239">
        <f t="shared" si="54"/>
        <v>48274</v>
      </c>
      <c r="V99" s="97" t="str">
        <f t="shared" si="48"/>
        <v>Winter</v>
      </c>
    </row>
    <row r="100" spans="2:22" hidden="1" outlineLevel="1">
      <c r="B100" s="239">
        <f t="shared" si="49"/>
        <v>48305</v>
      </c>
      <c r="C100" s="97">
        <v>-373161.32123988064</v>
      </c>
      <c r="D100" s="235">
        <f>IF(F100&lt;&gt;0,VLOOKUP($J100,'Table 1'!$B$13:$C$33,2,FALSE)/12*1000*Study_MW,0)</f>
        <v>792918.20302506024</v>
      </c>
      <c r="E100" s="235">
        <f t="shared" si="50"/>
        <v>419756.8817851796</v>
      </c>
      <c r="F100" s="97">
        <v>18846.558486799997</v>
      </c>
      <c r="G100" s="240">
        <f t="shared" si="51"/>
        <v>22.272335932269783</v>
      </c>
      <c r="I100" s="241">
        <f t="shared" si="55"/>
        <v>95</v>
      </c>
      <c r="J100" s="238">
        <f t="shared" si="52"/>
        <v>2032</v>
      </c>
      <c r="K100" s="239">
        <f t="shared" si="54"/>
        <v>48305</v>
      </c>
      <c r="V100" s="97" t="str">
        <f t="shared" si="48"/>
        <v>Winter</v>
      </c>
    </row>
    <row r="101" spans="2:22" hidden="1" outlineLevel="1">
      <c r="B101" s="239">
        <f t="shared" si="49"/>
        <v>48335</v>
      </c>
      <c r="C101" s="97">
        <v>-478886.9985301717</v>
      </c>
      <c r="D101" s="235">
        <f>IF(F101&lt;&gt;0,VLOOKUP($J101,'Table 1'!$B$13:$C$33,2,FALSE)/12*1000*Study_MW,0)</f>
        <v>792918.20302506024</v>
      </c>
      <c r="E101" s="235">
        <f t="shared" si="50"/>
        <v>314031.20449488855</v>
      </c>
      <c r="F101" s="97">
        <v>22885.492997010002</v>
      </c>
      <c r="G101" s="240">
        <f t="shared" si="51"/>
        <v>13.721845735895522</v>
      </c>
      <c r="I101" s="241">
        <f t="shared" si="55"/>
        <v>96</v>
      </c>
      <c r="J101" s="238">
        <f t="shared" si="52"/>
        <v>2032</v>
      </c>
      <c r="K101" s="239">
        <f t="shared" si="54"/>
        <v>48335</v>
      </c>
      <c r="V101" s="97" t="str">
        <f t="shared" si="48"/>
        <v>Summer</v>
      </c>
    </row>
    <row r="102" spans="2:22" hidden="1" outlineLevel="1">
      <c r="B102" s="239">
        <f t="shared" si="49"/>
        <v>48366</v>
      </c>
      <c r="C102" s="97">
        <v>-332165.76426735264</v>
      </c>
      <c r="D102" s="235">
        <f>IF(F102&lt;&gt;0,VLOOKUP($J102,'Table 1'!$B$13:$C$33,2,FALSE)/12*1000*Study_MW,0)</f>
        <v>792918.20302506024</v>
      </c>
      <c r="E102" s="235">
        <f t="shared" si="50"/>
        <v>460752.4387577076</v>
      </c>
      <c r="F102" s="97">
        <v>26947.343060470004</v>
      </c>
      <c r="G102" s="240">
        <f t="shared" si="51"/>
        <v>17.098251123451252</v>
      </c>
      <c r="I102" s="241">
        <f t="shared" si="55"/>
        <v>97</v>
      </c>
      <c r="J102" s="238">
        <f t="shared" si="52"/>
        <v>2032</v>
      </c>
      <c r="K102" s="239">
        <f t="shared" si="54"/>
        <v>48366</v>
      </c>
      <c r="V102" s="97" t="str">
        <f t="shared" si="48"/>
        <v>Summer</v>
      </c>
    </row>
    <row r="103" spans="2:22" hidden="1" outlineLevel="1">
      <c r="B103" s="239">
        <f t="shared" si="49"/>
        <v>48396</v>
      </c>
      <c r="C103" s="97">
        <v>-567096.61066453916</v>
      </c>
      <c r="D103" s="235">
        <f>IF(F103&lt;&gt;0,VLOOKUP($J103,'Table 1'!$B$13:$C$33,2,FALSE)/12*1000*Study_MW,0)</f>
        <v>792918.20302506024</v>
      </c>
      <c r="E103" s="235">
        <f t="shared" si="50"/>
        <v>225821.59236052108</v>
      </c>
      <c r="F103" s="97">
        <v>25450.665038160008</v>
      </c>
      <c r="G103" s="240">
        <f t="shared" si="51"/>
        <v>8.8729151879501202</v>
      </c>
      <c r="I103" s="241">
        <f t="shared" si="55"/>
        <v>98</v>
      </c>
      <c r="J103" s="238">
        <f t="shared" si="52"/>
        <v>2032</v>
      </c>
      <c r="K103" s="239">
        <f t="shared" si="54"/>
        <v>48396</v>
      </c>
      <c r="V103" s="97" t="str">
        <f t="shared" si="48"/>
        <v>Summer</v>
      </c>
    </row>
    <row r="104" spans="2:22" hidden="1" outlineLevel="1">
      <c r="B104" s="239">
        <f t="shared" si="49"/>
        <v>48427</v>
      </c>
      <c r="C104" s="97">
        <v>-255060.35898342088</v>
      </c>
      <c r="D104" s="235">
        <f>IF(F104&lt;&gt;0,VLOOKUP($J104,'Table 1'!$B$13:$C$33,2,FALSE)/12*1000*Study_MW,0)</f>
        <v>792918.20302506024</v>
      </c>
      <c r="E104" s="235">
        <f t="shared" si="50"/>
        <v>537857.84404163936</v>
      </c>
      <c r="F104" s="97">
        <v>22884.220953190001</v>
      </c>
      <c r="G104" s="240">
        <f t="shared" si="51"/>
        <v>23.503436937697604</v>
      </c>
      <c r="I104" s="241">
        <f t="shared" si="55"/>
        <v>99</v>
      </c>
      <c r="J104" s="238">
        <f t="shared" si="52"/>
        <v>2032</v>
      </c>
      <c r="K104" s="239">
        <f t="shared" si="54"/>
        <v>48427</v>
      </c>
      <c r="V104" s="97" t="str">
        <f t="shared" si="48"/>
        <v>Summer</v>
      </c>
    </row>
    <row r="105" spans="2:22" hidden="1" outlineLevel="1">
      <c r="B105" s="239">
        <f t="shared" si="49"/>
        <v>48458</v>
      </c>
      <c r="C105" s="97">
        <v>-272933.04339935642</v>
      </c>
      <c r="D105" s="235">
        <f>IF(F105&lt;&gt;0,VLOOKUP($J105,'Table 1'!$B$13:$C$33,2,FALSE)/12*1000*Study_MW,0)</f>
        <v>792918.20302506024</v>
      </c>
      <c r="E105" s="235">
        <f t="shared" si="50"/>
        <v>519985.15962570382</v>
      </c>
      <c r="F105" s="97">
        <v>19294.536710870001</v>
      </c>
      <c r="G105" s="240">
        <f t="shared" si="51"/>
        <v>26.949865001565897</v>
      </c>
      <c r="I105" s="241">
        <f t="shared" si="55"/>
        <v>100</v>
      </c>
      <c r="J105" s="238">
        <f t="shared" si="52"/>
        <v>2032</v>
      </c>
      <c r="K105" s="239">
        <f t="shared" si="54"/>
        <v>48458</v>
      </c>
      <c r="V105" s="97" t="str">
        <f t="shared" si="48"/>
        <v>Winter</v>
      </c>
    </row>
    <row r="106" spans="2:22" hidden="1" outlineLevel="1">
      <c r="B106" s="239">
        <f t="shared" si="49"/>
        <v>48488</v>
      </c>
      <c r="C106" s="97">
        <v>-346177.365092939</v>
      </c>
      <c r="D106" s="235">
        <f>IF(F106&lt;&gt;0,VLOOKUP($J106,'Table 1'!$B$13:$C$33,2,FALSE)/12*1000*Study_MW,0)</f>
        <v>792918.20302506024</v>
      </c>
      <c r="E106" s="235">
        <f t="shared" si="50"/>
        <v>446740.83793212124</v>
      </c>
      <c r="F106" s="97">
        <v>14497.529832420003</v>
      </c>
      <c r="G106" s="240">
        <f t="shared" si="51"/>
        <v>30.814962486443729</v>
      </c>
      <c r="I106" s="241">
        <f t="shared" si="55"/>
        <v>101</v>
      </c>
      <c r="J106" s="238">
        <f t="shared" si="52"/>
        <v>2032</v>
      </c>
      <c r="K106" s="239">
        <f t="shared" si="54"/>
        <v>48488</v>
      </c>
      <c r="V106" s="97" t="str">
        <f t="shared" si="48"/>
        <v>Winter</v>
      </c>
    </row>
    <row r="107" spans="2:22" hidden="1" outlineLevel="1">
      <c r="B107" s="239">
        <f t="shared" si="49"/>
        <v>48519</v>
      </c>
      <c r="C107" s="97">
        <v>-36644.783675663348</v>
      </c>
      <c r="D107" s="235">
        <f>IF(F107&lt;&gt;0,VLOOKUP($J107,'Table 1'!$B$13:$C$33,2,FALSE)/12*1000*Study_MW,0)</f>
        <v>792918.20302506024</v>
      </c>
      <c r="E107" s="235">
        <f t="shared" si="50"/>
        <v>756273.41934939683</v>
      </c>
      <c r="F107" s="97">
        <v>10955.359052870002</v>
      </c>
      <c r="G107" s="240">
        <f t="shared" si="51"/>
        <v>69.03228052131017</v>
      </c>
      <c r="I107" s="241">
        <f t="shared" si="55"/>
        <v>102</v>
      </c>
      <c r="J107" s="238">
        <f t="shared" si="52"/>
        <v>2032</v>
      </c>
      <c r="K107" s="239">
        <f t="shared" si="54"/>
        <v>48519</v>
      </c>
      <c r="V107" s="97" t="str">
        <f t="shared" si="48"/>
        <v>Winter</v>
      </c>
    </row>
    <row r="108" spans="2:22" hidden="1" outlineLevel="1">
      <c r="B108" s="245">
        <f t="shared" si="49"/>
        <v>48549</v>
      </c>
      <c r="C108" s="246">
        <v>-31120.488836262666</v>
      </c>
      <c r="D108" s="247">
        <f>IF(F108&lt;&gt;0,VLOOKUP($J108,'Table 1'!$B$13:$C$33,2,FALSE)/12*1000*Study_MW,0)</f>
        <v>792918.20302506024</v>
      </c>
      <c r="E108" s="247">
        <f t="shared" si="50"/>
        <v>761797.71418879763</v>
      </c>
      <c r="F108" s="246">
        <v>6948.2116295700016</v>
      </c>
      <c r="G108" s="248">
        <f t="shared" si="51"/>
        <v>109.63939425027881</v>
      </c>
      <c r="I108" s="249">
        <f t="shared" si="55"/>
        <v>103</v>
      </c>
      <c r="J108" s="238">
        <f t="shared" si="52"/>
        <v>2032</v>
      </c>
      <c r="K108" s="245">
        <f t="shared" si="54"/>
        <v>48549</v>
      </c>
      <c r="V108" s="97" t="str">
        <f t="shared" si="48"/>
        <v>Winter</v>
      </c>
    </row>
    <row r="109" spans="2:22" hidden="1" outlineLevel="1">
      <c r="B109" s="232">
        <f t="shared" si="49"/>
        <v>48580</v>
      </c>
      <c r="C109" s="233">
        <v>-62906.022344279336</v>
      </c>
      <c r="D109" s="234">
        <f>IF(F109&lt;&gt;0,VLOOKUP($J109,'Table 1'!$B$13:$C$33,2,FALSE)/12*1000*Study_MW,0)</f>
        <v>810203.81986048142</v>
      </c>
      <c r="E109" s="234">
        <f t="shared" si="50"/>
        <v>747297.79751620209</v>
      </c>
      <c r="F109" s="233">
        <v>7745.8772161100023</v>
      </c>
      <c r="G109" s="236">
        <f t="shared" si="51"/>
        <v>96.476845251556512</v>
      </c>
      <c r="I109" s="237">
        <f>I97+13</f>
        <v>105</v>
      </c>
      <c r="J109" s="238">
        <f t="shared" si="52"/>
        <v>2033</v>
      </c>
      <c r="K109" s="232">
        <f t="shared" si="54"/>
        <v>48580</v>
      </c>
      <c r="V109" s="97" t="str">
        <f t="shared" si="48"/>
        <v>Winter</v>
      </c>
    </row>
    <row r="110" spans="2:22" hidden="1" outlineLevel="1">
      <c r="B110" s="239">
        <f t="shared" si="49"/>
        <v>48611</v>
      </c>
      <c r="C110" s="97">
        <v>-159790.71667553944</v>
      </c>
      <c r="D110" s="235">
        <f>IF(F110&lt;&gt;0,VLOOKUP($J110,'Table 1'!$B$13:$C$33,2,FALSE)/12*1000*Study_MW,0)</f>
        <v>810203.81986048142</v>
      </c>
      <c r="E110" s="235">
        <f t="shared" si="50"/>
        <v>650413.10318494192</v>
      </c>
      <c r="F110" s="97">
        <v>12627.049171520001</v>
      </c>
      <c r="G110" s="240">
        <f t="shared" si="51"/>
        <v>51.50950901909313</v>
      </c>
      <c r="I110" s="241">
        <f t="shared" si="55"/>
        <v>106</v>
      </c>
      <c r="J110" s="238">
        <f t="shared" si="52"/>
        <v>2033</v>
      </c>
      <c r="K110" s="239">
        <f t="shared" si="54"/>
        <v>48611</v>
      </c>
      <c r="V110" s="97" t="str">
        <f t="shared" si="48"/>
        <v>Winter</v>
      </c>
    </row>
    <row r="111" spans="2:22" hidden="1" outlineLevel="1">
      <c r="B111" s="239">
        <f t="shared" si="49"/>
        <v>48639</v>
      </c>
      <c r="C111" s="97">
        <v>-498189.47574193589</v>
      </c>
      <c r="D111" s="235">
        <f>IF(F111&lt;&gt;0,VLOOKUP($J111,'Table 1'!$B$13:$C$33,2,FALSE)/12*1000*Study_MW,0)</f>
        <v>810203.81986048142</v>
      </c>
      <c r="E111" s="235">
        <f t="shared" si="50"/>
        <v>312014.34411854553</v>
      </c>
      <c r="F111" s="97">
        <v>14981.409978130003</v>
      </c>
      <c r="G111" s="240">
        <f t="shared" si="51"/>
        <v>20.826767612262589</v>
      </c>
      <c r="I111" s="241">
        <f t="shared" si="55"/>
        <v>107</v>
      </c>
      <c r="J111" s="238">
        <f t="shared" si="52"/>
        <v>2033</v>
      </c>
      <c r="K111" s="239">
        <f t="shared" si="54"/>
        <v>48639</v>
      </c>
      <c r="V111" s="97" t="str">
        <f t="shared" si="48"/>
        <v>Winter</v>
      </c>
    </row>
    <row r="112" spans="2:22" hidden="1" outlineLevel="1">
      <c r="B112" s="239">
        <f t="shared" si="49"/>
        <v>48670</v>
      </c>
      <c r="C112" s="97">
        <v>-382177.38285180531</v>
      </c>
      <c r="D112" s="235">
        <f>IF(F112&lt;&gt;0,VLOOKUP($J112,'Table 1'!$B$13:$C$33,2,FALSE)/12*1000*Study_MW,0)</f>
        <v>810203.81986048142</v>
      </c>
      <c r="E112" s="235">
        <f t="shared" si="50"/>
        <v>428026.43700867612</v>
      </c>
      <c r="F112" s="97">
        <v>18338.949799579997</v>
      </c>
      <c r="G112" s="240">
        <f t="shared" si="51"/>
        <v>23.339746369690094</v>
      </c>
      <c r="I112" s="241">
        <f t="shared" si="55"/>
        <v>108</v>
      </c>
      <c r="J112" s="238">
        <f t="shared" si="52"/>
        <v>2033</v>
      </c>
      <c r="K112" s="239">
        <f t="shared" si="54"/>
        <v>48670</v>
      </c>
      <c r="V112" s="97" t="str">
        <f t="shared" si="48"/>
        <v>Winter</v>
      </c>
    </row>
    <row r="113" spans="2:22" hidden="1" outlineLevel="1">
      <c r="B113" s="239">
        <f t="shared" si="49"/>
        <v>48700</v>
      </c>
      <c r="C113" s="97">
        <v>-518006.895236118</v>
      </c>
      <c r="D113" s="235">
        <f>IF(F113&lt;&gt;0,VLOOKUP($J113,'Table 1'!$B$13:$C$33,2,FALSE)/12*1000*Study_MW,0)</f>
        <v>810203.81986048142</v>
      </c>
      <c r="E113" s="235">
        <f t="shared" si="50"/>
        <v>292196.92462436343</v>
      </c>
      <c r="F113" s="97">
        <v>23424.934778000003</v>
      </c>
      <c r="G113" s="240">
        <f t="shared" si="51"/>
        <v>12.473756165963204</v>
      </c>
      <c r="I113" s="241">
        <f t="shared" si="55"/>
        <v>109</v>
      </c>
      <c r="J113" s="238">
        <f t="shared" si="52"/>
        <v>2033</v>
      </c>
      <c r="K113" s="239">
        <f t="shared" si="54"/>
        <v>48700</v>
      </c>
      <c r="V113" s="97" t="str">
        <f t="shared" si="48"/>
        <v>Summer</v>
      </c>
    </row>
    <row r="114" spans="2:22" hidden="1" outlineLevel="1">
      <c r="B114" s="239">
        <f t="shared" si="49"/>
        <v>48731</v>
      </c>
      <c r="C114" s="97">
        <v>-404725.88639486639</v>
      </c>
      <c r="D114" s="235">
        <f>IF(F114&lt;&gt;0,VLOOKUP($J114,'Table 1'!$B$13:$C$33,2,FALSE)/12*1000*Study_MW,0)</f>
        <v>810203.81986048142</v>
      </c>
      <c r="E114" s="235">
        <f t="shared" si="50"/>
        <v>405477.93346561503</v>
      </c>
      <c r="F114" s="97">
        <v>26901.80768269</v>
      </c>
      <c r="G114" s="240">
        <f t="shared" si="51"/>
        <v>15.072516250516514</v>
      </c>
      <c r="I114" s="241">
        <f t="shared" si="55"/>
        <v>110</v>
      </c>
      <c r="J114" s="238">
        <f t="shared" si="52"/>
        <v>2033</v>
      </c>
      <c r="K114" s="239">
        <f t="shared" si="54"/>
        <v>48731</v>
      </c>
      <c r="V114" s="97" t="str">
        <f t="shared" si="48"/>
        <v>Summer</v>
      </c>
    </row>
    <row r="115" spans="2:22" hidden="1" outlineLevel="1">
      <c r="B115" s="239">
        <f t="shared" si="49"/>
        <v>48761</v>
      </c>
      <c r="C115" s="97">
        <v>-567595.2191297583</v>
      </c>
      <c r="D115" s="235">
        <f>IF(F115&lt;&gt;0,VLOOKUP($J115,'Table 1'!$B$13:$C$33,2,FALSE)/12*1000*Study_MW,0)</f>
        <v>810203.81986048142</v>
      </c>
      <c r="E115" s="235">
        <f t="shared" si="50"/>
        <v>242608.60073072312</v>
      </c>
      <c r="F115" s="97">
        <v>25288.485790690003</v>
      </c>
      <c r="G115" s="240">
        <f t="shared" si="51"/>
        <v>9.5936388892070337</v>
      </c>
      <c r="I115" s="241">
        <f t="shared" si="55"/>
        <v>111</v>
      </c>
      <c r="J115" s="238">
        <f t="shared" si="52"/>
        <v>2033</v>
      </c>
      <c r="K115" s="239">
        <f t="shared" si="54"/>
        <v>48761</v>
      </c>
      <c r="V115" s="97" t="str">
        <f t="shared" si="48"/>
        <v>Summer</v>
      </c>
    </row>
    <row r="116" spans="2:22" hidden="1" outlineLevel="1">
      <c r="B116" s="239">
        <f t="shared" si="49"/>
        <v>48792</v>
      </c>
      <c r="C116" s="97">
        <v>-328992.53130840225</v>
      </c>
      <c r="D116" s="235">
        <f>IF(F116&lt;&gt;0,VLOOKUP($J116,'Table 1'!$B$13:$C$33,2,FALSE)/12*1000*Study_MW,0)</f>
        <v>810203.81986048142</v>
      </c>
      <c r="E116" s="235">
        <f t="shared" si="50"/>
        <v>481211.28855207918</v>
      </c>
      <c r="F116" s="97">
        <v>22670.411353270003</v>
      </c>
      <c r="G116" s="240">
        <f t="shared" si="51"/>
        <v>21.226403043748423</v>
      </c>
      <c r="I116" s="241">
        <f t="shared" si="55"/>
        <v>112</v>
      </c>
      <c r="J116" s="238">
        <f t="shared" si="52"/>
        <v>2033</v>
      </c>
      <c r="K116" s="239">
        <f t="shared" si="54"/>
        <v>48792</v>
      </c>
      <c r="V116" s="97" t="str">
        <f t="shared" si="48"/>
        <v>Summer</v>
      </c>
    </row>
    <row r="117" spans="2:22" hidden="1" outlineLevel="1">
      <c r="B117" s="239">
        <f t="shared" si="49"/>
        <v>48823</v>
      </c>
      <c r="C117" s="97">
        <v>-304826.89593270153</v>
      </c>
      <c r="D117" s="235">
        <f>IF(F117&lt;&gt;0,VLOOKUP($J117,'Table 1'!$B$13:$C$33,2,FALSE)/12*1000*Study_MW,0)</f>
        <v>810203.81986048142</v>
      </c>
      <c r="E117" s="235">
        <f t="shared" si="50"/>
        <v>505376.92392777989</v>
      </c>
      <c r="F117" s="97">
        <v>18790.856856369996</v>
      </c>
      <c r="G117" s="240">
        <f t="shared" si="51"/>
        <v>26.894831235780497</v>
      </c>
      <c r="I117" s="241">
        <f t="shared" si="55"/>
        <v>113</v>
      </c>
      <c r="J117" s="238">
        <f t="shared" si="52"/>
        <v>2033</v>
      </c>
      <c r="K117" s="239">
        <f t="shared" si="54"/>
        <v>48823</v>
      </c>
      <c r="V117" s="97" t="str">
        <f t="shared" si="48"/>
        <v>Winter</v>
      </c>
    </row>
    <row r="118" spans="2:22" hidden="1" outlineLevel="1">
      <c r="B118" s="239">
        <f t="shared" si="49"/>
        <v>48853</v>
      </c>
      <c r="C118" s="97">
        <v>-383270.32091113506</v>
      </c>
      <c r="D118" s="235">
        <f>IF(F118&lt;&gt;0,VLOOKUP($J118,'Table 1'!$B$13:$C$33,2,FALSE)/12*1000*Study_MW,0)</f>
        <v>810203.81986048142</v>
      </c>
      <c r="E118" s="235">
        <f t="shared" si="50"/>
        <v>426933.49894934637</v>
      </c>
      <c r="F118" s="97">
        <v>14504.524784279998</v>
      </c>
      <c r="G118" s="240">
        <f t="shared" si="51"/>
        <v>29.434504425271268</v>
      </c>
      <c r="I118" s="241">
        <f t="shared" si="55"/>
        <v>114</v>
      </c>
      <c r="J118" s="238">
        <f t="shared" si="52"/>
        <v>2033</v>
      </c>
      <c r="K118" s="239">
        <f t="shared" si="54"/>
        <v>48853</v>
      </c>
      <c r="V118" s="97" t="str">
        <f t="shared" si="48"/>
        <v>Winter</v>
      </c>
    </row>
    <row r="119" spans="2:22" hidden="1" outlineLevel="1">
      <c r="B119" s="239">
        <f t="shared" si="49"/>
        <v>48884</v>
      </c>
      <c r="C119" s="97">
        <v>-75755.345225021301</v>
      </c>
      <c r="D119" s="235">
        <f>IF(F119&lt;&gt;0,VLOOKUP($J119,'Table 1'!$B$13:$C$33,2,FALSE)/12*1000*Study_MW,0)</f>
        <v>810203.81986048142</v>
      </c>
      <c r="E119" s="235">
        <f t="shared" si="50"/>
        <v>734448.47463546018</v>
      </c>
      <c r="F119" s="97">
        <v>10648.624830750003</v>
      </c>
      <c r="G119" s="240">
        <f t="shared" si="51"/>
        <v>68.971203916828344</v>
      </c>
      <c r="I119" s="241">
        <f t="shared" si="55"/>
        <v>115</v>
      </c>
      <c r="J119" s="238">
        <f t="shared" si="52"/>
        <v>2033</v>
      </c>
      <c r="K119" s="239">
        <f t="shared" si="54"/>
        <v>48884</v>
      </c>
      <c r="V119" s="97" t="str">
        <f t="shared" si="48"/>
        <v>Winter</v>
      </c>
    </row>
    <row r="120" spans="2:22" hidden="1" outlineLevel="1">
      <c r="B120" s="245">
        <f t="shared" si="49"/>
        <v>48914</v>
      </c>
      <c r="C120" s="246">
        <v>-41357.618074023776</v>
      </c>
      <c r="D120" s="247">
        <f>IF(F120&lt;&gt;0,VLOOKUP($J120,'Table 1'!$B$13:$C$33,2,FALSE)/12*1000*Study_MW,0)</f>
        <v>810203.81986048142</v>
      </c>
      <c r="E120" s="247">
        <f t="shared" si="50"/>
        <v>768846.20178645768</v>
      </c>
      <c r="F120" s="246">
        <v>7118.7747860200006</v>
      </c>
      <c r="G120" s="248">
        <f t="shared" si="51"/>
        <v>108.0026022590761</v>
      </c>
      <c r="I120" s="249">
        <f t="shared" si="55"/>
        <v>116</v>
      </c>
      <c r="J120" s="238">
        <f t="shared" si="52"/>
        <v>2033</v>
      </c>
      <c r="K120" s="245">
        <f t="shared" si="54"/>
        <v>48914</v>
      </c>
      <c r="V120" s="97" t="str">
        <f t="shared" si="48"/>
        <v>Winter</v>
      </c>
    </row>
    <row r="121" spans="2:22" hidden="1" outlineLevel="1">
      <c r="B121" s="232">
        <f t="shared" si="49"/>
        <v>48945</v>
      </c>
      <c r="C121" s="233">
        <v>-79860.770282924932</v>
      </c>
      <c r="D121" s="234">
        <f>IF(F121&lt;&gt;0,VLOOKUP($J121,'Table 1'!$B$13:$C$33,2,FALSE)/12*1000*Study_MW,0)</f>
        <v>827866.26373745222</v>
      </c>
      <c r="E121" s="234">
        <f t="shared" si="50"/>
        <v>748005.49345452734</v>
      </c>
      <c r="F121" s="233">
        <v>7820.6722450500001</v>
      </c>
      <c r="G121" s="236">
        <f t="shared" si="51"/>
        <v>95.644654323414258</v>
      </c>
      <c r="I121" s="237">
        <f>I109+13</f>
        <v>118</v>
      </c>
      <c r="J121" s="238">
        <f t="shared" si="52"/>
        <v>2034</v>
      </c>
      <c r="K121" s="232">
        <f t="shared" si="54"/>
        <v>48945</v>
      </c>
      <c r="V121" s="97" t="str">
        <f t="shared" si="48"/>
        <v>Winter</v>
      </c>
    </row>
    <row r="122" spans="2:22" hidden="1" outlineLevel="1">
      <c r="B122" s="239">
        <f t="shared" si="49"/>
        <v>48976</v>
      </c>
      <c r="C122" s="97">
        <v>-177986.93009489216</v>
      </c>
      <c r="D122" s="235">
        <f>IF(F122&lt;&gt;0,VLOOKUP($J122,'Table 1'!$B$13:$C$33,2,FALSE)/12*1000*Study_MW,0)</f>
        <v>827866.26373745222</v>
      </c>
      <c r="E122" s="235">
        <f t="shared" si="50"/>
        <v>649879.33364256006</v>
      </c>
      <c r="F122" s="97">
        <v>12633.42744335</v>
      </c>
      <c r="G122" s="240">
        <f t="shared" si="51"/>
        <v>51.441252704913772</v>
      </c>
      <c r="I122" s="241">
        <f t="shared" ref="I122:I185" si="56">I110+13</f>
        <v>119</v>
      </c>
      <c r="J122" s="238">
        <f t="shared" si="52"/>
        <v>2034</v>
      </c>
      <c r="K122" s="239">
        <f t="shared" si="54"/>
        <v>48976</v>
      </c>
      <c r="V122" s="97" t="str">
        <f t="shared" si="48"/>
        <v>Winter</v>
      </c>
    </row>
    <row r="123" spans="2:22" hidden="1" outlineLevel="1">
      <c r="B123" s="239">
        <f t="shared" si="49"/>
        <v>49004</v>
      </c>
      <c r="C123" s="97">
        <v>-486951.04615792661</v>
      </c>
      <c r="D123" s="235">
        <f>IF(F123&lt;&gt;0,VLOOKUP($J123,'Table 1'!$B$13:$C$33,2,FALSE)/12*1000*Study_MW,0)</f>
        <v>827866.26373745222</v>
      </c>
      <c r="E123" s="235">
        <f t="shared" si="50"/>
        <v>340915.2175795256</v>
      </c>
      <c r="F123" s="97">
        <v>15262.375562780004</v>
      </c>
      <c r="G123" s="240">
        <f t="shared" si="51"/>
        <v>22.336969508921502</v>
      </c>
      <c r="I123" s="241">
        <f t="shared" si="56"/>
        <v>120</v>
      </c>
      <c r="J123" s="238">
        <f t="shared" si="52"/>
        <v>2034</v>
      </c>
      <c r="K123" s="239">
        <f t="shared" si="54"/>
        <v>49004</v>
      </c>
      <c r="V123" s="97" t="str">
        <f t="shared" si="48"/>
        <v>Winter</v>
      </c>
    </row>
    <row r="124" spans="2:22" hidden="1" outlineLevel="1">
      <c r="B124" s="239">
        <f t="shared" si="49"/>
        <v>49035</v>
      </c>
      <c r="C124" s="97">
        <v>-393843.13040458073</v>
      </c>
      <c r="D124" s="235">
        <f>IF(F124&lt;&gt;0,VLOOKUP($J124,'Table 1'!$B$13:$C$33,2,FALSE)/12*1000*Study_MW,0)</f>
        <v>827866.26373745222</v>
      </c>
      <c r="E124" s="235">
        <f t="shared" si="50"/>
        <v>434023.13333287148</v>
      </c>
      <c r="F124" s="97">
        <v>18347.081616540003</v>
      </c>
      <c r="G124" s="240">
        <f t="shared" si="51"/>
        <v>23.656249119293015</v>
      </c>
      <c r="I124" s="241">
        <f t="shared" si="56"/>
        <v>121</v>
      </c>
      <c r="J124" s="238">
        <f t="shared" si="52"/>
        <v>2034</v>
      </c>
      <c r="K124" s="239">
        <f t="shared" si="54"/>
        <v>49035</v>
      </c>
      <c r="V124" s="97" t="str">
        <f t="shared" si="48"/>
        <v>Winter</v>
      </c>
    </row>
    <row r="125" spans="2:22" hidden="1" outlineLevel="1">
      <c r="B125" s="239">
        <f t="shared" si="49"/>
        <v>49065</v>
      </c>
      <c r="C125" s="97">
        <v>-709604.96033437084</v>
      </c>
      <c r="D125" s="235">
        <f>IF(F125&lt;&gt;0,VLOOKUP($J125,'Table 1'!$B$13:$C$33,2,FALSE)/12*1000*Study_MW,0)</f>
        <v>827866.26373745222</v>
      </c>
      <c r="E125" s="235">
        <f t="shared" si="50"/>
        <v>118261.30340308137</v>
      </c>
      <c r="F125" s="97">
        <v>23470.117790940003</v>
      </c>
      <c r="G125" s="240">
        <f t="shared" si="51"/>
        <v>5.0388031477512616</v>
      </c>
      <c r="I125" s="241">
        <f t="shared" si="56"/>
        <v>122</v>
      </c>
      <c r="J125" s="238">
        <f t="shared" si="52"/>
        <v>2034</v>
      </c>
      <c r="K125" s="239">
        <f t="shared" si="54"/>
        <v>49065</v>
      </c>
      <c r="V125" s="97" t="str">
        <f t="shared" si="48"/>
        <v>Summer</v>
      </c>
    </row>
    <row r="126" spans="2:22" hidden="1" outlineLevel="1">
      <c r="B126" s="239">
        <f t="shared" si="49"/>
        <v>49096</v>
      </c>
      <c r="C126" s="97">
        <v>-349094.76719787926</v>
      </c>
      <c r="D126" s="235">
        <f>IF(F126&lt;&gt;0,VLOOKUP($J126,'Table 1'!$B$13:$C$33,2,FALSE)/12*1000*Study_MW,0)</f>
        <v>827866.26373745222</v>
      </c>
      <c r="E126" s="235">
        <f t="shared" si="50"/>
        <v>478771.49653957295</v>
      </c>
      <c r="F126" s="97">
        <v>26617.277303080005</v>
      </c>
      <c r="G126" s="240">
        <f t="shared" si="51"/>
        <v>17.987245317693411</v>
      </c>
      <c r="I126" s="241">
        <f t="shared" si="56"/>
        <v>123</v>
      </c>
      <c r="J126" s="238">
        <f t="shared" si="52"/>
        <v>2034</v>
      </c>
      <c r="K126" s="239">
        <f t="shared" si="54"/>
        <v>49096</v>
      </c>
      <c r="V126" s="97" t="str">
        <f t="shared" si="48"/>
        <v>Summer</v>
      </c>
    </row>
    <row r="127" spans="2:22" hidden="1" outlineLevel="1">
      <c r="B127" s="239">
        <f t="shared" si="49"/>
        <v>49126</v>
      </c>
      <c r="C127" s="97">
        <v>-605476.54530734511</v>
      </c>
      <c r="D127" s="235">
        <f>IF(F127&lt;&gt;0,VLOOKUP($J127,'Table 1'!$B$13:$C$33,2,FALSE)/12*1000*Study_MW,0)</f>
        <v>827866.26373745222</v>
      </c>
      <c r="E127" s="235">
        <f t="shared" si="50"/>
        <v>222389.71843010711</v>
      </c>
      <c r="F127" s="97">
        <v>24849.105146169994</v>
      </c>
      <c r="G127" s="240">
        <f t="shared" si="51"/>
        <v>8.9496067211250931</v>
      </c>
      <c r="I127" s="241">
        <f t="shared" si="56"/>
        <v>124</v>
      </c>
      <c r="J127" s="238">
        <f t="shared" si="52"/>
        <v>2034</v>
      </c>
      <c r="K127" s="239">
        <f t="shared" si="54"/>
        <v>49126</v>
      </c>
      <c r="V127" s="97" t="str">
        <f t="shared" si="48"/>
        <v>Summer</v>
      </c>
    </row>
    <row r="128" spans="2:22" hidden="1" outlineLevel="1">
      <c r="B128" s="239">
        <f t="shared" si="49"/>
        <v>49157</v>
      </c>
      <c r="C128" s="97">
        <v>-274550.14883391047</v>
      </c>
      <c r="D128" s="235">
        <f>IF(F128&lt;&gt;0,VLOOKUP($J128,'Table 1'!$B$13:$C$33,2,FALSE)/12*1000*Study_MW,0)</f>
        <v>827866.26373745222</v>
      </c>
      <c r="E128" s="235">
        <f t="shared" si="50"/>
        <v>553316.11490354175</v>
      </c>
      <c r="F128" s="97">
        <v>22896.779573159998</v>
      </c>
      <c r="G128" s="240">
        <f t="shared" si="51"/>
        <v>24.165674178570882</v>
      </c>
      <c r="I128" s="241">
        <f t="shared" si="56"/>
        <v>125</v>
      </c>
      <c r="J128" s="238">
        <f t="shared" si="52"/>
        <v>2034</v>
      </c>
      <c r="K128" s="239">
        <f t="shared" si="54"/>
        <v>49157</v>
      </c>
      <c r="V128" s="97" t="str">
        <f t="shared" si="48"/>
        <v>Summer</v>
      </c>
    </row>
    <row r="129" spans="2:22" hidden="1" outlineLevel="1">
      <c r="B129" s="239">
        <f t="shared" si="49"/>
        <v>49188</v>
      </c>
      <c r="C129" s="97">
        <v>-373973.96259435482</v>
      </c>
      <c r="D129" s="235">
        <f>IF(F129&lt;&gt;0,VLOOKUP($J129,'Table 1'!$B$13:$C$33,2,FALSE)/12*1000*Study_MW,0)</f>
        <v>827866.26373745222</v>
      </c>
      <c r="E129" s="235">
        <f t="shared" si="50"/>
        <v>453892.3011430974</v>
      </c>
      <c r="F129" s="97">
        <v>18203.416913850004</v>
      </c>
      <c r="G129" s="240">
        <f t="shared" si="51"/>
        <v>24.934456167828309</v>
      </c>
      <c r="I129" s="241">
        <f t="shared" si="56"/>
        <v>126</v>
      </c>
      <c r="J129" s="238">
        <f t="shared" si="52"/>
        <v>2034</v>
      </c>
      <c r="K129" s="239">
        <f t="shared" si="54"/>
        <v>49188</v>
      </c>
      <c r="V129" s="97" t="str">
        <f t="shared" si="48"/>
        <v>Winter</v>
      </c>
    </row>
    <row r="130" spans="2:22" hidden="1" outlineLevel="1">
      <c r="B130" s="239">
        <f t="shared" si="49"/>
        <v>49218</v>
      </c>
      <c r="C130" s="97">
        <v>-348316.53455033666</v>
      </c>
      <c r="D130" s="235">
        <f>IF(F130&lt;&gt;0,VLOOKUP($J130,'Table 1'!$B$13:$C$33,2,FALSE)/12*1000*Study_MW,0)</f>
        <v>827866.26373745222</v>
      </c>
      <c r="E130" s="235">
        <f t="shared" si="50"/>
        <v>479549.72918711556</v>
      </c>
      <c r="F130" s="97">
        <v>14610.49543309</v>
      </c>
      <c r="G130" s="240">
        <f t="shared" si="51"/>
        <v>32.822277066732894</v>
      </c>
      <c r="I130" s="241">
        <f t="shared" si="56"/>
        <v>127</v>
      </c>
      <c r="J130" s="238">
        <f t="shared" si="52"/>
        <v>2034</v>
      </c>
      <c r="K130" s="239">
        <f t="shared" si="54"/>
        <v>49218</v>
      </c>
      <c r="V130" s="97" t="str">
        <f t="shared" si="48"/>
        <v>Winter</v>
      </c>
    </row>
    <row r="131" spans="2:22" hidden="1" outlineLevel="1">
      <c r="B131" s="239">
        <f t="shared" si="49"/>
        <v>49249</v>
      </c>
      <c r="C131" s="97">
        <v>-101214.06764096173</v>
      </c>
      <c r="D131" s="235">
        <f>IF(F131&lt;&gt;0,VLOOKUP($J131,'Table 1'!$B$13:$C$33,2,FALSE)/12*1000*Study_MW,0)</f>
        <v>827866.26373745222</v>
      </c>
      <c r="E131" s="235">
        <f t="shared" si="50"/>
        <v>726652.19609649049</v>
      </c>
      <c r="F131" s="97">
        <v>10482.119388880001</v>
      </c>
      <c r="G131" s="240">
        <f t="shared" si="51"/>
        <v>69.323022295220412</v>
      </c>
      <c r="I131" s="241">
        <f t="shared" si="56"/>
        <v>128</v>
      </c>
      <c r="J131" s="238">
        <f t="shared" si="52"/>
        <v>2034</v>
      </c>
      <c r="K131" s="239">
        <f t="shared" si="54"/>
        <v>49249</v>
      </c>
      <c r="V131" s="97" t="str">
        <f t="shared" si="48"/>
        <v>Winter</v>
      </c>
    </row>
    <row r="132" spans="2:22" hidden="1" outlineLevel="1">
      <c r="B132" s="245">
        <f t="shared" si="49"/>
        <v>49279</v>
      </c>
      <c r="C132" s="246">
        <v>-93322.849547512305</v>
      </c>
      <c r="D132" s="247">
        <f>IF(F132&lt;&gt;0,VLOOKUP($J132,'Table 1'!$B$13:$C$33,2,FALSE)/12*1000*Study_MW,0)</f>
        <v>827866.26373745222</v>
      </c>
      <c r="E132" s="247">
        <f t="shared" si="50"/>
        <v>734543.41418993985</v>
      </c>
      <c r="F132" s="246">
        <v>7046.4648785199997</v>
      </c>
      <c r="G132" s="248">
        <f t="shared" si="51"/>
        <v>104.24282627577919</v>
      </c>
      <c r="I132" s="249">
        <f t="shared" si="56"/>
        <v>129</v>
      </c>
      <c r="J132" s="238">
        <f t="shared" si="52"/>
        <v>2034</v>
      </c>
      <c r="K132" s="245">
        <f t="shared" si="54"/>
        <v>49279</v>
      </c>
      <c r="V132" s="97" t="str">
        <f t="shared" si="48"/>
        <v>Winter</v>
      </c>
    </row>
    <row r="133" spans="2:22" hidden="1" outlineLevel="1">
      <c r="B133" s="232">
        <f t="shared" si="49"/>
        <v>49310</v>
      </c>
      <c r="C133" s="233">
        <v>-88840.130422362563</v>
      </c>
      <c r="D133" s="234">
        <f>IF(F133&lt;&gt;0,VLOOKUP($J133,'Table 1'!$B$13:$C$33,2,FALSE)/12*1000*Study_MW,0)</f>
        <v>845913.74807487032</v>
      </c>
      <c r="E133" s="234">
        <f t="shared" si="50"/>
        <v>757073.61765250773</v>
      </c>
      <c r="F133" s="233">
        <v>7608.8436142299997</v>
      </c>
      <c r="G133" s="236">
        <f t="shared" si="51"/>
        <v>99.499169129542182</v>
      </c>
      <c r="I133" s="237">
        <f t="shared" si="56"/>
        <v>131</v>
      </c>
      <c r="J133" s="238">
        <f t="shared" si="52"/>
        <v>2035</v>
      </c>
      <c r="K133" s="232">
        <f t="shared" si="54"/>
        <v>49310</v>
      </c>
      <c r="V133" s="97" t="str">
        <f t="shared" si="48"/>
        <v>Winter</v>
      </c>
    </row>
    <row r="134" spans="2:22" hidden="1" outlineLevel="1">
      <c r="B134" s="239">
        <f t="shared" si="49"/>
        <v>49341</v>
      </c>
      <c r="C134" s="97">
        <v>-176953.74735401128</v>
      </c>
      <c r="D134" s="235">
        <f>IF(F134&lt;&gt;0,VLOOKUP($J134,'Table 1'!$B$13:$C$33,2,FALSE)/12*1000*Study_MW,0)</f>
        <v>845913.74807487032</v>
      </c>
      <c r="E134" s="235">
        <f t="shared" si="50"/>
        <v>668960.00072085904</v>
      </c>
      <c r="F134" s="97">
        <v>12695.884220909998</v>
      </c>
      <c r="G134" s="240">
        <f t="shared" si="51"/>
        <v>52.69109178068026</v>
      </c>
      <c r="I134" s="241">
        <f t="shared" si="56"/>
        <v>132</v>
      </c>
      <c r="J134" s="238">
        <f t="shared" si="52"/>
        <v>2035</v>
      </c>
      <c r="K134" s="239">
        <f t="shared" si="54"/>
        <v>49341</v>
      </c>
      <c r="V134" s="97" t="str">
        <f t="shared" si="48"/>
        <v>Winter</v>
      </c>
    </row>
    <row r="135" spans="2:22" hidden="1" outlineLevel="1">
      <c r="B135" s="239">
        <f t="shared" si="49"/>
        <v>49369</v>
      </c>
      <c r="C135" s="97">
        <v>-501854.53964630869</v>
      </c>
      <c r="D135" s="235">
        <f>IF(F135&lt;&gt;0,VLOOKUP($J135,'Table 1'!$B$13:$C$33,2,FALSE)/12*1000*Study_MW,0)</f>
        <v>845913.74807487032</v>
      </c>
      <c r="E135" s="235">
        <f t="shared" si="50"/>
        <v>344059.20842856163</v>
      </c>
      <c r="F135" s="97">
        <v>15418.196559080001</v>
      </c>
      <c r="G135" s="240">
        <f t="shared" si="51"/>
        <v>22.315139589133086</v>
      </c>
      <c r="I135" s="241">
        <f t="shared" si="56"/>
        <v>133</v>
      </c>
      <c r="J135" s="238">
        <f t="shared" si="52"/>
        <v>2035</v>
      </c>
      <c r="K135" s="239">
        <f t="shared" si="54"/>
        <v>49369</v>
      </c>
      <c r="V135" s="97" t="str">
        <f t="shared" si="48"/>
        <v>Winter</v>
      </c>
    </row>
    <row r="136" spans="2:22" hidden="1" outlineLevel="1">
      <c r="B136" s="239">
        <f t="shared" si="49"/>
        <v>49400</v>
      </c>
      <c r="C136" s="97">
        <v>-398212.73319906322</v>
      </c>
      <c r="D136" s="235">
        <f>IF(F136&lt;&gt;0,VLOOKUP($J136,'Table 1'!$B$13:$C$33,2,FALSE)/12*1000*Study_MW,0)</f>
        <v>845913.74807487032</v>
      </c>
      <c r="E136" s="235">
        <f t="shared" si="50"/>
        <v>447701.0148758071</v>
      </c>
      <c r="F136" s="97">
        <v>18621.974761649999</v>
      </c>
      <c r="G136" s="240">
        <f t="shared" si="51"/>
        <v>24.041543424159308</v>
      </c>
      <c r="I136" s="241">
        <f t="shared" si="56"/>
        <v>134</v>
      </c>
      <c r="J136" s="238">
        <f t="shared" si="52"/>
        <v>2035</v>
      </c>
      <c r="K136" s="239">
        <f t="shared" si="54"/>
        <v>49400</v>
      </c>
      <c r="V136" s="97" t="str">
        <f t="shared" si="48"/>
        <v>Winter</v>
      </c>
    </row>
    <row r="137" spans="2:22" hidden="1" outlineLevel="1">
      <c r="B137" s="239">
        <f t="shared" si="49"/>
        <v>49430</v>
      </c>
      <c r="C137" s="97">
        <v>-686060.78347504081</v>
      </c>
      <c r="D137" s="235">
        <f>IF(F137&lt;&gt;0,VLOOKUP($J137,'Table 1'!$B$13:$C$33,2,FALSE)/12*1000*Study_MW,0)</f>
        <v>845913.74807487032</v>
      </c>
      <c r="E137" s="235">
        <f t="shared" si="50"/>
        <v>159852.96459982952</v>
      </c>
      <c r="F137" s="97">
        <v>23278.349396570004</v>
      </c>
      <c r="G137" s="240">
        <f t="shared" si="51"/>
        <v>6.8670231671745325</v>
      </c>
      <c r="I137" s="241">
        <f t="shared" si="56"/>
        <v>135</v>
      </c>
      <c r="J137" s="238">
        <f t="shared" si="52"/>
        <v>2035</v>
      </c>
      <c r="K137" s="239">
        <f t="shared" si="54"/>
        <v>49430</v>
      </c>
      <c r="V137" s="97" t="str">
        <f t="shared" si="48"/>
        <v>Summer</v>
      </c>
    </row>
    <row r="138" spans="2:22" hidden="1" outlineLevel="1">
      <c r="B138" s="239">
        <f t="shared" si="49"/>
        <v>49461</v>
      </c>
      <c r="C138" s="97">
        <v>-615044.51495996187</v>
      </c>
      <c r="D138" s="235">
        <f>IF(F138&lt;&gt;0,VLOOKUP($J138,'Table 1'!$B$13:$C$33,2,FALSE)/12*1000*Study_MW,0)</f>
        <v>845913.74807487032</v>
      </c>
      <c r="E138" s="235">
        <f t="shared" si="50"/>
        <v>230869.23311490845</v>
      </c>
      <c r="F138" s="97">
        <v>26606.910866680002</v>
      </c>
      <c r="G138" s="240">
        <f t="shared" si="51"/>
        <v>8.6770401220845006</v>
      </c>
      <c r="I138" s="241">
        <f t="shared" si="56"/>
        <v>136</v>
      </c>
      <c r="J138" s="238">
        <f t="shared" si="52"/>
        <v>2035</v>
      </c>
      <c r="K138" s="239">
        <f t="shared" si="54"/>
        <v>49461</v>
      </c>
      <c r="V138" s="97" t="str">
        <f t="shared" si="48"/>
        <v>Summer</v>
      </c>
    </row>
    <row r="139" spans="2:22" hidden="1" outlineLevel="1">
      <c r="B139" s="239">
        <f t="shared" si="49"/>
        <v>49491</v>
      </c>
      <c r="C139" s="97">
        <v>-653769.58094839216</v>
      </c>
      <c r="D139" s="235">
        <f>IF(F139&lt;&gt;0,VLOOKUP($J139,'Table 1'!$B$13:$C$33,2,FALSE)/12*1000*Study_MW,0)</f>
        <v>845913.74807487032</v>
      </c>
      <c r="E139" s="235">
        <f t="shared" si="50"/>
        <v>192144.16712647816</v>
      </c>
      <c r="F139" s="97">
        <v>24671.12270684</v>
      </c>
      <c r="G139" s="240">
        <f t="shared" si="51"/>
        <v>7.7882214526543097</v>
      </c>
      <c r="I139" s="241">
        <f t="shared" si="56"/>
        <v>137</v>
      </c>
      <c r="J139" s="238">
        <f t="shared" si="52"/>
        <v>2035</v>
      </c>
      <c r="K139" s="239">
        <f t="shared" si="54"/>
        <v>49491</v>
      </c>
      <c r="V139" s="97" t="str">
        <f t="shared" si="48"/>
        <v>Summer</v>
      </c>
    </row>
    <row r="140" spans="2:22" hidden="1" outlineLevel="1">
      <c r="B140" s="239">
        <f t="shared" si="49"/>
        <v>49522</v>
      </c>
      <c r="C140" s="97">
        <v>-473517.57842675946</v>
      </c>
      <c r="D140" s="235">
        <f>IF(F140&lt;&gt;0,VLOOKUP($J140,'Table 1'!$B$13:$C$33,2,FALSE)/12*1000*Study_MW,0)</f>
        <v>845913.74807487032</v>
      </c>
      <c r="E140" s="235">
        <f t="shared" si="50"/>
        <v>372396.16964811087</v>
      </c>
      <c r="F140" s="97">
        <v>22509.861865940002</v>
      </c>
      <c r="G140" s="240">
        <f t="shared" si="51"/>
        <v>16.543689688810971</v>
      </c>
      <c r="I140" s="241">
        <f t="shared" si="56"/>
        <v>138</v>
      </c>
      <c r="J140" s="238">
        <f t="shared" si="52"/>
        <v>2035</v>
      </c>
      <c r="K140" s="239">
        <f t="shared" si="54"/>
        <v>49522</v>
      </c>
      <c r="V140" s="97" t="str">
        <f t="shared" ref="V140:V203" si="57">IFERROR(IF(AND(MONTH(K141)&gt;=6,MONTH(K141)&lt;=9),"Summer","Winter"),"-")</f>
        <v>Summer</v>
      </c>
    </row>
    <row r="141" spans="2:22" hidden="1" outlineLevel="1">
      <c r="B141" s="239">
        <f t="shared" si="49"/>
        <v>49553</v>
      </c>
      <c r="C141" s="97">
        <v>-435042.71209174837</v>
      </c>
      <c r="D141" s="235">
        <f>IF(F141&lt;&gt;0,VLOOKUP($J141,'Table 1'!$B$13:$C$33,2,FALSE)/12*1000*Study_MW,0)</f>
        <v>845913.74807487032</v>
      </c>
      <c r="E141" s="235">
        <f t="shared" si="50"/>
        <v>410871.03598312195</v>
      </c>
      <c r="F141" s="97">
        <v>18199.348450230005</v>
      </c>
      <c r="G141" s="240">
        <f t="shared" si="51"/>
        <v>22.57613986054151</v>
      </c>
      <c r="I141" s="241">
        <f t="shared" si="56"/>
        <v>139</v>
      </c>
      <c r="J141" s="238">
        <f t="shared" si="52"/>
        <v>2035</v>
      </c>
      <c r="K141" s="239">
        <f t="shared" si="54"/>
        <v>49553</v>
      </c>
      <c r="V141" s="97" t="str">
        <f t="shared" si="57"/>
        <v>Winter</v>
      </c>
    </row>
    <row r="142" spans="2:22" hidden="1" outlineLevel="1">
      <c r="B142" s="239">
        <f t="shared" ref="B142:B205" si="58">EDATE(B141,1)</f>
        <v>49583</v>
      </c>
      <c r="C142" s="97">
        <v>-338479.41605431697</v>
      </c>
      <c r="D142" s="235">
        <f>IF(F142&lt;&gt;0,VLOOKUP($J142,'Table 1'!$B$13:$C$33,2,FALSE)/12*1000*Study_MW,0)</f>
        <v>845913.74807487032</v>
      </c>
      <c r="E142" s="235">
        <f t="shared" ref="E142:E192" si="59">C142+D142</f>
        <v>507434.33202055335</v>
      </c>
      <c r="F142" s="97">
        <v>14199.352792060003</v>
      </c>
      <c r="G142" s="240">
        <f t="shared" ref="G142:G192" si="60">IF(ISNUMBER($F142),E142/$F142,"")</f>
        <v>35.736440910482948</v>
      </c>
      <c r="I142" s="241">
        <f t="shared" si="56"/>
        <v>140</v>
      </c>
      <c r="J142" s="238">
        <f t="shared" ref="J142:J192" si="61">YEAR(B142)</f>
        <v>2035</v>
      </c>
      <c r="K142" s="239">
        <f t="shared" si="54"/>
        <v>49583</v>
      </c>
      <c r="V142" s="97" t="str">
        <f t="shared" si="57"/>
        <v>Winter</v>
      </c>
    </row>
    <row r="143" spans="2:22" hidden="1" outlineLevel="1">
      <c r="B143" s="239">
        <f t="shared" si="58"/>
        <v>49614</v>
      </c>
      <c r="C143" s="97">
        <v>-118417.90366106579</v>
      </c>
      <c r="D143" s="235">
        <f>IF(F143&lt;&gt;0,VLOOKUP($J143,'Table 1'!$B$13:$C$33,2,FALSE)/12*1000*Study_MW,0)</f>
        <v>845913.74807487032</v>
      </c>
      <c r="E143" s="235">
        <f t="shared" si="59"/>
        <v>727495.84441380459</v>
      </c>
      <c r="F143" s="97">
        <v>10288.03336945</v>
      </c>
      <c r="G143" s="240">
        <f t="shared" si="60"/>
        <v>70.71281928129055</v>
      </c>
      <c r="I143" s="241">
        <f t="shared" si="56"/>
        <v>141</v>
      </c>
      <c r="J143" s="238">
        <f t="shared" si="61"/>
        <v>2035</v>
      </c>
      <c r="K143" s="239">
        <f t="shared" si="54"/>
        <v>49614</v>
      </c>
      <c r="V143" s="97" t="str">
        <f t="shared" si="57"/>
        <v>Winter</v>
      </c>
    </row>
    <row r="144" spans="2:22" hidden="1" outlineLevel="1">
      <c r="B144" s="245">
        <f t="shared" si="58"/>
        <v>49644</v>
      </c>
      <c r="C144" s="246">
        <v>-94170.36426012055</v>
      </c>
      <c r="D144" s="247">
        <f>IF(F144&lt;&gt;0,VLOOKUP($J144,'Table 1'!$B$13:$C$33,2,FALSE)/12*1000*Study_MW,0)</f>
        <v>845913.74807487032</v>
      </c>
      <c r="E144" s="247">
        <f t="shared" si="59"/>
        <v>751743.38381474977</v>
      </c>
      <c r="F144" s="246">
        <v>6909.6924576000019</v>
      </c>
      <c r="G144" s="248">
        <f t="shared" si="60"/>
        <v>108.79549103345458</v>
      </c>
      <c r="I144" s="249">
        <f t="shared" si="56"/>
        <v>142</v>
      </c>
      <c r="J144" s="238">
        <f t="shared" si="61"/>
        <v>2035</v>
      </c>
      <c r="K144" s="245">
        <f t="shared" si="54"/>
        <v>49644</v>
      </c>
      <c r="V144" s="97" t="str">
        <f t="shared" si="57"/>
        <v>Winter</v>
      </c>
    </row>
    <row r="145" spans="2:22" hidden="1" outlineLevel="1">
      <c r="B145" s="232">
        <f t="shared" si="58"/>
        <v>49675</v>
      </c>
      <c r="C145" s="233">
        <v>-206700.70235164894</v>
      </c>
      <c r="D145" s="234">
        <f>IF(F145&lt;&gt;0,VLOOKUP($J145,'Table 1'!$B$13:$C$33,2,FALSE)/12*1000*Study_MW,0)</f>
        <v>864354.66778890812</v>
      </c>
      <c r="E145" s="234">
        <f t="shared" si="59"/>
        <v>657653.96543725918</v>
      </c>
      <c r="F145" s="233">
        <v>7677.8061148100005</v>
      </c>
      <c r="G145" s="236">
        <f t="shared" si="60"/>
        <v>85.65649556696755</v>
      </c>
      <c r="I145" s="237">
        <f t="shared" si="56"/>
        <v>144</v>
      </c>
      <c r="J145" s="238">
        <f t="shared" si="61"/>
        <v>2036</v>
      </c>
      <c r="K145" s="232">
        <f t="shared" si="54"/>
        <v>49675</v>
      </c>
      <c r="V145" s="97" t="str">
        <f t="shared" si="57"/>
        <v>Winter</v>
      </c>
    </row>
    <row r="146" spans="2:22" hidden="1" outlineLevel="1">
      <c r="B146" s="239">
        <f t="shared" si="58"/>
        <v>49706</v>
      </c>
      <c r="C146" s="97">
        <v>-363477.04387546401</v>
      </c>
      <c r="D146" s="235">
        <f>IF(F146&lt;&gt;0,VLOOKUP($J146,'Table 1'!$B$13:$C$33,2,FALSE)/12*1000*Study_MW,0)</f>
        <v>864354.66778890812</v>
      </c>
      <c r="E146" s="235">
        <f t="shared" si="59"/>
        <v>500877.62391344411</v>
      </c>
      <c r="F146" s="97">
        <v>12637.88918197</v>
      </c>
      <c r="G146" s="240">
        <f t="shared" si="60"/>
        <v>39.633012815781555</v>
      </c>
      <c r="I146" s="241">
        <f t="shared" si="56"/>
        <v>145</v>
      </c>
      <c r="J146" s="238">
        <f t="shared" si="61"/>
        <v>2036</v>
      </c>
      <c r="K146" s="239">
        <f t="shared" si="54"/>
        <v>49706</v>
      </c>
      <c r="V146" s="97" t="str">
        <f t="shared" si="57"/>
        <v>Winter</v>
      </c>
    </row>
    <row r="147" spans="2:22" hidden="1" outlineLevel="1">
      <c r="B147" s="239">
        <f t="shared" si="58"/>
        <v>49735</v>
      </c>
      <c r="C147" s="97">
        <v>-534897.06808804476</v>
      </c>
      <c r="D147" s="235">
        <f>IF(F147&lt;&gt;0,VLOOKUP($J147,'Table 1'!$B$13:$C$33,2,FALSE)/12*1000*Study_MW,0)</f>
        <v>864354.66778890812</v>
      </c>
      <c r="E147" s="235">
        <f t="shared" si="59"/>
        <v>329457.59970086336</v>
      </c>
      <c r="F147" s="97">
        <v>16273.618126340001</v>
      </c>
      <c r="G147" s="240">
        <f t="shared" si="60"/>
        <v>20.244889436579129</v>
      </c>
      <c r="I147" s="241">
        <f t="shared" si="56"/>
        <v>146</v>
      </c>
      <c r="J147" s="238">
        <f t="shared" si="61"/>
        <v>2036</v>
      </c>
      <c r="K147" s="239">
        <f t="shared" si="54"/>
        <v>49735</v>
      </c>
      <c r="V147" s="97" t="str">
        <f t="shared" si="57"/>
        <v>Winter</v>
      </c>
    </row>
    <row r="148" spans="2:22" hidden="1" outlineLevel="1">
      <c r="B148" s="239">
        <f t="shared" si="58"/>
        <v>49766</v>
      </c>
      <c r="C148" s="97">
        <v>-385285.41627281811</v>
      </c>
      <c r="D148" s="235">
        <f>IF(F148&lt;&gt;0,VLOOKUP($J148,'Table 1'!$B$13:$C$33,2,FALSE)/12*1000*Study_MW,0)</f>
        <v>864354.66778890812</v>
      </c>
      <c r="E148" s="235">
        <f t="shared" si="59"/>
        <v>479069.25151609001</v>
      </c>
      <c r="F148" s="97">
        <v>18750.23902492</v>
      </c>
      <c r="G148" s="240">
        <f t="shared" si="60"/>
        <v>25.550034369129008</v>
      </c>
      <c r="I148" s="241">
        <f t="shared" si="56"/>
        <v>147</v>
      </c>
      <c r="J148" s="238">
        <f t="shared" si="61"/>
        <v>2036</v>
      </c>
      <c r="K148" s="239">
        <f t="shared" si="54"/>
        <v>49766</v>
      </c>
      <c r="V148" s="97" t="str">
        <f t="shared" si="57"/>
        <v>Winter</v>
      </c>
    </row>
    <row r="149" spans="2:22" hidden="1" outlineLevel="1">
      <c r="B149" s="239">
        <f t="shared" si="58"/>
        <v>49796</v>
      </c>
      <c r="C149" s="97">
        <v>-432981.67676408775</v>
      </c>
      <c r="D149" s="235">
        <f>IF(F149&lt;&gt;0,VLOOKUP($J149,'Table 1'!$B$13:$C$33,2,FALSE)/12*1000*Study_MW,0)</f>
        <v>864354.66778890812</v>
      </c>
      <c r="E149" s="235">
        <f t="shared" si="59"/>
        <v>431372.99102482037</v>
      </c>
      <c r="F149" s="97">
        <v>23442.303479990002</v>
      </c>
      <c r="G149" s="240">
        <f t="shared" si="60"/>
        <v>18.4014762624771</v>
      </c>
      <c r="I149" s="241">
        <f t="shared" si="56"/>
        <v>148</v>
      </c>
      <c r="J149" s="238">
        <f t="shared" si="61"/>
        <v>2036</v>
      </c>
      <c r="K149" s="239">
        <f t="shared" si="54"/>
        <v>49796</v>
      </c>
      <c r="V149" s="97" t="str">
        <f t="shared" si="57"/>
        <v>Summer</v>
      </c>
    </row>
    <row r="150" spans="2:22" hidden="1" outlineLevel="1">
      <c r="B150" s="239">
        <f t="shared" si="58"/>
        <v>49827</v>
      </c>
      <c r="C150" s="97">
        <v>-303237.52655035059</v>
      </c>
      <c r="D150" s="235">
        <f>IF(F150&lt;&gt;0,VLOOKUP($J150,'Table 1'!$B$13:$C$33,2,FALSE)/12*1000*Study_MW,0)</f>
        <v>864354.66778890812</v>
      </c>
      <c r="E150" s="235">
        <f t="shared" si="59"/>
        <v>561117.14123855752</v>
      </c>
      <c r="F150" s="97">
        <v>25972.021981680005</v>
      </c>
      <c r="G150" s="240">
        <f t="shared" si="60"/>
        <v>21.604676818553251</v>
      </c>
      <c r="I150" s="241">
        <f t="shared" si="56"/>
        <v>149</v>
      </c>
      <c r="J150" s="238">
        <f t="shared" si="61"/>
        <v>2036</v>
      </c>
      <c r="K150" s="239">
        <f t="shared" si="54"/>
        <v>49827</v>
      </c>
      <c r="V150" s="97" t="str">
        <f t="shared" si="57"/>
        <v>Summer</v>
      </c>
    </row>
    <row r="151" spans="2:22" hidden="1" outlineLevel="1">
      <c r="B151" s="239">
        <f t="shared" si="58"/>
        <v>49857</v>
      </c>
      <c r="C151" s="97">
        <v>-563534.74074960104</v>
      </c>
      <c r="D151" s="235">
        <f>IF(F151&lt;&gt;0,VLOOKUP($J151,'Table 1'!$B$13:$C$33,2,FALSE)/12*1000*Study_MW,0)</f>
        <v>864354.66778890812</v>
      </c>
      <c r="E151" s="235">
        <f t="shared" si="59"/>
        <v>300819.92703930708</v>
      </c>
      <c r="F151" s="97">
        <v>24767.326688699995</v>
      </c>
      <c r="G151" s="240">
        <f t="shared" si="60"/>
        <v>12.145837571422478</v>
      </c>
      <c r="I151" s="241">
        <f t="shared" si="56"/>
        <v>150</v>
      </c>
      <c r="J151" s="238">
        <f t="shared" si="61"/>
        <v>2036</v>
      </c>
      <c r="K151" s="239">
        <f t="shared" si="54"/>
        <v>49857</v>
      </c>
      <c r="V151" s="97" t="str">
        <f t="shared" si="57"/>
        <v>Summer</v>
      </c>
    </row>
    <row r="152" spans="2:22" hidden="1" outlineLevel="1">
      <c r="B152" s="239">
        <f t="shared" si="58"/>
        <v>49888</v>
      </c>
      <c r="C152" s="97">
        <v>-469940.47741364921</v>
      </c>
      <c r="D152" s="235">
        <f>IF(F152&lt;&gt;0,VLOOKUP($J152,'Table 1'!$B$13:$C$33,2,FALSE)/12*1000*Study_MW,0)</f>
        <v>864354.66778890812</v>
      </c>
      <c r="E152" s="235">
        <f t="shared" si="59"/>
        <v>394414.19037525891</v>
      </c>
      <c r="F152" s="97">
        <v>22423.794802750002</v>
      </c>
      <c r="G152" s="240">
        <f t="shared" si="60"/>
        <v>17.589092026782588</v>
      </c>
      <c r="I152" s="241">
        <f t="shared" si="56"/>
        <v>151</v>
      </c>
      <c r="J152" s="238">
        <f t="shared" si="61"/>
        <v>2036</v>
      </c>
      <c r="K152" s="239">
        <f t="shared" si="54"/>
        <v>49888</v>
      </c>
      <c r="V152" s="97" t="str">
        <f t="shared" si="57"/>
        <v>Summer</v>
      </c>
    </row>
    <row r="153" spans="2:22" hidden="1" outlineLevel="1">
      <c r="B153" s="239">
        <f t="shared" si="58"/>
        <v>49919</v>
      </c>
      <c r="C153" s="97">
        <v>-509875.54291787819</v>
      </c>
      <c r="D153" s="235">
        <f>IF(F153&lt;&gt;0,VLOOKUP($J153,'Table 1'!$B$13:$C$33,2,FALSE)/12*1000*Study_MW,0)</f>
        <v>864354.66778890812</v>
      </c>
      <c r="E153" s="235">
        <f t="shared" si="59"/>
        <v>354479.12487102993</v>
      </c>
      <c r="F153" s="97">
        <v>17796.807726430001</v>
      </c>
      <c r="G153" s="240">
        <f t="shared" si="60"/>
        <v>19.91812971854462</v>
      </c>
      <c r="I153" s="241">
        <f t="shared" si="56"/>
        <v>152</v>
      </c>
      <c r="J153" s="238">
        <f t="shared" si="61"/>
        <v>2036</v>
      </c>
      <c r="K153" s="239">
        <f t="shared" si="54"/>
        <v>49919</v>
      </c>
      <c r="V153" s="97" t="str">
        <f t="shared" si="57"/>
        <v>Winter</v>
      </c>
    </row>
    <row r="154" spans="2:22" hidden="1" outlineLevel="1">
      <c r="B154" s="239">
        <f t="shared" si="58"/>
        <v>49949</v>
      </c>
      <c r="C154" s="97">
        <v>-427844.3601031322</v>
      </c>
      <c r="D154" s="235">
        <f>IF(F154&lt;&gt;0,VLOOKUP($J154,'Table 1'!$B$13:$C$33,2,FALSE)/12*1000*Study_MW,0)</f>
        <v>864354.66778890812</v>
      </c>
      <c r="E154" s="235">
        <f t="shared" si="59"/>
        <v>436510.30768577592</v>
      </c>
      <c r="F154" s="97">
        <v>13807.701723980002</v>
      </c>
      <c r="G154" s="240">
        <f t="shared" si="60"/>
        <v>31.613538328951819</v>
      </c>
      <c r="I154" s="241">
        <f t="shared" si="56"/>
        <v>153</v>
      </c>
      <c r="J154" s="238">
        <f t="shared" si="61"/>
        <v>2036</v>
      </c>
      <c r="K154" s="239">
        <f t="shared" ref="K154:K192" si="62">IF(ISNUMBER(F154),IF(F154&lt;&gt;0,B154,""),"")</f>
        <v>49949</v>
      </c>
      <c r="V154" s="97" t="str">
        <f t="shared" si="57"/>
        <v>Winter</v>
      </c>
    </row>
    <row r="155" spans="2:22" hidden="1" outlineLevel="1">
      <c r="B155" s="239">
        <f t="shared" si="58"/>
        <v>49980</v>
      </c>
      <c r="C155" s="97">
        <v>-224405.94101330498</v>
      </c>
      <c r="D155" s="235">
        <f>IF(F155&lt;&gt;0,VLOOKUP($J155,'Table 1'!$B$13:$C$33,2,FALSE)/12*1000*Study_MW,0)</f>
        <v>864354.66778890812</v>
      </c>
      <c r="E155" s="235">
        <f t="shared" si="59"/>
        <v>639948.72677560314</v>
      </c>
      <c r="F155" s="97">
        <v>9635.8183867900025</v>
      </c>
      <c r="G155" s="240">
        <f t="shared" si="60"/>
        <v>66.413531377150662</v>
      </c>
      <c r="I155" s="241">
        <f t="shared" si="56"/>
        <v>154</v>
      </c>
      <c r="J155" s="238">
        <f t="shared" si="61"/>
        <v>2036</v>
      </c>
      <c r="K155" s="239">
        <f t="shared" si="62"/>
        <v>49980</v>
      </c>
      <c r="V155" s="97" t="str">
        <f t="shared" si="57"/>
        <v>Winter</v>
      </c>
    </row>
    <row r="156" spans="2:22" hidden="1" outlineLevel="1">
      <c r="B156" s="245">
        <f t="shared" si="58"/>
        <v>50010</v>
      </c>
      <c r="C156" s="246">
        <v>-169872.03318011598</v>
      </c>
      <c r="D156" s="247">
        <f>IF(F156&lt;&gt;0,VLOOKUP($J156,'Table 1'!$B$13:$C$33,2,FALSE)/12*1000*Study_MW,0)</f>
        <v>864354.66778890812</v>
      </c>
      <c r="E156" s="247">
        <f t="shared" si="59"/>
        <v>694482.63460879214</v>
      </c>
      <c r="F156" s="246">
        <v>6723.9048062499996</v>
      </c>
      <c r="G156" s="248">
        <f t="shared" si="60"/>
        <v>103.28561373493228</v>
      </c>
      <c r="I156" s="249">
        <f t="shared" si="56"/>
        <v>155</v>
      </c>
      <c r="J156" s="238">
        <f t="shared" si="61"/>
        <v>2036</v>
      </c>
      <c r="K156" s="245">
        <f t="shared" si="62"/>
        <v>50010</v>
      </c>
      <c r="V156" s="97" t="str">
        <f t="shared" si="57"/>
        <v>Winter</v>
      </c>
    </row>
    <row r="157" spans="2:22" hidden="1" outlineLevel="1">
      <c r="B157" s="232">
        <f t="shared" si="58"/>
        <v>50041</v>
      </c>
      <c r="C157" s="233">
        <v>-173456.16519522446</v>
      </c>
      <c r="D157" s="234">
        <f>IF(F157&lt;&gt;0,VLOOKUP($J157,'Table 1'!$B$13:$C$33,2,FALSE)/12*1000*Study_MW,0)</f>
        <v>883197.59929301043</v>
      </c>
      <c r="E157" s="234">
        <f t="shared" si="59"/>
        <v>709741.43409778597</v>
      </c>
      <c r="F157" s="233">
        <v>7502.5165495400015</v>
      </c>
      <c r="G157" s="236">
        <f t="shared" si="60"/>
        <v>94.60044898418812</v>
      </c>
      <c r="I157" s="237">
        <f t="shared" si="56"/>
        <v>157</v>
      </c>
      <c r="J157" s="238">
        <f t="shared" si="61"/>
        <v>2037</v>
      </c>
      <c r="K157" s="232">
        <f t="shared" si="62"/>
        <v>50041</v>
      </c>
      <c r="V157" s="97" t="str">
        <f t="shared" si="57"/>
        <v>Winter</v>
      </c>
    </row>
    <row r="158" spans="2:22" hidden="1" outlineLevel="1">
      <c r="B158" s="239">
        <f t="shared" si="58"/>
        <v>50072</v>
      </c>
      <c r="C158" s="97">
        <v>-262322.38065953425</v>
      </c>
      <c r="D158" s="235">
        <f>IF(F158&lt;&gt;0,VLOOKUP($J158,'Table 1'!$B$13:$C$33,2,FALSE)/12*1000*Study_MW,0)</f>
        <v>883197.59929301043</v>
      </c>
      <c r="E158" s="235">
        <f t="shared" si="59"/>
        <v>620875.21863347618</v>
      </c>
      <c r="F158" s="97">
        <v>12206.288728080001</v>
      </c>
      <c r="G158" s="240">
        <f t="shared" si="60"/>
        <v>50.865191907609194</v>
      </c>
      <c r="I158" s="241">
        <f t="shared" si="56"/>
        <v>158</v>
      </c>
      <c r="J158" s="238">
        <f t="shared" si="61"/>
        <v>2037</v>
      </c>
      <c r="K158" s="239">
        <f t="shared" si="62"/>
        <v>50072</v>
      </c>
      <c r="V158" s="97" t="str">
        <f t="shared" si="57"/>
        <v>Winter</v>
      </c>
    </row>
    <row r="159" spans="2:22" hidden="1" outlineLevel="1">
      <c r="B159" s="239">
        <f t="shared" si="58"/>
        <v>50100</v>
      </c>
      <c r="C159" s="97">
        <v>-532872.88191930566</v>
      </c>
      <c r="D159" s="235">
        <f>IF(F159&lt;&gt;0,VLOOKUP($J159,'Table 1'!$B$13:$C$33,2,FALSE)/12*1000*Study_MW,0)</f>
        <v>883197.59929301043</v>
      </c>
      <c r="E159" s="235">
        <f t="shared" si="59"/>
        <v>350324.71737370477</v>
      </c>
      <c r="F159" s="97">
        <v>14197.646245530002</v>
      </c>
      <c r="G159" s="240">
        <f t="shared" si="60"/>
        <v>24.674844781683532</v>
      </c>
      <c r="I159" s="241">
        <f t="shared" si="56"/>
        <v>159</v>
      </c>
      <c r="J159" s="238">
        <f t="shared" si="61"/>
        <v>2037</v>
      </c>
      <c r="K159" s="239">
        <f t="shared" si="62"/>
        <v>50100</v>
      </c>
      <c r="V159" s="97" t="str">
        <f t="shared" si="57"/>
        <v>Winter</v>
      </c>
    </row>
    <row r="160" spans="2:22" hidden="1" outlineLevel="1">
      <c r="B160" s="239">
        <f t="shared" si="58"/>
        <v>50131</v>
      </c>
      <c r="C160" s="97">
        <v>-519283.55797089171</v>
      </c>
      <c r="D160" s="235">
        <f>IF(F160&lt;&gt;0,VLOOKUP($J160,'Table 1'!$B$13:$C$33,2,FALSE)/12*1000*Study_MW,0)</f>
        <v>883197.59929301043</v>
      </c>
      <c r="E160" s="235">
        <f t="shared" si="59"/>
        <v>363914.04132211872</v>
      </c>
      <c r="F160" s="97">
        <v>18517.547722029994</v>
      </c>
      <c r="G160" s="240">
        <f t="shared" si="60"/>
        <v>19.652388468759106</v>
      </c>
      <c r="I160" s="241">
        <f t="shared" si="56"/>
        <v>160</v>
      </c>
      <c r="J160" s="238">
        <f t="shared" si="61"/>
        <v>2037</v>
      </c>
      <c r="K160" s="239">
        <f t="shared" si="62"/>
        <v>50131</v>
      </c>
      <c r="V160" s="97" t="str">
        <f t="shared" si="57"/>
        <v>Winter</v>
      </c>
    </row>
    <row r="161" spans="2:22" hidden="1" outlineLevel="1">
      <c r="B161" s="239">
        <f t="shared" si="58"/>
        <v>50161</v>
      </c>
      <c r="C161" s="97">
        <v>-401132.47869472252</v>
      </c>
      <c r="D161" s="235">
        <f>IF(F161&lt;&gt;0,VLOOKUP($J161,'Table 1'!$B$13:$C$33,2,FALSE)/12*1000*Study_MW,0)</f>
        <v>883197.59929301043</v>
      </c>
      <c r="E161" s="235">
        <f t="shared" si="59"/>
        <v>482065.1205982879</v>
      </c>
      <c r="F161" s="97">
        <v>22005.403787459993</v>
      </c>
      <c r="G161" s="240">
        <f t="shared" si="60"/>
        <v>21.906670073148021</v>
      </c>
      <c r="I161" s="241">
        <f t="shared" si="56"/>
        <v>161</v>
      </c>
      <c r="J161" s="238">
        <f t="shared" si="61"/>
        <v>2037</v>
      </c>
      <c r="K161" s="239">
        <f t="shared" si="62"/>
        <v>50161</v>
      </c>
      <c r="V161" s="97" t="str">
        <f t="shared" si="57"/>
        <v>Summer</v>
      </c>
    </row>
    <row r="162" spans="2:22" hidden="1" outlineLevel="1">
      <c r="B162" s="239">
        <f t="shared" si="58"/>
        <v>50192</v>
      </c>
      <c r="C162" s="97">
        <v>-531461.75325008517</v>
      </c>
      <c r="D162" s="235">
        <f>IF(F162&lt;&gt;0,VLOOKUP($J162,'Table 1'!$B$13:$C$33,2,FALSE)/12*1000*Study_MW,0)</f>
        <v>883197.59929301043</v>
      </c>
      <c r="E162" s="235">
        <f t="shared" si="59"/>
        <v>351735.84604292526</v>
      </c>
      <c r="F162" s="97">
        <v>26213.652278920006</v>
      </c>
      <c r="G162" s="240">
        <f t="shared" si="60"/>
        <v>13.418040427955836</v>
      </c>
      <c r="I162" s="241">
        <f t="shared" si="56"/>
        <v>162</v>
      </c>
      <c r="J162" s="238">
        <f t="shared" si="61"/>
        <v>2037</v>
      </c>
      <c r="K162" s="239">
        <f t="shared" si="62"/>
        <v>50192</v>
      </c>
      <c r="V162" s="97" t="str">
        <f t="shared" si="57"/>
        <v>Summer</v>
      </c>
    </row>
    <row r="163" spans="2:22" hidden="1" outlineLevel="1">
      <c r="B163" s="239">
        <f t="shared" si="58"/>
        <v>50222</v>
      </c>
      <c r="C163" s="97">
        <v>-689576.29325031303</v>
      </c>
      <c r="D163" s="235">
        <f>IF(F163&lt;&gt;0,VLOOKUP($J163,'Table 1'!$B$13:$C$33,2,FALSE)/12*1000*Study_MW,0)</f>
        <v>883197.59929301043</v>
      </c>
      <c r="E163" s="235">
        <f t="shared" si="59"/>
        <v>193621.3060426974</v>
      </c>
      <c r="F163" s="97">
        <v>25142.16403733</v>
      </c>
      <c r="G163" s="240">
        <f t="shared" si="60"/>
        <v>7.7010596922053667</v>
      </c>
      <c r="I163" s="241">
        <f t="shared" si="56"/>
        <v>163</v>
      </c>
      <c r="J163" s="238">
        <f t="shared" si="61"/>
        <v>2037</v>
      </c>
      <c r="K163" s="239">
        <f t="shared" si="62"/>
        <v>50222</v>
      </c>
      <c r="V163" s="97" t="str">
        <f t="shared" si="57"/>
        <v>Summer</v>
      </c>
    </row>
    <row r="164" spans="2:22" hidden="1" outlineLevel="1">
      <c r="B164" s="239">
        <f t="shared" si="58"/>
        <v>50253</v>
      </c>
      <c r="C164" s="97">
        <v>-698437.45111576573</v>
      </c>
      <c r="D164" s="235">
        <f>IF(F164&lt;&gt;0,VLOOKUP($J164,'Table 1'!$B$13:$C$33,2,FALSE)/12*1000*Study_MW,0)</f>
        <v>883197.59929301043</v>
      </c>
      <c r="E164" s="235">
        <f t="shared" si="59"/>
        <v>184760.1481772447</v>
      </c>
      <c r="F164" s="97">
        <v>22128.948081500002</v>
      </c>
      <c r="G164" s="240">
        <f t="shared" si="60"/>
        <v>8.3492512837384183</v>
      </c>
      <c r="I164" s="241">
        <f t="shared" si="56"/>
        <v>164</v>
      </c>
      <c r="J164" s="238">
        <f t="shared" si="61"/>
        <v>2037</v>
      </c>
      <c r="K164" s="239">
        <f t="shared" si="62"/>
        <v>50253</v>
      </c>
      <c r="V164" s="97" t="str">
        <f t="shared" si="57"/>
        <v>Summer</v>
      </c>
    </row>
    <row r="165" spans="2:22" hidden="1" outlineLevel="1">
      <c r="B165" s="239">
        <f t="shared" si="58"/>
        <v>50284</v>
      </c>
      <c r="C165" s="97">
        <v>-610568.92532239726</v>
      </c>
      <c r="D165" s="235">
        <f>IF(F165&lt;&gt;0,VLOOKUP($J165,'Table 1'!$B$13:$C$33,2,FALSE)/12*1000*Study_MW,0)</f>
        <v>883197.59929301043</v>
      </c>
      <c r="E165" s="235">
        <f t="shared" si="59"/>
        <v>272628.67397061316</v>
      </c>
      <c r="F165" s="97">
        <v>19264.950147400003</v>
      </c>
      <c r="G165" s="240">
        <f t="shared" si="60"/>
        <v>14.151537994371978</v>
      </c>
      <c r="I165" s="241">
        <f t="shared" si="56"/>
        <v>165</v>
      </c>
      <c r="J165" s="238">
        <f t="shared" si="61"/>
        <v>2037</v>
      </c>
      <c r="K165" s="239">
        <f t="shared" si="62"/>
        <v>50284</v>
      </c>
      <c r="V165" s="97" t="str">
        <f t="shared" si="57"/>
        <v>Winter</v>
      </c>
    </row>
    <row r="166" spans="2:22" hidden="1" outlineLevel="1">
      <c r="B166" s="239">
        <f t="shared" si="58"/>
        <v>50314</v>
      </c>
      <c r="C166" s="97">
        <v>-550549.21319239656</v>
      </c>
      <c r="D166" s="235">
        <f>IF(F166&lt;&gt;0,VLOOKUP($J166,'Table 1'!$B$13:$C$33,2,FALSE)/12*1000*Study_MW,0)</f>
        <v>883197.59929301043</v>
      </c>
      <c r="E166" s="235">
        <f t="shared" si="59"/>
        <v>332648.38610061386</v>
      </c>
      <c r="F166" s="97">
        <v>14042.94118704</v>
      </c>
      <c r="G166" s="240">
        <f t="shared" si="60"/>
        <v>23.687942694484086</v>
      </c>
      <c r="I166" s="241">
        <f t="shared" si="56"/>
        <v>166</v>
      </c>
      <c r="J166" s="238">
        <f t="shared" si="61"/>
        <v>2037</v>
      </c>
      <c r="K166" s="239">
        <f t="shared" si="62"/>
        <v>50314</v>
      </c>
      <c r="V166" s="97" t="str">
        <f t="shared" si="57"/>
        <v>Winter</v>
      </c>
    </row>
    <row r="167" spans="2:22" hidden="1" outlineLevel="1">
      <c r="B167" s="239">
        <f t="shared" si="58"/>
        <v>50345</v>
      </c>
      <c r="C167" s="97">
        <v>-182927.59594446397</v>
      </c>
      <c r="D167" s="235">
        <f>IF(F167&lt;&gt;0,VLOOKUP($J167,'Table 1'!$B$13:$C$33,2,FALSE)/12*1000*Study_MW,0)</f>
        <v>883197.59929301043</v>
      </c>
      <c r="E167" s="235">
        <f t="shared" si="59"/>
        <v>700270.00334854645</v>
      </c>
      <c r="F167" s="97">
        <v>10885.157414040001</v>
      </c>
      <c r="G167" s="240">
        <f t="shared" si="60"/>
        <v>64.332556407987013</v>
      </c>
      <c r="I167" s="241">
        <f t="shared" si="56"/>
        <v>167</v>
      </c>
      <c r="J167" s="238">
        <f t="shared" si="61"/>
        <v>2037</v>
      </c>
      <c r="K167" s="239">
        <f t="shared" si="62"/>
        <v>50345</v>
      </c>
      <c r="V167" s="97" t="str">
        <f t="shared" si="57"/>
        <v>Winter</v>
      </c>
    </row>
    <row r="168" spans="2:22" hidden="1" outlineLevel="1">
      <c r="B168" s="245">
        <f t="shared" si="58"/>
        <v>50375</v>
      </c>
      <c r="C168" s="246">
        <v>-145026.17084421217</v>
      </c>
      <c r="D168" s="247">
        <f>IF(F168&lt;&gt;0,VLOOKUP($J168,'Table 1'!$B$13:$C$33,2,FALSE)/12*1000*Study_MW,0)</f>
        <v>883197.59929301043</v>
      </c>
      <c r="E168" s="247">
        <f t="shared" si="59"/>
        <v>738171.42844879825</v>
      </c>
      <c r="F168" s="246">
        <v>7022.6797640700015</v>
      </c>
      <c r="G168" s="248">
        <f t="shared" si="60"/>
        <v>105.11250024890644</v>
      </c>
      <c r="I168" s="249">
        <f t="shared" si="56"/>
        <v>168</v>
      </c>
      <c r="J168" s="238">
        <f t="shared" si="61"/>
        <v>2037</v>
      </c>
      <c r="K168" s="245">
        <f t="shared" si="62"/>
        <v>50375</v>
      </c>
      <c r="V168" s="97" t="str">
        <f t="shared" si="57"/>
        <v>Winter</v>
      </c>
    </row>
    <row r="169" spans="2:22" hidden="1" outlineLevel="1">
      <c r="B169" s="232">
        <f t="shared" si="58"/>
        <v>50406</v>
      </c>
      <c r="C169" s="233">
        <v>-235557.40471674653</v>
      </c>
      <c r="D169" s="234">
        <f>IF(F169&lt;&gt;0,VLOOKUP($J169,'Table 1'!$B$13:$C$33,2,FALSE)/12*1000*Study_MW,0)</f>
        <v>902451.30717059062</v>
      </c>
      <c r="E169" s="234">
        <f t="shared" si="59"/>
        <v>666893.90245384409</v>
      </c>
      <c r="F169" s="233">
        <v>7389.1863702199989</v>
      </c>
      <c r="G169" s="236">
        <f t="shared" si="60"/>
        <v>90.252683995300089</v>
      </c>
      <c r="I169" s="237">
        <f t="shared" si="56"/>
        <v>170</v>
      </c>
      <c r="J169" s="238">
        <f t="shared" si="61"/>
        <v>2038</v>
      </c>
      <c r="K169" s="232">
        <f t="shared" si="62"/>
        <v>50406</v>
      </c>
      <c r="V169" s="97" t="str">
        <f t="shared" si="57"/>
        <v>Winter</v>
      </c>
    </row>
    <row r="170" spans="2:22" hidden="1" outlineLevel="1">
      <c r="B170" s="239">
        <f t="shared" si="58"/>
        <v>50437</v>
      </c>
      <c r="C170" s="97">
        <v>-255706.081605691</v>
      </c>
      <c r="D170" s="235">
        <f>IF(F170&lt;&gt;0,VLOOKUP($J170,'Table 1'!$B$13:$C$33,2,FALSE)/12*1000*Study_MW,0)</f>
        <v>902451.30717059062</v>
      </c>
      <c r="E170" s="235">
        <f t="shared" si="59"/>
        <v>646745.22556489962</v>
      </c>
      <c r="F170" s="97">
        <v>12489.293774430005</v>
      </c>
      <c r="G170" s="240">
        <f t="shared" si="60"/>
        <v>51.783970915074114</v>
      </c>
      <c r="I170" s="241">
        <f t="shared" si="56"/>
        <v>171</v>
      </c>
      <c r="J170" s="238">
        <f t="shared" si="61"/>
        <v>2038</v>
      </c>
      <c r="K170" s="239">
        <f t="shared" si="62"/>
        <v>50437</v>
      </c>
      <c r="V170" s="97" t="str">
        <f t="shared" si="57"/>
        <v>Winter</v>
      </c>
    </row>
    <row r="171" spans="2:22" hidden="1" outlineLevel="1">
      <c r="B171" s="239">
        <f t="shared" si="58"/>
        <v>50465</v>
      </c>
      <c r="C171" s="97">
        <v>-603285.50840412208</v>
      </c>
      <c r="D171" s="235">
        <f>IF(F171&lt;&gt;0,VLOOKUP($J171,'Table 1'!$B$13:$C$33,2,FALSE)/12*1000*Study_MW,0)</f>
        <v>902451.30717059062</v>
      </c>
      <c r="E171" s="235">
        <f t="shared" si="59"/>
        <v>299165.79876646854</v>
      </c>
      <c r="F171" s="97">
        <v>14205.24445496</v>
      </c>
      <c r="G171" s="240">
        <f t="shared" si="60"/>
        <v>21.060235866761854</v>
      </c>
      <c r="I171" s="241">
        <f t="shared" si="56"/>
        <v>172</v>
      </c>
      <c r="J171" s="238">
        <f t="shared" si="61"/>
        <v>2038</v>
      </c>
      <c r="K171" s="239">
        <f t="shared" si="62"/>
        <v>50465</v>
      </c>
      <c r="V171" s="97" t="str">
        <f t="shared" si="57"/>
        <v>Winter</v>
      </c>
    </row>
    <row r="172" spans="2:22" hidden="1" outlineLevel="1">
      <c r="B172" s="239">
        <f t="shared" si="58"/>
        <v>50496</v>
      </c>
      <c r="C172" s="97">
        <v>-545346.3680891291</v>
      </c>
      <c r="D172" s="235">
        <f>IF(F172&lt;&gt;0,VLOOKUP($J172,'Table 1'!$B$13:$C$33,2,FALSE)/12*1000*Study_MW,0)</f>
        <v>902451.30717059062</v>
      </c>
      <c r="E172" s="235">
        <f t="shared" si="59"/>
        <v>357104.93908146152</v>
      </c>
      <c r="F172" s="97">
        <v>18287.798531699995</v>
      </c>
      <c r="G172" s="240">
        <f t="shared" si="60"/>
        <v>19.526950631179432</v>
      </c>
      <c r="I172" s="241">
        <f t="shared" si="56"/>
        <v>173</v>
      </c>
      <c r="J172" s="238">
        <f t="shared" si="61"/>
        <v>2038</v>
      </c>
      <c r="K172" s="239">
        <f t="shared" si="62"/>
        <v>50496</v>
      </c>
      <c r="V172" s="97" t="str">
        <f t="shared" si="57"/>
        <v>Winter</v>
      </c>
    </row>
    <row r="173" spans="2:22" hidden="1" outlineLevel="1">
      <c r="B173" s="239">
        <f t="shared" si="58"/>
        <v>50526</v>
      </c>
      <c r="C173" s="97">
        <v>-711634.86820571416</v>
      </c>
      <c r="D173" s="235">
        <f>IF(F173&lt;&gt;0,VLOOKUP($J173,'Table 1'!$B$13:$C$33,2,FALSE)/12*1000*Study_MW,0)</f>
        <v>902451.30717059062</v>
      </c>
      <c r="E173" s="235">
        <f t="shared" si="59"/>
        <v>190816.43896487646</v>
      </c>
      <c r="F173" s="97">
        <v>22206.987313890004</v>
      </c>
      <c r="G173" s="240">
        <f t="shared" si="60"/>
        <v>8.5926306107053421</v>
      </c>
      <c r="I173" s="241">
        <f t="shared" si="56"/>
        <v>174</v>
      </c>
      <c r="J173" s="238">
        <f t="shared" si="61"/>
        <v>2038</v>
      </c>
      <c r="K173" s="239">
        <f t="shared" si="62"/>
        <v>50526</v>
      </c>
      <c r="V173" s="97" t="str">
        <f t="shared" si="57"/>
        <v>Summer</v>
      </c>
    </row>
    <row r="174" spans="2:22" hidden="1" outlineLevel="1">
      <c r="B174" s="239">
        <f t="shared" si="58"/>
        <v>50557</v>
      </c>
      <c r="C174" s="97">
        <v>-766068.36972796009</v>
      </c>
      <c r="D174" s="235">
        <f>IF(F174&lt;&gt;0,VLOOKUP($J174,'Table 1'!$B$13:$C$33,2,FALSE)/12*1000*Study_MW,0)</f>
        <v>902451.30717059062</v>
      </c>
      <c r="E174" s="235">
        <f t="shared" si="59"/>
        <v>136382.93744263053</v>
      </c>
      <c r="F174" s="97">
        <v>26148.412252470007</v>
      </c>
      <c r="G174" s="240">
        <f t="shared" si="60"/>
        <v>5.2157253804099577</v>
      </c>
      <c r="I174" s="241">
        <f t="shared" si="56"/>
        <v>175</v>
      </c>
      <c r="J174" s="238">
        <f t="shared" si="61"/>
        <v>2038</v>
      </c>
      <c r="K174" s="239">
        <f t="shared" si="62"/>
        <v>50557</v>
      </c>
      <c r="V174" s="97" t="str">
        <f t="shared" si="57"/>
        <v>Summer</v>
      </c>
    </row>
    <row r="175" spans="2:22" hidden="1" outlineLevel="1">
      <c r="B175" s="239">
        <f t="shared" si="58"/>
        <v>50587</v>
      </c>
      <c r="C175" s="97">
        <v>-841746.53168040095</v>
      </c>
      <c r="D175" s="235">
        <f>IF(F175&lt;&gt;0,VLOOKUP($J175,'Table 1'!$B$13:$C$33,2,FALSE)/12*1000*Study_MW,0)</f>
        <v>902451.30717059062</v>
      </c>
      <c r="E175" s="235">
        <f t="shared" si="59"/>
        <v>60704.77549018967</v>
      </c>
      <c r="F175" s="97">
        <v>24696.10751699</v>
      </c>
      <c r="G175" s="240">
        <f t="shared" si="60"/>
        <v>2.4580705865662047</v>
      </c>
      <c r="I175" s="241">
        <f t="shared" si="56"/>
        <v>176</v>
      </c>
      <c r="J175" s="238">
        <f t="shared" si="61"/>
        <v>2038</v>
      </c>
      <c r="K175" s="239">
        <f t="shared" si="62"/>
        <v>50587</v>
      </c>
      <c r="V175" s="97" t="str">
        <f t="shared" si="57"/>
        <v>Summer</v>
      </c>
    </row>
    <row r="176" spans="2:22" hidden="1" outlineLevel="1">
      <c r="B176" s="239">
        <f t="shared" si="58"/>
        <v>50618</v>
      </c>
      <c r="C176" s="97">
        <v>-939742.39047290757</v>
      </c>
      <c r="D176" s="235">
        <f>IF(F176&lt;&gt;0,VLOOKUP($J176,'Table 1'!$B$13:$C$33,2,FALSE)/12*1000*Study_MW,0)</f>
        <v>902451.30717059062</v>
      </c>
      <c r="E176" s="235">
        <f t="shared" si="59"/>
        <v>-37291.083302316954</v>
      </c>
      <c r="F176" s="97">
        <v>22205.752983440001</v>
      </c>
      <c r="G176" s="240">
        <f t="shared" si="60"/>
        <v>-1.6793433363924599</v>
      </c>
      <c r="I176" s="241">
        <f t="shared" si="56"/>
        <v>177</v>
      </c>
      <c r="J176" s="238">
        <f t="shared" si="61"/>
        <v>2038</v>
      </c>
      <c r="K176" s="239">
        <f t="shared" si="62"/>
        <v>50618</v>
      </c>
      <c r="V176" s="97" t="str">
        <f t="shared" si="57"/>
        <v>Summer</v>
      </c>
    </row>
    <row r="177" spans="2:22" hidden="1" outlineLevel="1">
      <c r="B177" s="239">
        <f t="shared" si="58"/>
        <v>50649</v>
      </c>
      <c r="C177" s="97">
        <v>-657368.43095358205</v>
      </c>
      <c r="D177" s="235">
        <f>IF(F177&lt;&gt;0,VLOOKUP($J177,'Table 1'!$B$13:$C$33,2,FALSE)/12*1000*Study_MW,0)</f>
        <v>902451.30717059062</v>
      </c>
      <c r="E177" s="235">
        <f t="shared" si="59"/>
        <v>245082.87621700857</v>
      </c>
      <c r="F177" s="97">
        <v>18722.495164150001</v>
      </c>
      <c r="G177" s="240">
        <f t="shared" si="60"/>
        <v>13.090289198540985</v>
      </c>
      <c r="I177" s="241">
        <f t="shared" si="56"/>
        <v>178</v>
      </c>
      <c r="J177" s="238">
        <f t="shared" si="61"/>
        <v>2038</v>
      </c>
      <c r="K177" s="239">
        <f t="shared" si="62"/>
        <v>50649</v>
      </c>
      <c r="V177" s="97" t="str">
        <f t="shared" si="57"/>
        <v>Winter</v>
      </c>
    </row>
    <row r="178" spans="2:22" hidden="1" outlineLevel="1">
      <c r="B178" s="239">
        <f t="shared" si="58"/>
        <v>50679</v>
      </c>
      <c r="C178" s="97">
        <v>-558943.55072430335</v>
      </c>
      <c r="D178" s="235">
        <f>IF(F178&lt;&gt;0,VLOOKUP($J178,'Table 1'!$B$13:$C$33,2,FALSE)/12*1000*Study_MW,0)</f>
        <v>902451.30717059062</v>
      </c>
      <c r="E178" s="235">
        <f t="shared" si="59"/>
        <v>343507.75644628727</v>
      </c>
      <c r="F178" s="97">
        <v>14067.709230159999</v>
      </c>
      <c r="G178" s="240">
        <f t="shared" si="60"/>
        <v>24.418172911182669</v>
      </c>
      <c r="I178" s="241">
        <f t="shared" si="56"/>
        <v>179</v>
      </c>
      <c r="J178" s="238">
        <f t="shared" si="61"/>
        <v>2038</v>
      </c>
      <c r="K178" s="239">
        <f t="shared" si="62"/>
        <v>50679</v>
      </c>
      <c r="V178" s="97" t="str">
        <f t="shared" si="57"/>
        <v>Winter</v>
      </c>
    </row>
    <row r="179" spans="2:22" hidden="1" outlineLevel="1">
      <c r="B179" s="239">
        <f t="shared" si="58"/>
        <v>50710</v>
      </c>
      <c r="C179" s="97">
        <v>-227000.11510658805</v>
      </c>
      <c r="D179" s="235">
        <f>IF(F179&lt;&gt;0,VLOOKUP($J179,'Table 1'!$B$13:$C$33,2,FALSE)/12*1000*Study_MW,0)</f>
        <v>902451.30717059062</v>
      </c>
      <c r="E179" s="235">
        <f t="shared" si="59"/>
        <v>675451.19206400262</v>
      </c>
      <c r="F179" s="97">
        <v>10630.556201610001</v>
      </c>
      <c r="G179" s="240">
        <f t="shared" si="60"/>
        <v>63.5386502130251</v>
      </c>
      <c r="I179" s="241">
        <f t="shared" si="56"/>
        <v>180</v>
      </c>
      <c r="J179" s="238">
        <f t="shared" si="61"/>
        <v>2038</v>
      </c>
      <c r="K179" s="239">
        <f t="shared" si="62"/>
        <v>50710</v>
      </c>
      <c r="V179" s="97" t="str">
        <f t="shared" si="57"/>
        <v>Winter</v>
      </c>
    </row>
    <row r="180" spans="2:22" hidden="1" outlineLevel="1">
      <c r="B180" s="245">
        <f t="shared" si="58"/>
        <v>50740</v>
      </c>
      <c r="C180" s="246">
        <v>-160231.04135689209</v>
      </c>
      <c r="D180" s="247">
        <f>IF(F180&lt;&gt;0,VLOOKUP($J180,'Table 1'!$B$13:$C$33,2,FALSE)/12*1000*Study_MW,0)</f>
        <v>902451.30717059062</v>
      </c>
      <c r="E180" s="247">
        <f t="shared" si="59"/>
        <v>742220.26581369853</v>
      </c>
      <c r="F180" s="246">
        <v>6913.3992823800008</v>
      </c>
      <c r="G180" s="248">
        <f t="shared" si="60"/>
        <v>107.35967004037737</v>
      </c>
      <c r="I180" s="249">
        <f t="shared" si="56"/>
        <v>181</v>
      </c>
      <c r="J180" s="238">
        <f t="shared" si="61"/>
        <v>2038</v>
      </c>
      <c r="K180" s="245">
        <f t="shared" si="62"/>
        <v>50740</v>
      </c>
      <c r="V180" s="97" t="str">
        <f t="shared" si="57"/>
        <v>Winter</v>
      </c>
    </row>
    <row r="181" spans="2:22" hidden="1" outlineLevel="1">
      <c r="B181" s="232">
        <f t="shared" si="58"/>
        <v>50771</v>
      </c>
      <c r="C181" s="233">
        <v>-236492.7168097056</v>
      </c>
      <c r="D181" s="234">
        <f>IF(F181&lt;&gt;0,VLOOKUP($J181,'Table 1'!$B$13:$C$33,2,FALSE)/12*1000*Study_MW,0)</f>
        <v>922124.74550956744</v>
      </c>
      <c r="E181" s="234">
        <f t="shared" si="59"/>
        <v>685632.02869986184</v>
      </c>
      <c r="F181" s="233">
        <v>7516.10099894</v>
      </c>
      <c r="G181" s="236">
        <f t="shared" si="60"/>
        <v>91.221768945967725</v>
      </c>
      <c r="I181" s="237">
        <f t="shared" si="56"/>
        <v>183</v>
      </c>
      <c r="J181" s="238">
        <f t="shared" si="61"/>
        <v>2039</v>
      </c>
      <c r="K181" s="232">
        <f t="shared" si="62"/>
        <v>50771</v>
      </c>
      <c r="V181" s="97" t="str">
        <f t="shared" si="57"/>
        <v>Winter</v>
      </c>
    </row>
    <row r="182" spans="2:22" hidden="1" outlineLevel="1">
      <c r="B182" s="239">
        <f t="shared" si="58"/>
        <v>50802</v>
      </c>
      <c r="C182" s="97">
        <v>-305637.32469030947</v>
      </c>
      <c r="D182" s="235">
        <f>IF(F182&lt;&gt;0,VLOOKUP($J182,'Table 1'!$B$13:$C$33,2,FALSE)/12*1000*Study_MW,0)</f>
        <v>922124.74550956744</v>
      </c>
      <c r="E182" s="235">
        <f t="shared" si="59"/>
        <v>616487.42081925797</v>
      </c>
      <c r="F182" s="97">
        <v>12252.476284290002</v>
      </c>
      <c r="G182" s="240">
        <f t="shared" si="60"/>
        <v>50.315332714392746</v>
      </c>
      <c r="I182" s="241">
        <f t="shared" si="56"/>
        <v>184</v>
      </c>
      <c r="J182" s="238">
        <f t="shared" si="61"/>
        <v>2039</v>
      </c>
      <c r="K182" s="239">
        <f t="shared" si="62"/>
        <v>50802</v>
      </c>
      <c r="V182" s="97" t="str">
        <f t="shared" si="57"/>
        <v>Winter</v>
      </c>
    </row>
    <row r="183" spans="2:22" hidden="1" outlineLevel="1">
      <c r="B183" s="239">
        <f t="shared" si="58"/>
        <v>50830</v>
      </c>
      <c r="C183" s="97">
        <v>-595823.19301186362</v>
      </c>
      <c r="D183" s="235">
        <f>IF(F183&lt;&gt;0,VLOOKUP($J183,'Table 1'!$B$13:$C$33,2,FALSE)/12*1000*Study_MW,0)</f>
        <v>922124.74550956744</v>
      </c>
      <c r="E183" s="235">
        <f t="shared" si="59"/>
        <v>326301.55249770381</v>
      </c>
      <c r="F183" s="97">
        <v>14536.996567370001</v>
      </c>
      <c r="G183" s="240">
        <f t="shared" si="60"/>
        <v>22.44628393392663</v>
      </c>
      <c r="I183" s="241">
        <f t="shared" si="56"/>
        <v>185</v>
      </c>
      <c r="J183" s="238">
        <f t="shared" si="61"/>
        <v>2039</v>
      </c>
      <c r="K183" s="239">
        <f t="shared" si="62"/>
        <v>50830</v>
      </c>
      <c r="V183" s="97" t="str">
        <f t="shared" si="57"/>
        <v>Winter</v>
      </c>
    </row>
    <row r="184" spans="2:22" hidden="1" outlineLevel="1">
      <c r="B184" s="239">
        <f t="shared" si="58"/>
        <v>50861</v>
      </c>
      <c r="C184" s="97">
        <v>-649087.27878137142</v>
      </c>
      <c r="D184" s="235">
        <f>IF(F184&lt;&gt;0,VLOOKUP($J184,'Table 1'!$B$13:$C$33,2,FALSE)/12*1000*Study_MW,0)</f>
        <v>922124.74550956744</v>
      </c>
      <c r="E184" s="235">
        <f t="shared" si="59"/>
        <v>273037.46672819601</v>
      </c>
      <c r="F184" s="97">
        <v>17794.937237180002</v>
      </c>
      <c r="G184" s="240">
        <f t="shared" si="60"/>
        <v>15.343547610705976</v>
      </c>
      <c r="I184" s="241">
        <f t="shared" si="56"/>
        <v>186</v>
      </c>
      <c r="J184" s="238">
        <f t="shared" si="61"/>
        <v>2039</v>
      </c>
      <c r="K184" s="239">
        <f t="shared" si="62"/>
        <v>50861</v>
      </c>
      <c r="V184" s="97" t="str">
        <f t="shared" si="57"/>
        <v>Winter</v>
      </c>
    </row>
    <row r="185" spans="2:22" hidden="1" outlineLevel="1">
      <c r="B185" s="239">
        <f t="shared" si="58"/>
        <v>50891</v>
      </c>
      <c r="C185" s="97">
        <v>-808570.37046275218</v>
      </c>
      <c r="D185" s="235">
        <f>IF(F185&lt;&gt;0,VLOOKUP($J185,'Table 1'!$B$13:$C$33,2,FALSE)/12*1000*Study_MW,0)</f>
        <v>922124.74550956744</v>
      </c>
      <c r="E185" s="235">
        <f t="shared" si="59"/>
        <v>113554.37504681526</v>
      </c>
      <c r="F185" s="97">
        <v>22730.049905560001</v>
      </c>
      <c r="G185" s="240">
        <f t="shared" si="60"/>
        <v>4.9957820382540694</v>
      </c>
      <c r="I185" s="241">
        <f t="shared" si="56"/>
        <v>187</v>
      </c>
      <c r="J185" s="238">
        <f t="shared" si="61"/>
        <v>2039</v>
      </c>
      <c r="K185" s="239">
        <f t="shared" si="62"/>
        <v>50891</v>
      </c>
      <c r="V185" s="97" t="str">
        <f t="shared" si="57"/>
        <v>Summer</v>
      </c>
    </row>
    <row r="186" spans="2:22" hidden="1" outlineLevel="1">
      <c r="B186" s="239">
        <f t="shared" si="58"/>
        <v>50922</v>
      </c>
      <c r="C186" s="97">
        <v>-903301.42727578641</v>
      </c>
      <c r="D186" s="235">
        <f>IF(F186&lt;&gt;0,VLOOKUP($J186,'Table 1'!$B$13:$C$33,2,FALSE)/12*1000*Study_MW,0)</f>
        <v>922124.74550956744</v>
      </c>
      <c r="E186" s="235">
        <f t="shared" si="59"/>
        <v>18823.318233781029</v>
      </c>
      <c r="F186" s="97">
        <v>26103.783723309996</v>
      </c>
      <c r="G186" s="240">
        <f t="shared" si="60"/>
        <v>0.72109539495503472</v>
      </c>
      <c r="I186" s="241">
        <f t="shared" ref="I186:I252" si="63">I174+13</f>
        <v>188</v>
      </c>
      <c r="J186" s="238">
        <f t="shared" si="61"/>
        <v>2039</v>
      </c>
      <c r="K186" s="239">
        <f t="shared" si="62"/>
        <v>50922</v>
      </c>
      <c r="V186" s="97" t="str">
        <f t="shared" si="57"/>
        <v>Summer</v>
      </c>
    </row>
    <row r="187" spans="2:22" hidden="1" outlineLevel="1">
      <c r="B187" s="239">
        <f t="shared" si="58"/>
        <v>50952</v>
      </c>
      <c r="C187" s="97">
        <v>-892196.171106647</v>
      </c>
      <c r="D187" s="235">
        <f>IF(F187&lt;&gt;0,VLOOKUP($J187,'Table 1'!$B$13:$C$33,2,FALSE)/12*1000*Study_MW,0)</f>
        <v>922124.74550956744</v>
      </c>
      <c r="E187" s="235">
        <f t="shared" si="59"/>
        <v>29928.574402920436</v>
      </c>
      <c r="F187" s="97">
        <v>24538.319935859992</v>
      </c>
      <c r="G187" s="240">
        <f t="shared" si="60"/>
        <v>1.2196668101626302</v>
      </c>
      <c r="I187" s="241">
        <f t="shared" si="63"/>
        <v>189</v>
      </c>
      <c r="J187" s="238">
        <f t="shared" si="61"/>
        <v>2039</v>
      </c>
      <c r="K187" s="239">
        <f t="shared" si="62"/>
        <v>50952</v>
      </c>
      <c r="V187" s="97" t="str">
        <f t="shared" si="57"/>
        <v>Summer</v>
      </c>
    </row>
    <row r="188" spans="2:22" hidden="1" outlineLevel="1">
      <c r="B188" s="239">
        <f t="shared" si="58"/>
        <v>50983</v>
      </c>
      <c r="C188" s="97">
        <v>-1100932.7016152237</v>
      </c>
      <c r="D188" s="235">
        <f>IF(F188&lt;&gt;0,VLOOKUP($J188,'Table 1'!$B$13:$C$33,2,FALSE)/12*1000*Study_MW,0)</f>
        <v>922124.74550956744</v>
      </c>
      <c r="E188" s="235">
        <f t="shared" si="59"/>
        <v>-178807.95610565622</v>
      </c>
      <c r="F188" s="97">
        <v>21997.908908769998</v>
      </c>
      <c r="G188" s="240">
        <f t="shared" si="60"/>
        <v>-8.1284069702811674</v>
      </c>
      <c r="I188" s="241">
        <f t="shared" si="63"/>
        <v>190</v>
      </c>
      <c r="J188" s="238">
        <f t="shared" si="61"/>
        <v>2039</v>
      </c>
      <c r="K188" s="239">
        <f t="shared" si="62"/>
        <v>50983</v>
      </c>
      <c r="V188" s="97" t="str">
        <f t="shared" si="57"/>
        <v>Summer</v>
      </c>
    </row>
    <row r="189" spans="2:22" hidden="1" outlineLevel="1">
      <c r="B189" s="239">
        <f t="shared" si="58"/>
        <v>51014</v>
      </c>
      <c r="C189" s="97">
        <v>-627225.04037437472</v>
      </c>
      <c r="D189" s="235">
        <f>IF(F189&lt;&gt;0,VLOOKUP($J189,'Table 1'!$B$13:$C$33,2,FALSE)/12*1000*Study_MW,0)</f>
        <v>922124.74550956744</v>
      </c>
      <c r="E189" s="235">
        <f t="shared" si="59"/>
        <v>294899.70513519272</v>
      </c>
      <c r="F189" s="97">
        <v>18233.438776359999</v>
      </c>
      <c r="G189" s="240">
        <f t="shared" si="60"/>
        <v>16.173564885496848</v>
      </c>
      <c r="I189" s="241">
        <f t="shared" si="63"/>
        <v>191</v>
      </c>
      <c r="J189" s="238">
        <f t="shared" si="61"/>
        <v>2039</v>
      </c>
      <c r="K189" s="239">
        <f t="shared" si="62"/>
        <v>51014</v>
      </c>
      <c r="V189" s="97" t="str">
        <f t="shared" si="57"/>
        <v>Winter</v>
      </c>
    </row>
    <row r="190" spans="2:22" hidden="1" outlineLevel="1">
      <c r="B190" s="239">
        <f t="shared" si="58"/>
        <v>51044</v>
      </c>
      <c r="C190" s="97">
        <v>-575980.40691979986</v>
      </c>
      <c r="D190" s="235">
        <f>IF(F190&lt;&gt;0,VLOOKUP($J190,'Table 1'!$B$13:$C$33,2,FALSE)/12*1000*Study_MW,0)</f>
        <v>922124.74550956744</v>
      </c>
      <c r="E190" s="235">
        <f t="shared" si="59"/>
        <v>346144.33858976758</v>
      </c>
      <c r="F190" s="97">
        <v>14074.257850780003</v>
      </c>
      <c r="G190" s="240">
        <f t="shared" si="60"/>
        <v>24.594145017073426</v>
      </c>
      <c r="I190" s="241">
        <f t="shared" si="63"/>
        <v>192</v>
      </c>
      <c r="J190" s="238">
        <f t="shared" si="61"/>
        <v>2039</v>
      </c>
      <c r="K190" s="239">
        <f t="shared" si="62"/>
        <v>51044</v>
      </c>
      <c r="V190" s="97" t="str">
        <f t="shared" si="57"/>
        <v>Winter</v>
      </c>
    </row>
    <row r="191" spans="2:22" hidden="1" outlineLevel="1">
      <c r="B191" s="239">
        <f t="shared" si="58"/>
        <v>51075</v>
      </c>
      <c r="C191" s="97">
        <v>-176526.08273945953</v>
      </c>
      <c r="D191" s="235">
        <f>IF(F191&lt;&gt;0,VLOOKUP($J191,'Table 1'!$B$13:$C$33,2,FALSE)/12*1000*Study_MW,0)</f>
        <v>922124.74550956744</v>
      </c>
      <c r="E191" s="235">
        <f t="shared" si="59"/>
        <v>745598.66277010785</v>
      </c>
      <c r="F191" s="97">
        <v>10332.74056563</v>
      </c>
      <c r="G191" s="240">
        <f t="shared" si="60"/>
        <v>72.158848665010282</v>
      </c>
      <c r="I191" s="241">
        <f t="shared" si="63"/>
        <v>193</v>
      </c>
      <c r="J191" s="238">
        <f t="shared" si="61"/>
        <v>2039</v>
      </c>
      <c r="K191" s="239">
        <f t="shared" si="62"/>
        <v>51075</v>
      </c>
      <c r="V191" s="97" t="str">
        <f t="shared" si="57"/>
        <v>Winter</v>
      </c>
    </row>
    <row r="192" spans="2:22" hidden="1" outlineLevel="1">
      <c r="B192" s="245">
        <f t="shared" si="58"/>
        <v>51105</v>
      </c>
      <c r="C192" s="246">
        <v>-146640.29430972732</v>
      </c>
      <c r="D192" s="247">
        <f>IF(F192&lt;&gt;0,VLOOKUP($J192,'Table 1'!$B$13:$C$33,2,FALSE)/12*1000*Study_MW,0)</f>
        <v>922124.74550956744</v>
      </c>
      <c r="E192" s="247">
        <f t="shared" si="59"/>
        <v>775484.45119984006</v>
      </c>
      <c r="F192" s="246">
        <v>6907.6011389900004</v>
      </c>
      <c r="G192" s="248">
        <f t="shared" si="60"/>
        <v>112.26537774779915</v>
      </c>
      <c r="I192" s="249">
        <f t="shared" si="63"/>
        <v>194</v>
      </c>
      <c r="J192" s="238">
        <f t="shared" si="61"/>
        <v>2039</v>
      </c>
      <c r="K192" s="245">
        <f t="shared" si="62"/>
        <v>51105</v>
      </c>
      <c r="V192" s="97" t="str">
        <f t="shared" si="57"/>
        <v>Winter</v>
      </c>
    </row>
    <row r="193" spans="2:22" collapsed="1">
      <c r="B193" s="232">
        <f t="shared" si="58"/>
        <v>51136</v>
      </c>
      <c r="C193" s="233">
        <v>-210314.69778068276</v>
      </c>
      <c r="D193" s="234">
        <f>IF(F193&lt;&gt;0,VLOOKUP($J193,'Table 1'!$B$13:$C$33,2,FALSE)/12*1000*Study_MW,0)</f>
        <v>942227.06524232938</v>
      </c>
      <c r="E193" s="234">
        <f t="shared" ref="E193:E216" si="64">C193+D193</f>
        <v>731912.36746164667</v>
      </c>
      <c r="F193" s="233">
        <v>7589.5395227500003</v>
      </c>
      <c r="G193" s="236">
        <f t="shared" ref="G193:G216" si="65">IF(ISNUMBER($F193),E193/$F193,"")</f>
        <v>96.436992688120938</v>
      </c>
      <c r="I193" s="237">
        <f t="shared" si="63"/>
        <v>196</v>
      </c>
      <c r="J193" s="238">
        <f t="shared" ref="J193:J240" si="66">YEAR(B193)</f>
        <v>2040</v>
      </c>
      <c r="K193" s="232">
        <f t="shared" ref="K193:K240" si="67">IF(ISNUMBER(F193),IF(F193&lt;&gt;0,B193,""),"")</f>
        <v>51136</v>
      </c>
      <c r="M193" s="36"/>
      <c r="V193" s="97" t="str">
        <f t="shared" si="57"/>
        <v>Winter</v>
      </c>
    </row>
    <row r="194" spans="2:22">
      <c r="B194" s="239">
        <f t="shared" si="58"/>
        <v>51167</v>
      </c>
      <c r="C194" s="97">
        <v>-400718.82328706124</v>
      </c>
      <c r="D194" s="235">
        <f>IF(F194&lt;&gt;0,VLOOKUP($J194,'Table 1'!$B$13:$C$33,2,FALSE)/12*1000*Study_MW,0)</f>
        <v>942227.06524232938</v>
      </c>
      <c r="E194" s="235">
        <f t="shared" si="64"/>
        <v>541508.2419552682</v>
      </c>
      <c r="F194" s="97">
        <v>12543.86857416</v>
      </c>
      <c r="G194" s="240">
        <f t="shared" si="65"/>
        <v>43.169157804376177</v>
      </c>
      <c r="I194" s="241">
        <f t="shared" si="63"/>
        <v>197</v>
      </c>
      <c r="J194" s="238">
        <f t="shared" si="66"/>
        <v>2040</v>
      </c>
      <c r="K194" s="239">
        <f t="shared" si="67"/>
        <v>51167</v>
      </c>
      <c r="M194" s="36"/>
      <c r="V194" s="97" t="str">
        <f t="shared" si="57"/>
        <v>Winter</v>
      </c>
    </row>
    <row r="195" spans="2:22">
      <c r="B195" s="239">
        <f t="shared" si="58"/>
        <v>51196</v>
      </c>
      <c r="C195" s="97">
        <v>-594813.82470678363</v>
      </c>
      <c r="D195" s="235">
        <f>IF(F195&lt;&gt;0,VLOOKUP($J195,'Table 1'!$B$13:$C$33,2,FALSE)/12*1000*Study_MW,0)</f>
        <v>942227.06524232938</v>
      </c>
      <c r="E195" s="235">
        <f t="shared" si="64"/>
        <v>347413.24053554574</v>
      </c>
      <c r="F195" s="97">
        <v>15037.250185970002</v>
      </c>
      <c r="G195" s="240">
        <f t="shared" si="65"/>
        <v>23.103508702654153</v>
      </c>
      <c r="I195" s="241">
        <f t="shared" si="63"/>
        <v>198</v>
      </c>
      <c r="J195" s="238">
        <f t="shared" si="66"/>
        <v>2040</v>
      </c>
      <c r="K195" s="239">
        <f t="shared" si="67"/>
        <v>51196</v>
      </c>
      <c r="M195" s="36"/>
      <c r="V195" s="97" t="str">
        <f t="shared" si="57"/>
        <v>Winter</v>
      </c>
    </row>
    <row r="196" spans="2:22">
      <c r="B196" s="239">
        <f t="shared" si="58"/>
        <v>51227</v>
      </c>
      <c r="C196" s="97">
        <v>-797904.91807134822</v>
      </c>
      <c r="D196" s="235">
        <f>IF(F196&lt;&gt;0,VLOOKUP($J196,'Table 1'!$B$13:$C$33,2,FALSE)/12*1000*Study_MW,0)</f>
        <v>942227.06524232938</v>
      </c>
      <c r="E196" s="235">
        <f t="shared" si="64"/>
        <v>144322.14717098116</v>
      </c>
      <c r="F196" s="97">
        <v>18161.870772250008</v>
      </c>
      <c r="G196" s="240">
        <f t="shared" si="65"/>
        <v>7.9464361893541664</v>
      </c>
      <c r="I196" s="241">
        <f t="shared" si="63"/>
        <v>199</v>
      </c>
      <c r="J196" s="238">
        <f t="shared" si="66"/>
        <v>2040</v>
      </c>
      <c r="K196" s="239">
        <f t="shared" si="67"/>
        <v>51227</v>
      </c>
      <c r="M196" s="36"/>
      <c r="V196" s="97" t="str">
        <f t="shared" si="57"/>
        <v>Winter</v>
      </c>
    </row>
    <row r="197" spans="2:22">
      <c r="B197" s="239">
        <f t="shared" si="58"/>
        <v>51257</v>
      </c>
      <c r="C197" s="97">
        <v>-994847.84711313841</v>
      </c>
      <c r="D197" s="235">
        <f>IF(F197&lt;&gt;0,VLOOKUP($J197,'Table 1'!$B$13:$C$33,2,FALSE)/12*1000*Study_MW,0)</f>
        <v>942227.06524232938</v>
      </c>
      <c r="E197" s="235">
        <f t="shared" si="64"/>
        <v>-52620.781870809034</v>
      </c>
      <c r="F197" s="97">
        <v>22703.197643810006</v>
      </c>
      <c r="G197" s="240">
        <f t="shared" si="65"/>
        <v>-2.317769624190186</v>
      </c>
      <c r="I197" s="241">
        <f t="shared" si="63"/>
        <v>200</v>
      </c>
      <c r="J197" s="238">
        <f t="shared" si="66"/>
        <v>2040</v>
      </c>
      <c r="K197" s="239">
        <f t="shared" si="67"/>
        <v>51257</v>
      </c>
      <c r="M197" s="36"/>
      <c r="V197" s="97" t="str">
        <f t="shared" si="57"/>
        <v>Summer</v>
      </c>
    </row>
    <row r="198" spans="2:22">
      <c r="B198" s="239">
        <f t="shared" si="58"/>
        <v>51288</v>
      </c>
      <c r="C198" s="97">
        <v>-1004593.6577431421</v>
      </c>
      <c r="D198" s="235">
        <f>IF(F198&lt;&gt;0,VLOOKUP($J198,'Table 1'!$B$13:$C$33,2,FALSE)/12*1000*Study_MW,0)</f>
        <v>942227.06524232938</v>
      </c>
      <c r="E198" s="235">
        <f t="shared" si="64"/>
        <v>-62366.592500812723</v>
      </c>
      <c r="F198" s="97">
        <v>25949.51840474</v>
      </c>
      <c r="G198" s="240">
        <f t="shared" si="65"/>
        <v>-2.4033815012698154</v>
      </c>
      <c r="I198" s="241">
        <f t="shared" si="63"/>
        <v>201</v>
      </c>
      <c r="J198" s="238">
        <f t="shared" si="66"/>
        <v>2040</v>
      </c>
      <c r="K198" s="239">
        <f t="shared" si="67"/>
        <v>51288</v>
      </c>
      <c r="M198" s="36"/>
      <c r="V198" s="97" t="str">
        <f t="shared" si="57"/>
        <v>Summer</v>
      </c>
    </row>
    <row r="199" spans="2:22">
      <c r="B199" s="239">
        <f t="shared" si="58"/>
        <v>51318</v>
      </c>
      <c r="C199" s="97">
        <v>-973155.05654825759</v>
      </c>
      <c r="D199" s="235">
        <f>IF(F199&lt;&gt;0,VLOOKUP($J199,'Table 1'!$B$13:$C$33,2,FALSE)/12*1000*Study_MW,0)</f>
        <v>942227.06524232938</v>
      </c>
      <c r="E199" s="235">
        <f t="shared" si="64"/>
        <v>-30927.991305928212</v>
      </c>
      <c r="F199" s="97">
        <v>24061.558891790002</v>
      </c>
      <c r="G199" s="240">
        <f t="shared" si="65"/>
        <v>-1.2853693912775157</v>
      </c>
      <c r="I199" s="241">
        <f t="shared" si="63"/>
        <v>202</v>
      </c>
      <c r="J199" s="238">
        <f t="shared" si="66"/>
        <v>2040</v>
      </c>
      <c r="K199" s="239">
        <f t="shared" si="67"/>
        <v>51318</v>
      </c>
      <c r="M199" s="36"/>
      <c r="V199" s="97" t="str">
        <f t="shared" si="57"/>
        <v>Summer</v>
      </c>
    </row>
    <row r="200" spans="2:22">
      <c r="B200" s="239">
        <f t="shared" si="58"/>
        <v>51349</v>
      </c>
      <c r="C200" s="97">
        <v>-1063771.6598993246</v>
      </c>
      <c r="D200" s="235">
        <f>IF(F200&lt;&gt;0,VLOOKUP($J200,'Table 1'!$B$13:$C$33,2,FALSE)/12*1000*Study_MW,0)</f>
        <v>942227.06524232938</v>
      </c>
      <c r="E200" s="235">
        <f t="shared" si="64"/>
        <v>-121544.59465699526</v>
      </c>
      <c r="F200" s="97">
        <v>21953.697582769997</v>
      </c>
      <c r="G200" s="240">
        <f t="shared" si="65"/>
        <v>-5.5364065300957579</v>
      </c>
      <c r="I200" s="241">
        <f t="shared" si="63"/>
        <v>203</v>
      </c>
      <c r="J200" s="238">
        <f t="shared" si="66"/>
        <v>2040</v>
      </c>
      <c r="K200" s="239">
        <f t="shared" si="67"/>
        <v>51349</v>
      </c>
      <c r="M200" s="36"/>
      <c r="V200" s="97" t="str">
        <f t="shared" si="57"/>
        <v>Summer</v>
      </c>
    </row>
    <row r="201" spans="2:22">
      <c r="B201" s="239">
        <f t="shared" si="58"/>
        <v>51380</v>
      </c>
      <c r="C201" s="97">
        <v>-674587.90073158161</v>
      </c>
      <c r="D201" s="235">
        <f>IF(F201&lt;&gt;0,VLOOKUP($J201,'Table 1'!$B$13:$C$33,2,FALSE)/12*1000*Study_MW,0)</f>
        <v>942227.06524232938</v>
      </c>
      <c r="E201" s="235">
        <f t="shared" si="64"/>
        <v>267639.16451074777</v>
      </c>
      <c r="F201" s="97">
        <v>17749.68653554</v>
      </c>
      <c r="G201" s="240">
        <f t="shared" si="65"/>
        <v>15.078529075702653</v>
      </c>
      <c r="I201" s="241">
        <f t="shared" si="63"/>
        <v>204</v>
      </c>
      <c r="J201" s="238">
        <f t="shared" si="66"/>
        <v>2040</v>
      </c>
      <c r="K201" s="239">
        <f t="shared" si="67"/>
        <v>51380</v>
      </c>
      <c r="M201" s="36"/>
      <c r="V201" s="97" t="str">
        <f t="shared" si="57"/>
        <v>Winter</v>
      </c>
    </row>
    <row r="202" spans="2:22">
      <c r="B202" s="239">
        <f t="shared" si="58"/>
        <v>51410</v>
      </c>
      <c r="C202" s="97">
        <v>-555367.47956607724</v>
      </c>
      <c r="D202" s="235">
        <f>IF(F202&lt;&gt;0,VLOOKUP($J202,'Table 1'!$B$13:$C$33,2,FALSE)/12*1000*Study_MW,0)</f>
        <v>942227.06524232938</v>
      </c>
      <c r="E202" s="235">
        <f t="shared" si="64"/>
        <v>386859.58567625214</v>
      </c>
      <c r="F202" s="97">
        <v>13848.5211026</v>
      </c>
      <c r="G202" s="240">
        <f t="shared" si="65"/>
        <v>27.935082945688759</v>
      </c>
      <c r="I202" s="241">
        <f t="shared" si="63"/>
        <v>205</v>
      </c>
      <c r="J202" s="238">
        <f t="shared" si="66"/>
        <v>2040</v>
      </c>
      <c r="K202" s="239">
        <f t="shared" si="67"/>
        <v>51410</v>
      </c>
      <c r="M202" s="36"/>
      <c r="V202" s="97" t="str">
        <f t="shared" si="57"/>
        <v>Winter</v>
      </c>
    </row>
    <row r="203" spans="2:22">
      <c r="B203" s="239">
        <f t="shared" si="58"/>
        <v>51441</v>
      </c>
      <c r="C203" s="97">
        <v>-183783.15045361524</v>
      </c>
      <c r="D203" s="235">
        <f>IF(F203&lt;&gt;0,VLOOKUP($J203,'Table 1'!$B$13:$C$33,2,FALSE)/12*1000*Study_MW,0)</f>
        <v>942227.06524232938</v>
      </c>
      <c r="E203" s="235">
        <f t="shared" si="64"/>
        <v>758443.91478871414</v>
      </c>
      <c r="F203" s="97">
        <v>10033.840929759997</v>
      </c>
      <c r="G203" s="240">
        <f t="shared" si="65"/>
        <v>75.588592653407318</v>
      </c>
      <c r="I203" s="241">
        <f t="shared" si="63"/>
        <v>206</v>
      </c>
      <c r="J203" s="238">
        <f t="shared" si="66"/>
        <v>2040</v>
      </c>
      <c r="K203" s="239">
        <f t="shared" si="67"/>
        <v>51441</v>
      </c>
      <c r="M203" s="36"/>
      <c r="V203" s="97" t="str">
        <f t="shared" si="57"/>
        <v>Winter</v>
      </c>
    </row>
    <row r="204" spans="2:22">
      <c r="B204" s="245">
        <f t="shared" si="58"/>
        <v>51471</v>
      </c>
      <c r="C204" s="246">
        <v>-131698.08717113483</v>
      </c>
      <c r="D204" s="247">
        <f>IF(F204&lt;&gt;0,VLOOKUP($J204,'Table 1'!$B$13:$C$33,2,FALSE)/12*1000*Study_MW,0)</f>
        <v>942227.06524232938</v>
      </c>
      <c r="E204" s="247">
        <f t="shared" si="64"/>
        <v>810528.97807119461</v>
      </c>
      <c r="F204" s="246">
        <v>6629.7870297700001</v>
      </c>
      <c r="G204" s="248">
        <f t="shared" si="65"/>
        <v>122.25565835397784</v>
      </c>
      <c r="I204" s="249">
        <f t="shared" si="63"/>
        <v>207</v>
      </c>
      <c r="J204" s="238">
        <f t="shared" si="66"/>
        <v>2040</v>
      </c>
      <c r="K204" s="245">
        <f t="shared" si="67"/>
        <v>51471</v>
      </c>
      <c r="M204" s="36"/>
      <c r="V204" s="97" t="str">
        <f t="shared" ref="V204:V267" si="68">IFERROR(IF(AND(MONTH(K205)&gt;=6,MONTH(K205)&lt;=9),"Summer","Winter"),"-")</f>
        <v>Winter</v>
      </c>
    </row>
    <row r="205" spans="2:22">
      <c r="B205" s="232">
        <f t="shared" si="58"/>
        <v>51502</v>
      </c>
      <c r="C205" s="233">
        <v>-175610.07123291347</v>
      </c>
      <c r="D205" s="234">
        <f>IF(F205&lt;&gt;0,VLOOKUP($J205,'Table 1'!$B$13:$C$33,2,FALSE)/12*1000*Study_MW,0)</f>
        <v>962767.61481300415</v>
      </c>
      <c r="E205" s="234">
        <f t="shared" si="64"/>
        <v>787157.54358009063</v>
      </c>
      <c r="F205" s="233">
        <v>7487.1539487300006</v>
      </c>
      <c r="G205" s="236">
        <f t="shared" si="65"/>
        <v>105.13441408715941</v>
      </c>
      <c r="I205" s="237">
        <f t="shared" si="63"/>
        <v>209</v>
      </c>
      <c r="J205" s="238">
        <f t="shared" si="66"/>
        <v>2041</v>
      </c>
      <c r="K205" s="232">
        <f t="shared" si="67"/>
        <v>51502</v>
      </c>
      <c r="M205" s="36"/>
      <c r="V205" s="97" t="str">
        <f t="shared" si="68"/>
        <v>Winter</v>
      </c>
    </row>
    <row r="206" spans="2:22">
      <c r="B206" s="239">
        <f t="shared" ref="B206:B252" si="69">EDATE(B205,1)</f>
        <v>51533</v>
      </c>
      <c r="C206" s="97">
        <v>-363291.85144251824</v>
      </c>
      <c r="D206" s="235">
        <f>IF(F206&lt;&gt;0,VLOOKUP($J206,'Table 1'!$B$13:$C$33,2,FALSE)/12*1000*Study_MW,0)</f>
        <v>962767.61481300415</v>
      </c>
      <c r="E206" s="235">
        <f t="shared" si="64"/>
        <v>599475.76337048598</v>
      </c>
      <c r="F206" s="97">
        <v>12160.162958810002</v>
      </c>
      <c r="G206" s="240">
        <f t="shared" si="65"/>
        <v>49.298333040526202</v>
      </c>
      <c r="I206" s="241">
        <f t="shared" si="63"/>
        <v>210</v>
      </c>
      <c r="J206" s="238">
        <f t="shared" si="66"/>
        <v>2041</v>
      </c>
      <c r="K206" s="239">
        <f t="shared" si="67"/>
        <v>51533</v>
      </c>
      <c r="M206" s="36"/>
      <c r="V206" s="97" t="str">
        <f t="shared" si="68"/>
        <v>Winter</v>
      </c>
    </row>
    <row r="207" spans="2:22">
      <c r="B207" s="239">
        <f t="shared" si="69"/>
        <v>51561</v>
      </c>
      <c r="C207" s="97">
        <v>-610160.93671694398</v>
      </c>
      <c r="D207" s="235">
        <f>IF(F207&lt;&gt;0,VLOOKUP($J207,'Table 1'!$B$13:$C$33,2,FALSE)/12*1000*Study_MW,0)</f>
        <v>962767.61481300415</v>
      </c>
      <c r="E207" s="235">
        <f t="shared" si="64"/>
        <v>352606.67809606018</v>
      </c>
      <c r="F207" s="97">
        <v>15270.4643892</v>
      </c>
      <c r="G207" s="240">
        <f t="shared" si="65"/>
        <v>23.090763260968043</v>
      </c>
      <c r="I207" s="241">
        <f t="shared" si="63"/>
        <v>211</v>
      </c>
      <c r="J207" s="238">
        <f t="shared" si="66"/>
        <v>2041</v>
      </c>
      <c r="K207" s="239">
        <f t="shared" si="67"/>
        <v>51561</v>
      </c>
      <c r="M207" s="36"/>
      <c r="V207" s="97" t="str">
        <f t="shared" si="68"/>
        <v>Winter</v>
      </c>
    </row>
    <row r="208" spans="2:22">
      <c r="B208" s="239">
        <f t="shared" si="69"/>
        <v>51592</v>
      </c>
      <c r="C208" s="97">
        <v>-842125.38750472595</v>
      </c>
      <c r="D208" s="235">
        <f>IF(F208&lt;&gt;0,VLOOKUP($J208,'Table 1'!$B$13:$C$33,2,FALSE)/12*1000*Study_MW,0)</f>
        <v>962767.61481300415</v>
      </c>
      <c r="E208" s="235">
        <f t="shared" si="64"/>
        <v>120642.2273082782</v>
      </c>
      <c r="F208" s="97">
        <v>18348.662200769999</v>
      </c>
      <c r="G208" s="240">
        <f t="shared" si="65"/>
        <v>6.5749876469585598</v>
      </c>
      <c r="I208" s="241">
        <f t="shared" si="63"/>
        <v>212</v>
      </c>
      <c r="J208" s="238">
        <f t="shared" si="66"/>
        <v>2041</v>
      </c>
      <c r="K208" s="239">
        <f t="shared" si="67"/>
        <v>51592</v>
      </c>
      <c r="M208" s="36"/>
      <c r="V208" s="97" t="str">
        <f t="shared" si="68"/>
        <v>Winter</v>
      </c>
    </row>
    <row r="209" spans="2:22">
      <c r="B209" s="239">
        <f t="shared" si="69"/>
        <v>51622</v>
      </c>
      <c r="C209" s="97">
        <v>-952626.654577718</v>
      </c>
      <c r="D209" s="235">
        <f>IF(F209&lt;&gt;0,VLOOKUP($J209,'Table 1'!$B$13:$C$33,2,FALSE)/12*1000*Study_MW,0)</f>
        <v>962767.61481300415</v>
      </c>
      <c r="E209" s="235">
        <f t="shared" si="64"/>
        <v>10140.960235286155</v>
      </c>
      <c r="F209" s="97">
        <v>22652.462133290006</v>
      </c>
      <c r="G209" s="240">
        <f t="shared" si="65"/>
        <v>0.447675849786899</v>
      </c>
      <c r="I209" s="241">
        <f t="shared" si="63"/>
        <v>213</v>
      </c>
      <c r="J209" s="238">
        <f t="shared" si="66"/>
        <v>2041</v>
      </c>
      <c r="K209" s="239">
        <f t="shared" si="67"/>
        <v>51622</v>
      </c>
      <c r="M209" s="36"/>
      <c r="V209" s="97" t="str">
        <f t="shared" si="68"/>
        <v>Summer</v>
      </c>
    </row>
    <row r="210" spans="2:22">
      <c r="B210" s="239">
        <f t="shared" si="69"/>
        <v>51653</v>
      </c>
      <c r="C210" s="97">
        <v>-1061401.6893125081</v>
      </c>
      <c r="D210" s="235">
        <f>IF(F210&lt;&gt;0,VLOOKUP($J210,'Table 1'!$B$13:$C$33,2,FALSE)/12*1000*Study_MW,0)</f>
        <v>962767.61481300415</v>
      </c>
      <c r="E210" s="235">
        <f t="shared" si="64"/>
        <v>-98634.074499503942</v>
      </c>
      <c r="F210" s="97">
        <v>25328.274776539998</v>
      </c>
      <c r="G210" s="240">
        <f t="shared" si="65"/>
        <v>-3.8942279081267128</v>
      </c>
      <c r="I210" s="241">
        <f t="shared" si="63"/>
        <v>214</v>
      </c>
      <c r="J210" s="238">
        <f t="shared" si="66"/>
        <v>2041</v>
      </c>
      <c r="K210" s="239">
        <f t="shared" si="67"/>
        <v>51653</v>
      </c>
      <c r="M210" s="36"/>
      <c r="V210" s="97" t="str">
        <f t="shared" si="68"/>
        <v>Summer</v>
      </c>
    </row>
    <row r="211" spans="2:22">
      <c r="B211" s="239">
        <f t="shared" si="69"/>
        <v>51683</v>
      </c>
      <c r="C211" s="97">
        <v>-950861.13636096974</v>
      </c>
      <c r="D211" s="235">
        <f>IF(F211&lt;&gt;0,VLOOKUP($J211,'Table 1'!$B$13:$C$33,2,FALSE)/12*1000*Study_MW,0)</f>
        <v>962767.61481300415</v>
      </c>
      <c r="E211" s="235">
        <f t="shared" si="64"/>
        <v>11906.478452034411</v>
      </c>
      <c r="F211" s="97">
        <v>24208.569976070004</v>
      </c>
      <c r="G211" s="240">
        <f t="shared" si="65"/>
        <v>0.49182906977999435</v>
      </c>
      <c r="I211" s="241">
        <f t="shared" si="63"/>
        <v>215</v>
      </c>
      <c r="J211" s="238">
        <f t="shared" si="66"/>
        <v>2041</v>
      </c>
      <c r="K211" s="239">
        <f t="shared" si="67"/>
        <v>51683</v>
      </c>
      <c r="M211" s="36"/>
      <c r="V211" s="97" t="str">
        <f t="shared" si="68"/>
        <v>Summer</v>
      </c>
    </row>
    <row r="212" spans="2:22">
      <c r="B212" s="239">
        <f t="shared" si="69"/>
        <v>51714</v>
      </c>
      <c r="C212" s="97">
        <v>-1016112.249266329</v>
      </c>
      <c r="D212" s="235">
        <f>IF(F212&lt;&gt;0,VLOOKUP($J212,'Table 1'!$B$13:$C$33,2,FALSE)/12*1000*Study_MW,0)</f>
        <v>962767.61481300415</v>
      </c>
      <c r="E212" s="235">
        <f t="shared" si="64"/>
        <v>-53344.634453324834</v>
      </c>
      <c r="F212" s="97">
        <v>21925.257629870004</v>
      </c>
      <c r="G212" s="240">
        <f t="shared" si="65"/>
        <v>-2.4330220129614557</v>
      </c>
      <c r="I212" s="241">
        <f t="shared" si="63"/>
        <v>216</v>
      </c>
      <c r="J212" s="238">
        <f t="shared" si="66"/>
        <v>2041</v>
      </c>
      <c r="K212" s="239">
        <f t="shared" si="67"/>
        <v>51714</v>
      </c>
      <c r="M212" s="36"/>
      <c r="V212" s="97" t="str">
        <f t="shared" si="68"/>
        <v>Summer</v>
      </c>
    </row>
    <row r="213" spans="2:22">
      <c r="B213" s="239">
        <f t="shared" si="69"/>
        <v>51745</v>
      </c>
      <c r="C213" s="97">
        <v>-630139.88146580046</v>
      </c>
      <c r="D213" s="235">
        <f>IF(F213&lt;&gt;0,VLOOKUP($J213,'Table 1'!$B$13:$C$33,2,FALSE)/12*1000*Study_MW,0)</f>
        <v>962767.61481300415</v>
      </c>
      <c r="E213" s="235">
        <f t="shared" si="64"/>
        <v>332627.7333472037</v>
      </c>
      <c r="F213" s="97">
        <v>17552.737758790001</v>
      </c>
      <c r="G213" s="240">
        <f t="shared" si="65"/>
        <v>18.950191013970542</v>
      </c>
      <c r="I213" s="241">
        <f t="shared" si="63"/>
        <v>217</v>
      </c>
      <c r="J213" s="238">
        <f t="shared" si="66"/>
        <v>2041</v>
      </c>
      <c r="K213" s="239">
        <f t="shared" si="67"/>
        <v>51745</v>
      </c>
      <c r="M213" s="36"/>
      <c r="V213" s="97" t="str">
        <f t="shared" si="68"/>
        <v>Winter</v>
      </c>
    </row>
    <row r="214" spans="2:22">
      <c r="B214" s="239">
        <f t="shared" si="69"/>
        <v>51775</v>
      </c>
      <c r="C214" s="97">
        <v>-595912.48493257444</v>
      </c>
      <c r="D214" s="235">
        <f>IF(F214&lt;&gt;0,VLOOKUP($J214,'Table 1'!$B$13:$C$33,2,FALSE)/12*1000*Study_MW,0)</f>
        <v>962767.61481300415</v>
      </c>
      <c r="E214" s="235">
        <f t="shared" si="64"/>
        <v>366855.12988042971</v>
      </c>
      <c r="F214" s="97">
        <v>13598.176052930005</v>
      </c>
      <c r="G214" s="240">
        <f t="shared" si="65"/>
        <v>26.978260058736574</v>
      </c>
      <c r="I214" s="241">
        <f t="shared" si="63"/>
        <v>218</v>
      </c>
      <c r="J214" s="238">
        <f t="shared" si="66"/>
        <v>2041</v>
      </c>
      <c r="K214" s="239">
        <f t="shared" si="67"/>
        <v>51775</v>
      </c>
      <c r="M214" s="36"/>
      <c r="V214" s="97" t="str">
        <f t="shared" si="68"/>
        <v>Winter</v>
      </c>
    </row>
    <row r="215" spans="2:22">
      <c r="B215" s="239">
        <f t="shared" si="69"/>
        <v>51806</v>
      </c>
      <c r="C215" s="97">
        <v>-101443.63083702956</v>
      </c>
      <c r="D215" s="235">
        <f>IF(F215&lt;&gt;0,VLOOKUP($J215,'Table 1'!$B$13:$C$33,2,FALSE)/12*1000*Study_MW,0)</f>
        <v>962767.61481300415</v>
      </c>
      <c r="E215" s="235">
        <f t="shared" si="64"/>
        <v>861323.98397597461</v>
      </c>
      <c r="F215" s="97">
        <v>9702.1842892799996</v>
      </c>
      <c r="G215" s="240">
        <f t="shared" si="65"/>
        <v>88.776295965399925</v>
      </c>
      <c r="I215" s="241">
        <f t="shared" si="63"/>
        <v>219</v>
      </c>
      <c r="J215" s="238">
        <f t="shared" si="66"/>
        <v>2041</v>
      </c>
      <c r="K215" s="239">
        <f t="shared" si="67"/>
        <v>51806</v>
      </c>
      <c r="M215" s="36"/>
      <c r="V215" s="97" t="str">
        <f t="shared" si="68"/>
        <v>Winter</v>
      </c>
    </row>
    <row r="216" spans="2:22">
      <c r="B216" s="245">
        <f t="shared" si="69"/>
        <v>51836</v>
      </c>
      <c r="C216" s="246">
        <v>-135956.29505644867</v>
      </c>
      <c r="D216" s="247">
        <f>IF(F216&lt;&gt;0,VLOOKUP($J216,'Table 1'!$B$13:$C$33,2,FALSE)/12*1000*Study_MW,0)</f>
        <v>962767.61481300415</v>
      </c>
      <c r="E216" s="247">
        <f t="shared" si="64"/>
        <v>826811.31975655549</v>
      </c>
      <c r="F216" s="246">
        <v>6825.1639384999999</v>
      </c>
      <c r="G216" s="248">
        <f t="shared" si="65"/>
        <v>121.14160585837413</v>
      </c>
      <c r="I216" s="249">
        <f t="shared" si="63"/>
        <v>220</v>
      </c>
      <c r="J216" s="238">
        <f t="shared" si="66"/>
        <v>2041</v>
      </c>
      <c r="K216" s="245">
        <f t="shared" si="67"/>
        <v>51836</v>
      </c>
      <c r="M216" s="36"/>
      <c r="V216" s="97" t="str">
        <f t="shared" si="68"/>
        <v>Winter</v>
      </c>
    </row>
    <row r="217" spans="2:22">
      <c r="B217" s="232">
        <f t="shared" si="69"/>
        <v>51867</v>
      </c>
      <c r="C217" s="233">
        <v>106254.28466838639</v>
      </c>
      <c r="D217" s="234">
        <f>IF(F217&lt;&gt;0,VLOOKUP($J217,'Table 1'!$B$13:$C$33,2,FALSE)/12*1000*Study_MW,0)</f>
        <v>983755.94885196048</v>
      </c>
      <c r="E217" s="234">
        <f t="shared" ref="E217:E240" si="70">C217+D217</f>
        <v>1090010.2335203469</v>
      </c>
      <c r="F217" s="233">
        <v>7414.8217534599999</v>
      </c>
      <c r="G217" s="236">
        <f t="shared" ref="G217:G240" si="71">IF(ISNUMBER($F217),E217/$F217,"")</f>
        <v>147.00423958427757</v>
      </c>
      <c r="I217" s="237">
        <f t="shared" si="63"/>
        <v>222</v>
      </c>
      <c r="J217" s="238">
        <f t="shared" si="66"/>
        <v>2042</v>
      </c>
      <c r="K217" s="232">
        <f t="shared" si="67"/>
        <v>51867</v>
      </c>
      <c r="M217" s="36"/>
      <c r="V217" s="97" t="str">
        <f t="shared" si="68"/>
        <v>Winter</v>
      </c>
    </row>
    <row r="218" spans="2:22">
      <c r="B218" s="239">
        <f t="shared" si="69"/>
        <v>51898</v>
      </c>
      <c r="C218" s="97">
        <v>154743.67521134263</v>
      </c>
      <c r="D218" s="235">
        <f>IF(F218&lt;&gt;0,VLOOKUP($J218,'Table 1'!$B$13:$C$33,2,FALSE)/12*1000*Study_MW,0)</f>
        <v>983755.94885196048</v>
      </c>
      <c r="E218" s="235">
        <f t="shared" si="70"/>
        <v>1138499.6240633032</v>
      </c>
      <c r="F218" s="97">
        <v>11588.41723537</v>
      </c>
      <c r="G218" s="240">
        <f t="shared" si="71"/>
        <v>98.24461796114754</v>
      </c>
      <c r="I218" s="241">
        <f t="shared" si="63"/>
        <v>223</v>
      </c>
      <c r="J218" s="238">
        <f t="shared" si="66"/>
        <v>2042</v>
      </c>
      <c r="K218" s="239">
        <f t="shared" si="67"/>
        <v>51898</v>
      </c>
      <c r="M218" s="36"/>
      <c r="V218" s="97" t="str">
        <f t="shared" si="68"/>
        <v>Winter</v>
      </c>
    </row>
    <row r="219" spans="2:22">
      <c r="B219" s="239">
        <f t="shared" si="69"/>
        <v>51926</v>
      </c>
      <c r="C219" s="97">
        <v>50085.516483135507</v>
      </c>
      <c r="D219" s="235">
        <f>IF(F219&lt;&gt;0,VLOOKUP($J219,'Table 1'!$B$13:$C$33,2,FALSE)/12*1000*Study_MW,0)</f>
        <v>983755.94885196048</v>
      </c>
      <c r="E219" s="235">
        <f t="shared" si="70"/>
        <v>1033841.465335096</v>
      </c>
      <c r="F219" s="97">
        <v>13846.144720890001</v>
      </c>
      <c r="G219" s="240">
        <f t="shared" si="71"/>
        <v>74.666377260618646</v>
      </c>
      <c r="I219" s="241">
        <f t="shared" si="63"/>
        <v>224</v>
      </c>
      <c r="J219" s="238">
        <f t="shared" si="66"/>
        <v>2042</v>
      </c>
      <c r="K219" s="239">
        <f t="shared" si="67"/>
        <v>51926</v>
      </c>
      <c r="M219" s="36"/>
      <c r="V219" s="97" t="str">
        <f t="shared" si="68"/>
        <v>Winter</v>
      </c>
    </row>
    <row r="220" spans="2:22">
      <c r="B220" s="239">
        <f t="shared" si="69"/>
        <v>51957</v>
      </c>
      <c r="C220" s="97">
        <v>145250.3472389908</v>
      </c>
      <c r="D220" s="235">
        <f>IF(F220&lt;&gt;0,VLOOKUP($J220,'Table 1'!$B$13:$C$33,2,FALSE)/12*1000*Study_MW,0)</f>
        <v>983755.94885196048</v>
      </c>
      <c r="E220" s="235">
        <f t="shared" si="70"/>
        <v>1129006.2960909512</v>
      </c>
      <c r="F220" s="97">
        <v>18002.7346487</v>
      </c>
      <c r="G220" s="240">
        <f t="shared" si="71"/>
        <v>62.713044330322234</v>
      </c>
      <c r="I220" s="241">
        <f t="shared" si="63"/>
        <v>225</v>
      </c>
      <c r="J220" s="238">
        <f t="shared" si="66"/>
        <v>2042</v>
      </c>
      <c r="K220" s="239">
        <f t="shared" si="67"/>
        <v>51957</v>
      </c>
      <c r="M220" s="36"/>
      <c r="V220" s="97" t="str">
        <f t="shared" si="68"/>
        <v>Winter</v>
      </c>
    </row>
    <row r="221" spans="2:22">
      <c r="B221" s="239">
        <f t="shared" si="69"/>
        <v>51987</v>
      </c>
      <c r="C221" s="97">
        <v>107395.31873949454</v>
      </c>
      <c r="D221" s="235">
        <f>IF(F221&lt;&gt;0,VLOOKUP($J221,'Table 1'!$B$13:$C$33,2,FALSE)/12*1000*Study_MW,0)</f>
        <v>983755.94885196048</v>
      </c>
      <c r="E221" s="235">
        <f t="shared" si="70"/>
        <v>1091151.267591455</v>
      </c>
      <c r="F221" s="97">
        <v>21118.608745180001</v>
      </c>
      <c r="G221" s="240">
        <f t="shared" si="71"/>
        <v>51.667762813234255</v>
      </c>
      <c r="I221" s="241">
        <f t="shared" si="63"/>
        <v>226</v>
      </c>
      <c r="J221" s="238">
        <f t="shared" si="66"/>
        <v>2042</v>
      </c>
      <c r="K221" s="239">
        <f t="shared" si="67"/>
        <v>51987</v>
      </c>
      <c r="M221" s="36"/>
      <c r="V221" s="97" t="str">
        <f t="shared" si="68"/>
        <v>Summer</v>
      </c>
    </row>
    <row r="222" spans="2:22">
      <c r="B222" s="239">
        <f t="shared" si="69"/>
        <v>52018</v>
      </c>
      <c r="C222" s="97">
        <v>266560.21475868876</v>
      </c>
      <c r="D222" s="235">
        <f>IF(F222&lt;&gt;0,VLOOKUP($J222,'Table 1'!$B$13:$C$33,2,FALSE)/12*1000*Study_MW,0)</f>
        <v>983755.94885196048</v>
      </c>
      <c r="E222" s="235">
        <f t="shared" si="70"/>
        <v>1250316.1636106493</v>
      </c>
      <c r="F222" s="97">
        <v>25587.844077139995</v>
      </c>
      <c r="G222" s="240">
        <f t="shared" si="71"/>
        <v>48.863677605714081</v>
      </c>
      <c r="I222" s="241">
        <f t="shared" si="63"/>
        <v>227</v>
      </c>
      <c r="J222" s="238">
        <f t="shared" si="66"/>
        <v>2042</v>
      </c>
      <c r="K222" s="239">
        <f t="shared" si="67"/>
        <v>52018</v>
      </c>
      <c r="M222" s="36"/>
      <c r="V222" s="97" t="str">
        <f t="shared" si="68"/>
        <v>Summer</v>
      </c>
    </row>
    <row r="223" spans="2:22">
      <c r="B223" s="239">
        <f t="shared" si="69"/>
        <v>52048</v>
      </c>
      <c r="C223" s="97">
        <v>266865.71075802203</v>
      </c>
      <c r="D223" s="235">
        <f>IF(F223&lt;&gt;0,VLOOKUP($J223,'Table 1'!$B$13:$C$33,2,FALSE)/12*1000*Study_MW,0)</f>
        <v>983755.94885196048</v>
      </c>
      <c r="E223" s="235">
        <f t="shared" si="70"/>
        <v>1250621.6596099825</v>
      </c>
      <c r="F223" s="97">
        <v>25051.219161159996</v>
      </c>
      <c r="G223" s="240">
        <f t="shared" si="71"/>
        <v>49.922586663924761</v>
      </c>
      <c r="I223" s="241">
        <f t="shared" si="63"/>
        <v>228</v>
      </c>
      <c r="J223" s="238">
        <f t="shared" si="66"/>
        <v>2042</v>
      </c>
      <c r="K223" s="239">
        <f t="shared" si="67"/>
        <v>52048</v>
      </c>
      <c r="M223" s="36"/>
      <c r="V223" s="97" t="str">
        <f t="shared" si="68"/>
        <v>Summer</v>
      </c>
    </row>
    <row r="224" spans="2:22">
      <c r="B224" s="239">
        <f t="shared" si="69"/>
        <v>52079</v>
      </c>
      <c r="C224" s="97">
        <v>300209.29239186808</v>
      </c>
      <c r="D224" s="235">
        <f>IF(F224&lt;&gt;0,VLOOKUP($J224,'Table 1'!$B$13:$C$33,2,FALSE)/12*1000*Study_MW,0)</f>
        <v>983755.94885196048</v>
      </c>
      <c r="E224" s="235">
        <f t="shared" si="70"/>
        <v>1283965.2412438286</v>
      </c>
      <c r="F224" s="97">
        <v>21650.842162560002</v>
      </c>
      <c r="G224" s="240">
        <f t="shared" si="71"/>
        <v>59.303247033232822</v>
      </c>
      <c r="I224" s="241">
        <f t="shared" si="63"/>
        <v>229</v>
      </c>
      <c r="J224" s="238">
        <f t="shared" si="66"/>
        <v>2042</v>
      </c>
      <c r="K224" s="239">
        <f t="shared" si="67"/>
        <v>52079</v>
      </c>
      <c r="M224" s="36"/>
      <c r="V224" s="97" t="str">
        <f t="shared" si="68"/>
        <v>Summer</v>
      </c>
    </row>
    <row r="225" spans="2:22">
      <c r="B225" s="239">
        <f t="shared" si="69"/>
        <v>52110</v>
      </c>
      <c r="C225" s="97">
        <v>188765.9771732433</v>
      </c>
      <c r="D225" s="235">
        <f>IF(F225&lt;&gt;0,VLOOKUP($J225,'Table 1'!$B$13:$C$33,2,FALSE)/12*1000*Study_MW,0)</f>
        <v>983755.94885196048</v>
      </c>
      <c r="E225" s="235">
        <f t="shared" si="70"/>
        <v>1172521.9260252039</v>
      </c>
      <c r="F225" s="97">
        <v>18484.404493990001</v>
      </c>
      <c r="G225" s="240">
        <f t="shared" si="71"/>
        <v>63.433037640267848</v>
      </c>
      <c r="I225" s="241">
        <f t="shared" si="63"/>
        <v>230</v>
      </c>
      <c r="J225" s="238">
        <f t="shared" si="66"/>
        <v>2042</v>
      </c>
      <c r="K225" s="239">
        <f t="shared" si="67"/>
        <v>52110</v>
      </c>
      <c r="M225" s="36"/>
      <c r="V225" s="97" t="str">
        <f t="shared" si="68"/>
        <v>Winter</v>
      </c>
    </row>
    <row r="226" spans="2:22">
      <c r="B226" s="239">
        <f t="shared" si="69"/>
        <v>52140</v>
      </c>
      <c r="C226" s="97">
        <v>53662.863869729335</v>
      </c>
      <c r="D226" s="235">
        <f>IF(F226&lt;&gt;0,VLOOKUP($J226,'Table 1'!$B$13:$C$33,2,FALSE)/12*1000*Study_MW,0)</f>
        <v>983755.94885196048</v>
      </c>
      <c r="E226" s="235">
        <f t="shared" si="70"/>
        <v>1037418.8127216898</v>
      </c>
      <c r="F226" s="97">
        <v>13751.737288299999</v>
      </c>
      <c r="G226" s="240">
        <f t="shared" si="71"/>
        <v>75.439109326523237</v>
      </c>
      <c r="I226" s="241">
        <f t="shared" si="63"/>
        <v>231</v>
      </c>
      <c r="J226" s="238">
        <f t="shared" si="66"/>
        <v>2042</v>
      </c>
      <c r="K226" s="239">
        <f t="shared" si="67"/>
        <v>52140</v>
      </c>
      <c r="M226" s="36"/>
      <c r="V226" s="97" t="str">
        <f t="shared" si="68"/>
        <v>Winter</v>
      </c>
    </row>
    <row r="227" spans="2:22">
      <c r="B227" s="239">
        <f t="shared" si="69"/>
        <v>52171</v>
      </c>
      <c r="C227" s="97">
        <v>177100.85239351611</v>
      </c>
      <c r="D227" s="235">
        <f>IF(F227&lt;&gt;0,VLOOKUP($J227,'Table 1'!$B$13:$C$33,2,FALSE)/12*1000*Study_MW,0)</f>
        <v>983755.94885196048</v>
      </c>
      <c r="E227" s="235">
        <f t="shared" si="70"/>
        <v>1160856.8012454766</v>
      </c>
      <c r="F227" s="97">
        <v>11009.415309409997</v>
      </c>
      <c r="G227" s="240">
        <f t="shared" si="71"/>
        <v>105.4421845866116</v>
      </c>
      <c r="I227" s="241">
        <f t="shared" si="63"/>
        <v>232</v>
      </c>
      <c r="J227" s="238">
        <f t="shared" si="66"/>
        <v>2042</v>
      </c>
      <c r="K227" s="239">
        <f t="shared" si="67"/>
        <v>52171</v>
      </c>
      <c r="M227" s="36"/>
      <c r="V227" s="97" t="str">
        <f t="shared" si="68"/>
        <v>Winter</v>
      </c>
    </row>
    <row r="228" spans="2:22">
      <c r="B228" s="245">
        <f t="shared" si="69"/>
        <v>52201</v>
      </c>
      <c r="C228" s="246">
        <v>107927.36420121219</v>
      </c>
      <c r="D228" s="247">
        <f>IF(F228&lt;&gt;0,VLOOKUP($J228,'Table 1'!$B$13:$C$33,2,FALSE)/12*1000*Study_MW,0)</f>
        <v>983755.94885196048</v>
      </c>
      <c r="E228" s="247">
        <f t="shared" si="70"/>
        <v>1091683.3130531725</v>
      </c>
      <c r="F228" s="246">
        <v>6748.40764511</v>
      </c>
      <c r="G228" s="248">
        <f t="shared" si="71"/>
        <v>161.76902322197787</v>
      </c>
      <c r="I228" s="249">
        <f t="shared" si="63"/>
        <v>233</v>
      </c>
      <c r="J228" s="238">
        <f t="shared" si="66"/>
        <v>2042</v>
      </c>
      <c r="K228" s="245">
        <f t="shared" si="67"/>
        <v>52201</v>
      </c>
      <c r="M228" s="36"/>
      <c r="V228" s="97" t="str">
        <f t="shared" si="68"/>
        <v>Winter</v>
      </c>
    </row>
    <row r="229" spans="2:22">
      <c r="B229" s="232">
        <f t="shared" si="69"/>
        <v>52232</v>
      </c>
      <c r="C229" s="233">
        <v>81215.430022752116</v>
      </c>
      <c r="D229" s="234">
        <f>IF(F229&lt;&gt;0,VLOOKUP($J229,'Table 1'!$B$13:$C$33,2,FALSE)/12*1000*Study_MW,0)</f>
        <v>1005201.8288430764</v>
      </c>
      <c r="E229" s="234">
        <f t="shared" si="70"/>
        <v>1086417.2588658284</v>
      </c>
      <c r="F229" s="233">
        <v>7280.4189535799987</v>
      </c>
      <c r="G229" s="236">
        <f t="shared" si="71"/>
        <v>149.22455229470066</v>
      </c>
      <c r="I229" s="237">
        <f t="shared" si="63"/>
        <v>235</v>
      </c>
      <c r="J229" s="238">
        <f t="shared" si="66"/>
        <v>2043</v>
      </c>
      <c r="K229" s="232">
        <f t="shared" si="67"/>
        <v>52232</v>
      </c>
      <c r="M229" s="36"/>
      <c r="V229" s="97" t="str">
        <f t="shared" si="68"/>
        <v>Winter</v>
      </c>
    </row>
    <row r="230" spans="2:22">
      <c r="B230" s="239">
        <f t="shared" si="69"/>
        <v>52263</v>
      </c>
      <c r="C230" s="97">
        <v>258108.10393982683</v>
      </c>
      <c r="D230" s="235">
        <f>IF(F230&lt;&gt;0,VLOOKUP($J230,'Table 1'!$B$13:$C$33,2,FALSE)/12*1000*Study_MW,0)</f>
        <v>1005201.8288430764</v>
      </c>
      <c r="E230" s="235">
        <f t="shared" si="70"/>
        <v>1263309.9327829033</v>
      </c>
      <c r="F230" s="97">
        <v>11844.944988990001</v>
      </c>
      <c r="G230" s="240">
        <f t="shared" si="71"/>
        <v>106.6539299217652</v>
      </c>
      <c r="I230" s="241">
        <f t="shared" si="63"/>
        <v>236</v>
      </c>
      <c r="J230" s="238">
        <f t="shared" si="66"/>
        <v>2043</v>
      </c>
      <c r="K230" s="239">
        <f t="shared" si="67"/>
        <v>52263</v>
      </c>
      <c r="M230" s="36"/>
      <c r="V230" s="97" t="str">
        <f t="shared" si="68"/>
        <v>Winter</v>
      </c>
    </row>
    <row r="231" spans="2:22">
      <c r="B231" s="239">
        <f t="shared" si="69"/>
        <v>52291</v>
      </c>
      <c r="C231" s="97">
        <v>66733.97101863884</v>
      </c>
      <c r="D231" s="235">
        <f>IF(F231&lt;&gt;0,VLOOKUP($J231,'Table 1'!$B$13:$C$33,2,FALSE)/12*1000*Study_MW,0)</f>
        <v>1005201.8288430764</v>
      </c>
      <c r="E231" s="235">
        <f t="shared" si="70"/>
        <v>1071935.7998617152</v>
      </c>
      <c r="F231" s="97">
        <v>13777.352191029997</v>
      </c>
      <c r="G231" s="240">
        <f t="shared" si="71"/>
        <v>77.804195247300058</v>
      </c>
      <c r="I231" s="241">
        <f t="shared" si="63"/>
        <v>237</v>
      </c>
      <c r="J231" s="238">
        <f t="shared" si="66"/>
        <v>2043</v>
      </c>
      <c r="K231" s="239">
        <f t="shared" si="67"/>
        <v>52291</v>
      </c>
      <c r="M231" s="36"/>
      <c r="V231" s="97" t="str">
        <f t="shared" si="68"/>
        <v>Winter</v>
      </c>
    </row>
    <row r="232" spans="2:22">
      <c r="B232" s="239">
        <f t="shared" si="69"/>
        <v>52322</v>
      </c>
      <c r="C232" s="97">
        <v>79060.090961207607</v>
      </c>
      <c r="D232" s="235">
        <f>IF(F232&lt;&gt;0,VLOOKUP($J232,'Table 1'!$B$13:$C$33,2,FALSE)/12*1000*Study_MW,0)</f>
        <v>1005201.8288430764</v>
      </c>
      <c r="E232" s="235">
        <f t="shared" si="70"/>
        <v>1084261.9198042839</v>
      </c>
      <c r="F232" s="97">
        <v>17969.371279440005</v>
      </c>
      <c r="G232" s="240">
        <f t="shared" si="71"/>
        <v>60.339446658596373</v>
      </c>
      <c r="I232" s="241">
        <f t="shared" si="63"/>
        <v>238</v>
      </c>
      <c r="J232" s="238">
        <f t="shared" si="66"/>
        <v>2043</v>
      </c>
      <c r="K232" s="239">
        <f t="shared" si="67"/>
        <v>52322</v>
      </c>
      <c r="M232" s="36"/>
      <c r="V232" s="97" t="str">
        <f t="shared" si="68"/>
        <v>Winter</v>
      </c>
    </row>
    <row r="233" spans="2:22">
      <c r="B233" s="239">
        <f t="shared" si="69"/>
        <v>52352</v>
      </c>
      <c r="C233" s="97">
        <v>115401.11054665249</v>
      </c>
      <c r="D233" s="235">
        <f>IF(F233&lt;&gt;0,VLOOKUP($J233,'Table 1'!$B$13:$C$33,2,FALSE)/12*1000*Study_MW,0)</f>
        <v>1005201.8288430764</v>
      </c>
      <c r="E233" s="235">
        <f t="shared" si="70"/>
        <v>1120602.9393897289</v>
      </c>
      <c r="F233" s="97">
        <v>21353.976063470007</v>
      </c>
      <c r="G233" s="240">
        <f t="shared" si="71"/>
        <v>52.477484102210411</v>
      </c>
      <c r="I233" s="241">
        <f t="shared" si="63"/>
        <v>239</v>
      </c>
      <c r="J233" s="238">
        <f t="shared" si="66"/>
        <v>2043</v>
      </c>
      <c r="K233" s="239">
        <f t="shared" si="67"/>
        <v>52352</v>
      </c>
      <c r="M233" s="36"/>
      <c r="V233" s="97" t="str">
        <f t="shared" si="68"/>
        <v>Summer</v>
      </c>
    </row>
    <row r="234" spans="2:22">
      <c r="B234" s="239">
        <f t="shared" si="69"/>
        <v>52383</v>
      </c>
      <c r="C234" s="97">
        <v>272596.90189334285</v>
      </c>
      <c r="D234" s="235">
        <f>IF(F234&lt;&gt;0,VLOOKUP($J234,'Table 1'!$B$13:$C$33,2,FALSE)/12*1000*Study_MW,0)</f>
        <v>1005201.8288430764</v>
      </c>
      <c r="E234" s="235">
        <f t="shared" si="70"/>
        <v>1277798.7307364191</v>
      </c>
      <c r="F234" s="97">
        <v>25437.647439109998</v>
      </c>
      <c r="G234" s="240">
        <f t="shared" si="71"/>
        <v>50.232582780899101</v>
      </c>
      <c r="I234" s="241">
        <f t="shared" si="63"/>
        <v>240</v>
      </c>
      <c r="J234" s="238">
        <f t="shared" si="66"/>
        <v>2043</v>
      </c>
      <c r="K234" s="239">
        <f t="shared" si="67"/>
        <v>52383</v>
      </c>
      <c r="M234" s="36"/>
      <c r="V234" s="97" t="str">
        <f t="shared" si="68"/>
        <v>Summer</v>
      </c>
    </row>
    <row r="235" spans="2:22">
      <c r="B235" s="239">
        <f t="shared" si="69"/>
        <v>52413</v>
      </c>
      <c r="C235" s="97">
        <v>193749.62010730815</v>
      </c>
      <c r="D235" s="235">
        <f>IF(F235&lt;&gt;0,VLOOKUP($J235,'Table 1'!$B$13:$C$33,2,FALSE)/12*1000*Study_MW,0)</f>
        <v>1005201.8288430764</v>
      </c>
      <c r="E235" s="235">
        <f t="shared" si="70"/>
        <v>1198951.4489503845</v>
      </c>
      <c r="F235" s="97">
        <v>24397.878549419991</v>
      </c>
      <c r="G235" s="240">
        <f t="shared" si="71"/>
        <v>49.141627069001338</v>
      </c>
      <c r="I235" s="241">
        <f t="shared" si="63"/>
        <v>241</v>
      </c>
      <c r="J235" s="238">
        <f t="shared" si="66"/>
        <v>2043</v>
      </c>
      <c r="K235" s="239">
        <f t="shared" si="67"/>
        <v>52413</v>
      </c>
      <c r="M235" s="36"/>
      <c r="V235" s="97" t="str">
        <f t="shared" si="68"/>
        <v>Summer</v>
      </c>
    </row>
    <row r="236" spans="2:22">
      <c r="B236" s="239">
        <f t="shared" si="69"/>
        <v>52444</v>
      </c>
      <c r="C236" s="97">
        <v>226519.46353500534</v>
      </c>
      <c r="D236" s="235">
        <f>IF(F236&lt;&gt;0,VLOOKUP($J236,'Table 1'!$B$13:$C$33,2,FALSE)/12*1000*Study_MW,0)</f>
        <v>1005201.8288430764</v>
      </c>
      <c r="E236" s="235">
        <f t="shared" si="70"/>
        <v>1231721.2923780817</v>
      </c>
      <c r="F236" s="97">
        <v>21473.863065910002</v>
      </c>
      <c r="G236" s="240">
        <f t="shared" si="71"/>
        <v>57.359092241463209</v>
      </c>
      <c r="I236" s="241">
        <f t="shared" si="63"/>
        <v>242</v>
      </c>
      <c r="J236" s="238">
        <f t="shared" si="66"/>
        <v>2043</v>
      </c>
      <c r="K236" s="239">
        <f t="shared" si="67"/>
        <v>52444</v>
      </c>
      <c r="M236" s="36"/>
      <c r="V236" s="97" t="str">
        <f t="shared" si="68"/>
        <v>Summer</v>
      </c>
    </row>
    <row r="237" spans="2:22">
      <c r="B237" s="239">
        <f t="shared" si="69"/>
        <v>52475</v>
      </c>
      <c r="C237" s="97">
        <v>187858.04350730905</v>
      </c>
      <c r="D237" s="235">
        <f>IF(F237&lt;&gt;0,VLOOKUP($J237,'Table 1'!$B$13:$C$33,2,FALSE)/12*1000*Study_MW,0)</f>
        <v>1005201.8288430764</v>
      </c>
      <c r="E237" s="235">
        <f t="shared" si="70"/>
        <v>1193059.8723503854</v>
      </c>
      <c r="F237" s="97">
        <v>18694.64829121</v>
      </c>
      <c r="G237" s="240">
        <f t="shared" si="71"/>
        <v>63.818257169959594</v>
      </c>
      <c r="I237" s="241">
        <f t="shared" si="63"/>
        <v>243</v>
      </c>
      <c r="J237" s="238">
        <f t="shared" si="66"/>
        <v>2043</v>
      </c>
      <c r="K237" s="239">
        <f t="shared" si="67"/>
        <v>52475</v>
      </c>
      <c r="M237" s="36"/>
      <c r="V237" s="97" t="str">
        <f t="shared" si="68"/>
        <v>Winter</v>
      </c>
    </row>
    <row r="238" spans="2:22">
      <c r="B238" s="239">
        <f t="shared" si="69"/>
        <v>52505</v>
      </c>
      <c r="C238" s="97">
        <v>44843.240862428502</v>
      </c>
      <c r="D238" s="235">
        <f>IF(F238&lt;&gt;0,VLOOKUP($J238,'Table 1'!$B$13:$C$33,2,FALSE)/12*1000*Study_MW,0)</f>
        <v>1005201.8288430764</v>
      </c>
      <c r="E238" s="235">
        <f t="shared" si="70"/>
        <v>1050045.0697055049</v>
      </c>
      <c r="F238" s="97">
        <v>13627.226878720001</v>
      </c>
      <c r="G238" s="240">
        <f t="shared" si="71"/>
        <v>77.054934144028508</v>
      </c>
      <c r="I238" s="241">
        <f t="shared" si="63"/>
        <v>244</v>
      </c>
      <c r="J238" s="238">
        <f t="shared" si="66"/>
        <v>2043</v>
      </c>
      <c r="K238" s="239">
        <f t="shared" si="67"/>
        <v>52505</v>
      </c>
      <c r="M238" s="36"/>
      <c r="V238" s="97" t="str">
        <f t="shared" si="68"/>
        <v>Winter</v>
      </c>
    </row>
    <row r="239" spans="2:22">
      <c r="B239" s="239">
        <f t="shared" si="69"/>
        <v>52536</v>
      </c>
      <c r="C239" s="97">
        <v>187884.78808927903</v>
      </c>
      <c r="D239" s="235">
        <f>IF(F239&lt;&gt;0,VLOOKUP($J239,'Table 1'!$B$13:$C$33,2,FALSE)/12*1000*Study_MW,0)</f>
        <v>1005201.8288430764</v>
      </c>
      <c r="E239" s="235">
        <f t="shared" si="70"/>
        <v>1193086.6169323553</v>
      </c>
      <c r="F239" s="97">
        <v>10562.923230659999</v>
      </c>
      <c r="G239" s="240">
        <f t="shared" si="71"/>
        <v>112.95042015162011</v>
      </c>
      <c r="I239" s="241">
        <f t="shared" si="63"/>
        <v>245</v>
      </c>
      <c r="J239" s="238">
        <f t="shared" si="66"/>
        <v>2043</v>
      </c>
      <c r="K239" s="239">
        <f t="shared" si="67"/>
        <v>52536</v>
      </c>
      <c r="M239" s="36"/>
      <c r="V239" s="97" t="str">
        <f t="shared" si="68"/>
        <v>Winter</v>
      </c>
    </row>
    <row r="240" spans="2:22">
      <c r="B240" s="245">
        <f t="shared" si="69"/>
        <v>52566</v>
      </c>
      <c r="C240" s="246">
        <v>90623.305440472905</v>
      </c>
      <c r="D240" s="247">
        <f>IF(F240&lt;&gt;0,VLOOKUP($J240,'Table 1'!$B$13:$C$33,2,FALSE)/12*1000*Study_MW,0)</f>
        <v>1005201.8288430764</v>
      </c>
      <c r="E240" s="247">
        <f t="shared" si="70"/>
        <v>1095825.1342835492</v>
      </c>
      <c r="F240" s="246">
        <v>6814.7868147600011</v>
      </c>
      <c r="G240" s="248">
        <f t="shared" si="71"/>
        <v>160.80108799737138</v>
      </c>
      <c r="I240" s="249">
        <f t="shared" si="63"/>
        <v>246</v>
      </c>
      <c r="J240" s="238">
        <f t="shared" si="66"/>
        <v>2043</v>
      </c>
      <c r="K240" s="245">
        <f t="shared" si="67"/>
        <v>52566</v>
      </c>
      <c r="M240" s="36"/>
      <c r="V240" s="97" t="str">
        <f t="shared" si="68"/>
        <v>Winter</v>
      </c>
    </row>
    <row r="241" spans="2:22" hidden="1">
      <c r="B241" s="232">
        <f t="shared" si="69"/>
        <v>52597</v>
      </c>
      <c r="C241" s="233">
        <v>-78488.443230984558</v>
      </c>
      <c r="D241" s="234">
        <f>IF(F241&lt;&gt;0,VLOOKUP($J241,'Table 1'!$B$13:$C$33,2,FALSE)/12*1000*Study_MW,0)</f>
        <v>1027115.2284618962</v>
      </c>
      <c r="E241" s="234">
        <f t="shared" ref="E241:E252" si="72">C241+D241</f>
        <v>948626.78523091157</v>
      </c>
      <c r="F241" s="233">
        <v>7170.3205430900007</v>
      </c>
      <c r="G241" s="236">
        <f t="shared" ref="G241:G252" si="73">IF(ISNUMBER($F241),E241/$F241,"")</f>
        <v>132.2990763844021</v>
      </c>
      <c r="I241" s="237">
        <f t="shared" si="63"/>
        <v>248</v>
      </c>
      <c r="J241" s="238">
        <f t="shared" ref="J241:J252" si="74">YEAR(B241)</f>
        <v>2044</v>
      </c>
      <c r="K241" s="232">
        <f t="shared" ref="K241:K252" si="75">IF(ISNUMBER(F241),IF(F241&lt;&gt;0,B241,""),"")</f>
        <v>52597</v>
      </c>
      <c r="M241" s="36">
        <f t="shared" ref="M241:M256" si="76">Inflation</f>
        <v>2.18E-2</v>
      </c>
      <c r="V241" s="97" t="str">
        <f t="shared" si="68"/>
        <v>Winter</v>
      </c>
    </row>
    <row r="242" spans="2:22" hidden="1">
      <c r="B242" s="239">
        <f t="shared" si="69"/>
        <v>52628</v>
      </c>
      <c r="C242" s="97">
        <v>138053.21591817483</v>
      </c>
      <c r="D242" s="235">
        <f>IF(F242&lt;&gt;0,VLOOKUP($J242,'Table 1'!$B$13:$C$33,2,FALSE)/12*1000*Study_MW,0)</f>
        <v>1027115.2284618962</v>
      </c>
      <c r="E242" s="235">
        <f t="shared" si="72"/>
        <v>1165168.444380071</v>
      </c>
      <c r="F242" s="97">
        <v>12319.255332750001</v>
      </c>
      <c r="G242" s="240">
        <f t="shared" si="73"/>
        <v>94.581077582062989</v>
      </c>
      <c r="I242" s="241">
        <f t="shared" si="63"/>
        <v>249</v>
      </c>
      <c r="J242" s="238">
        <f t="shared" si="74"/>
        <v>2044</v>
      </c>
      <c r="K242" s="239">
        <f t="shared" si="75"/>
        <v>52628</v>
      </c>
      <c r="M242" s="36">
        <f t="shared" si="76"/>
        <v>2.18E-2</v>
      </c>
      <c r="V242" s="97" t="str">
        <f t="shared" si="68"/>
        <v>Winter</v>
      </c>
    </row>
    <row r="243" spans="2:22" hidden="1">
      <c r="B243" s="239">
        <f t="shared" si="69"/>
        <v>52657</v>
      </c>
      <c r="C243" s="97">
        <v>50904.800934573359</v>
      </c>
      <c r="D243" s="235">
        <f>IF(F243&lt;&gt;0,VLOOKUP($J243,'Table 1'!$B$13:$C$33,2,FALSE)/12*1000*Study_MW,0)</f>
        <v>1027115.2284618962</v>
      </c>
      <c r="E243" s="235">
        <f t="shared" si="72"/>
        <v>1078020.0293964695</v>
      </c>
      <c r="F243" s="97">
        <v>14176.397966510005</v>
      </c>
      <c r="G243" s="240">
        <f t="shared" si="73"/>
        <v>76.043296184486294</v>
      </c>
      <c r="I243" s="241">
        <f t="shared" si="63"/>
        <v>250</v>
      </c>
      <c r="J243" s="238">
        <f t="shared" si="74"/>
        <v>2044</v>
      </c>
      <c r="K243" s="239">
        <f t="shared" si="75"/>
        <v>52657</v>
      </c>
      <c r="M243" s="36">
        <f t="shared" si="76"/>
        <v>2.18E-2</v>
      </c>
      <c r="V243" s="97" t="str">
        <f t="shared" si="68"/>
        <v>Winter</v>
      </c>
    </row>
    <row r="244" spans="2:22" hidden="1">
      <c r="B244" s="239">
        <f t="shared" si="69"/>
        <v>52688</v>
      </c>
      <c r="C244" s="97">
        <v>49600.592801645689</v>
      </c>
      <c r="D244" s="235">
        <f>IF(F244&lt;&gt;0,VLOOKUP($J244,'Table 1'!$B$13:$C$33,2,FALSE)/12*1000*Study_MW,0)</f>
        <v>1027115.2284618962</v>
      </c>
      <c r="E244" s="235">
        <f t="shared" si="72"/>
        <v>1076715.8212635419</v>
      </c>
      <c r="F244" s="97">
        <v>17353.52353527</v>
      </c>
      <c r="G244" s="240">
        <f t="shared" si="73"/>
        <v>62.045948136998305</v>
      </c>
      <c r="I244" s="241">
        <f t="shared" si="63"/>
        <v>251</v>
      </c>
      <c r="J244" s="238">
        <f t="shared" si="74"/>
        <v>2044</v>
      </c>
      <c r="K244" s="239">
        <f t="shared" si="75"/>
        <v>52688</v>
      </c>
      <c r="M244" s="36">
        <f t="shared" si="76"/>
        <v>2.18E-2</v>
      </c>
      <c r="V244" s="97" t="str">
        <f t="shared" si="68"/>
        <v>Winter</v>
      </c>
    </row>
    <row r="245" spans="2:22" hidden="1">
      <c r="B245" s="239">
        <f t="shared" si="69"/>
        <v>52718</v>
      </c>
      <c r="C245" s="97">
        <v>154124.35242562788</v>
      </c>
      <c r="D245" s="235">
        <f>IF(F245&lt;&gt;0,VLOOKUP($J245,'Table 1'!$B$13:$C$33,2,FALSE)/12*1000*Study_MW,0)</f>
        <v>1027115.2284618962</v>
      </c>
      <c r="E245" s="235">
        <f t="shared" si="72"/>
        <v>1181239.5808875239</v>
      </c>
      <c r="F245" s="97">
        <v>22166.217881900004</v>
      </c>
      <c r="G245" s="240">
        <f t="shared" si="73"/>
        <v>53.290082556306288</v>
      </c>
      <c r="I245" s="241">
        <f t="shared" si="63"/>
        <v>252</v>
      </c>
      <c r="J245" s="238">
        <f t="shared" si="74"/>
        <v>2044</v>
      </c>
      <c r="K245" s="239">
        <f t="shared" si="75"/>
        <v>52718</v>
      </c>
      <c r="M245" s="36">
        <f t="shared" si="76"/>
        <v>2.18E-2</v>
      </c>
      <c r="V245" s="97" t="str">
        <f t="shared" si="68"/>
        <v>Summer</v>
      </c>
    </row>
    <row r="246" spans="2:22" hidden="1">
      <c r="B246" s="239">
        <f t="shared" si="69"/>
        <v>52749</v>
      </c>
      <c r="C246" s="97">
        <v>189395.50430227973</v>
      </c>
      <c r="D246" s="235">
        <f>IF(F246&lt;&gt;0,VLOOKUP($J246,'Table 1'!$B$13:$C$33,2,FALSE)/12*1000*Study_MW,0)</f>
        <v>1027115.2284618962</v>
      </c>
      <c r="E246" s="235">
        <f t="shared" si="72"/>
        <v>1216510.7327641759</v>
      </c>
      <c r="F246" s="97">
        <v>25456.264282610002</v>
      </c>
      <c r="G246" s="240">
        <f t="shared" si="73"/>
        <v>47.78826615165265</v>
      </c>
      <c r="I246" s="241">
        <f t="shared" si="63"/>
        <v>253</v>
      </c>
      <c r="J246" s="238">
        <f t="shared" si="74"/>
        <v>2044</v>
      </c>
      <c r="K246" s="239">
        <f t="shared" si="75"/>
        <v>52749</v>
      </c>
      <c r="M246" s="36">
        <f t="shared" si="76"/>
        <v>2.18E-2</v>
      </c>
      <c r="V246" s="97" t="str">
        <f t="shared" si="68"/>
        <v>Summer</v>
      </c>
    </row>
    <row r="247" spans="2:22" hidden="1">
      <c r="B247" s="239">
        <f t="shared" si="69"/>
        <v>52779</v>
      </c>
      <c r="C247" s="97">
        <v>260812.69470673578</v>
      </c>
      <c r="D247" s="235">
        <f>IF(F247&lt;&gt;0,VLOOKUP($J247,'Table 1'!$B$13:$C$33,2,FALSE)/12*1000*Study_MW,0)</f>
        <v>1027115.2284618962</v>
      </c>
      <c r="E247" s="235">
        <f t="shared" si="72"/>
        <v>1287927.923168632</v>
      </c>
      <c r="F247" s="97">
        <v>23929.632729099998</v>
      </c>
      <c r="G247" s="240">
        <f t="shared" si="73"/>
        <v>53.821466369704346</v>
      </c>
      <c r="I247" s="241">
        <f t="shared" si="63"/>
        <v>254</v>
      </c>
      <c r="J247" s="238">
        <f t="shared" si="74"/>
        <v>2044</v>
      </c>
      <c r="K247" s="239">
        <f t="shared" si="75"/>
        <v>52779</v>
      </c>
      <c r="M247" s="36">
        <f t="shared" si="76"/>
        <v>2.18E-2</v>
      </c>
      <c r="V247" s="97" t="str">
        <f t="shared" si="68"/>
        <v>Summer</v>
      </c>
    </row>
    <row r="248" spans="2:22" hidden="1">
      <c r="B248" s="239">
        <f t="shared" si="69"/>
        <v>52810</v>
      </c>
      <c r="C248" s="97">
        <v>190979.59917815751</v>
      </c>
      <c r="D248" s="235">
        <f>IF(F248&lt;&gt;0,VLOOKUP($J248,'Table 1'!$B$13:$C$33,2,FALSE)/12*1000*Study_MW,0)</f>
        <v>1027115.2284618962</v>
      </c>
      <c r="E248" s="235">
        <f t="shared" si="72"/>
        <v>1218094.8276400538</v>
      </c>
      <c r="F248" s="97">
        <v>21452.238065599999</v>
      </c>
      <c r="G248" s="240">
        <f t="shared" si="73"/>
        <v>56.781713120802294</v>
      </c>
      <c r="I248" s="241">
        <f t="shared" si="63"/>
        <v>255</v>
      </c>
      <c r="J248" s="238">
        <f t="shared" si="74"/>
        <v>2044</v>
      </c>
      <c r="K248" s="239">
        <f t="shared" si="75"/>
        <v>52810</v>
      </c>
      <c r="M248" s="36">
        <f t="shared" si="76"/>
        <v>2.18E-2</v>
      </c>
      <c r="V248" s="97" t="str">
        <f t="shared" si="68"/>
        <v>Summer</v>
      </c>
    </row>
    <row r="249" spans="2:22" hidden="1">
      <c r="B249" s="239">
        <f t="shared" si="69"/>
        <v>52841</v>
      </c>
      <c r="C249" s="97">
        <v>130550.52318761591</v>
      </c>
      <c r="D249" s="235">
        <f>IF(F249&lt;&gt;0,VLOOKUP($J249,'Table 1'!$B$13:$C$33,2,FALSE)/12*1000*Study_MW,0)</f>
        <v>1027115.2284618962</v>
      </c>
      <c r="E249" s="235">
        <f t="shared" si="72"/>
        <v>1157665.751649512</v>
      </c>
      <c r="F249" s="97">
        <v>17781.147790359999</v>
      </c>
      <c r="G249" s="240">
        <f t="shared" si="73"/>
        <v>65.106356760452627</v>
      </c>
      <c r="I249" s="241">
        <f t="shared" si="63"/>
        <v>256</v>
      </c>
      <c r="J249" s="238">
        <f t="shared" si="74"/>
        <v>2044</v>
      </c>
      <c r="K249" s="239">
        <f t="shared" si="75"/>
        <v>52841</v>
      </c>
      <c r="M249" s="36">
        <f t="shared" si="76"/>
        <v>2.18E-2</v>
      </c>
      <c r="V249" s="97" t="str">
        <f t="shared" si="68"/>
        <v>Winter</v>
      </c>
    </row>
    <row r="250" spans="2:22" hidden="1">
      <c r="B250" s="239">
        <f t="shared" si="69"/>
        <v>52871</v>
      </c>
      <c r="C250" s="97">
        <v>52105.153398304537</v>
      </c>
      <c r="D250" s="235">
        <f>IF(F250&lt;&gt;0,VLOOKUP($J250,'Table 1'!$B$13:$C$33,2,FALSE)/12*1000*Study_MW,0)</f>
        <v>1027115.2284618962</v>
      </c>
      <c r="E250" s="235">
        <f t="shared" si="72"/>
        <v>1079220.3818602008</v>
      </c>
      <c r="F250" s="97">
        <v>13725.137751240001</v>
      </c>
      <c r="G250" s="240">
        <f t="shared" si="73"/>
        <v>78.630932630362736</v>
      </c>
      <c r="I250" s="241">
        <f t="shared" si="63"/>
        <v>257</v>
      </c>
      <c r="J250" s="238">
        <f t="shared" si="74"/>
        <v>2044</v>
      </c>
      <c r="K250" s="239">
        <f t="shared" si="75"/>
        <v>52871</v>
      </c>
      <c r="M250" s="36">
        <f t="shared" si="76"/>
        <v>2.18E-2</v>
      </c>
      <c r="V250" s="97" t="str">
        <f t="shared" si="68"/>
        <v>Winter</v>
      </c>
    </row>
    <row r="251" spans="2:22" hidden="1">
      <c r="B251" s="239">
        <f t="shared" si="69"/>
        <v>52902</v>
      </c>
      <c r="C251" s="97">
        <v>175936.75819909549</v>
      </c>
      <c r="D251" s="235">
        <f>IF(F251&lt;&gt;0,VLOOKUP($J251,'Table 1'!$B$13:$C$33,2,FALSE)/12*1000*Study_MW,0)</f>
        <v>1027115.2284618962</v>
      </c>
      <c r="E251" s="235">
        <f t="shared" si="72"/>
        <v>1203051.9866609918</v>
      </c>
      <c r="F251" s="97">
        <v>10076.430964600002</v>
      </c>
      <c r="G251" s="240">
        <f t="shared" si="73"/>
        <v>119.39266898046462</v>
      </c>
      <c r="I251" s="241">
        <f t="shared" si="63"/>
        <v>258</v>
      </c>
      <c r="J251" s="238">
        <f t="shared" si="74"/>
        <v>2044</v>
      </c>
      <c r="K251" s="239">
        <f t="shared" si="75"/>
        <v>52902</v>
      </c>
      <c r="M251" s="36">
        <f t="shared" si="76"/>
        <v>2.18E-2</v>
      </c>
      <c r="V251" s="97" t="str">
        <f t="shared" si="68"/>
        <v>Winter</v>
      </c>
    </row>
    <row r="252" spans="2:22" hidden="1" collapsed="1">
      <c r="B252" s="245">
        <f t="shared" si="69"/>
        <v>52932</v>
      </c>
      <c r="C252" s="246">
        <v>10270.259541939595</v>
      </c>
      <c r="D252" s="247">
        <f>IF(F252&lt;&gt;0,VLOOKUP($J252,'Table 1'!$B$13:$C$33,2,FALSE)/12*1000*Study_MW,0)</f>
        <v>1027115.2284618962</v>
      </c>
      <c r="E252" s="247">
        <f t="shared" si="72"/>
        <v>1037385.4880038358</v>
      </c>
      <c r="F252" s="246">
        <v>6492.7640434100003</v>
      </c>
      <c r="G252" s="248">
        <f t="shared" si="73"/>
        <v>159.77563346950166</v>
      </c>
      <c r="I252" s="249">
        <f t="shared" si="63"/>
        <v>259</v>
      </c>
      <c r="J252" s="238">
        <f t="shared" si="74"/>
        <v>2044</v>
      </c>
      <c r="K252" s="245">
        <f t="shared" si="75"/>
        <v>52932</v>
      </c>
      <c r="M252" s="36">
        <f t="shared" si="76"/>
        <v>2.18E-2</v>
      </c>
      <c r="V252" s="97" t="str">
        <f t="shared" si="68"/>
        <v>Winter</v>
      </c>
    </row>
    <row r="253" spans="2:22" hidden="1">
      <c r="B253" s="232">
        <f t="shared" ref="B253:B276" si="77">EDATE(B252,1)</f>
        <v>52963</v>
      </c>
      <c r="C253" s="233">
        <f>(C241*(1+M253))*IF(AND(MONTH(K253)=2,OR(J241=2036,J241=2040)),28/29,1)</f>
        <v>-80199.491293420026</v>
      </c>
      <c r="D253" s="234">
        <f>IF(ISNUMBER($F253)*SUM(F253:F264)&lt;&gt;0,VLOOKUP($J253,'Table 1'!$B$13:$C$33,2,FALSE)/12*1000*Study_MW,0)</f>
        <v>1049506.3409155929</v>
      </c>
      <c r="E253" s="234">
        <f t="shared" ref="E253:E264" si="78">C253+D253</f>
        <v>969306.84962217277</v>
      </c>
      <c r="F253" s="233">
        <f t="shared" ref="F253:F276" si="79">F241*IF(AND(MONTH(B253)=2,OR(J241=2036,J241=2040)),28/29,1)</f>
        <v>7170.3205430900007</v>
      </c>
      <c r="G253" s="236">
        <f t="shared" ref="G253:G264" si="80">IFERROR(E253/$F253,0)</f>
        <v>135.18319631558015</v>
      </c>
      <c r="I253" s="237">
        <f t="shared" ref="I253:I276" si="81">I241+13</f>
        <v>261</v>
      </c>
      <c r="J253" s="238">
        <f t="shared" ref="J253:J276" si="82">YEAR(B253)</f>
        <v>2045</v>
      </c>
      <c r="K253" s="232">
        <f t="shared" ref="K253:K276" si="83">IF(ISNUMBER(F253),IF(F253&lt;&gt;0,B253,""),"")</f>
        <v>52963</v>
      </c>
      <c r="M253" s="36">
        <f t="shared" si="76"/>
        <v>2.18E-2</v>
      </c>
      <c r="V253" s="97" t="str">
        <f t="shared" si="68"/>
        <v>Winter</v>
      </c>
    </row>
    <row r="254" spans="2:22" hidden="1">
      <c r="B254" s="239">
        <f t="shared" si="77"/>
        <v>52994</v>
      </c>
      <c r="C254" s="97">
        <f t="shared" ref="C254:C264" si="84">(C242*(1+M254))*IF(AND(MONTH(K254)=2,OR(J242=2036,J242=2040)),28/29,1)</f>
        <v>141062.77602519104</v>
      </c>
      <c r="D254" s="235">
        <f>IF(ISNUMBER($F254)*SUM(F254:F265)&lt;&gt;0,VLOOKUP($J254,'Table 1'!$B$13:$C$33,2,FALSE)/12*1000*Study_MW,0)</f>
        <v>1049506.3409155929</v>
      </c>
      <c r="E254" s="235">
        <f t="shared" si="78"/>
        <v>1190569.1169407838</v>
      </c>
      <c r="F254" s="97">
        <f t="shared" si="79"/>
        <v>12319.255332750001</v>
      </c>
      <c r="G254" s="240">
        <f t="shared" si="80"/>
        <v>96.642945111765584</v>
      </c>
      <c r="I254" s="241">
        <f t="shared" si="81"/>
        <v>262</v>
      </c>
      <c r="J254" s="238">
        <f t="shared" si="82"/>
        <v>2045</v>
      </c>
      <c r="K254" s="239">
        <f t="shared" si="83"/>
        <v>52994</v>
      </c>
      <c r="M254" s="36">
        <f t="shared" si="76"/>
        <v>2.18E-2</v>
      </c>
      <c r="V254" s="97" t="str">
        <f t="shared" si="68"/>
        <v>Winter</v>
      </c>
    </row>
    <row r="255" spans="2:22" hidden="1">
      <c r="B255" s="239">
        <f t="shared" si="77"/>
        <v>53022</v>
      </c>
      <c r="C255" s="97">
        <f t="shared" si="84"/>
        <v>52014.525594947059</v>
      </c>
      <c r="D255" s="235">
        <f>IF(ISNUMBER($F255)*SUM(F255:F266)&lt;&gt;0,VLOOKUP($J255,'Table 1'!$B$13:$C$33,2,FALSE)/12*1000*Study_MW,0)</f>
        <v>1049506.3409155929</v>
      </c>
      <c r="E255" s="235">
        <f t="shared" si="78"/>
        <v>1101520.86651054</v>
      </c>
      <c r="F255" s="97">
        <f t="shared" si="79"/>
        <v>14176.397966510005</v>
      </c>
      <c r="G255" s="240">
        <f t="shared" si="80"/>
        <v>77.701040074689459</v>
      </c>
      <c r="I255" s="241">
        <f t="shared" si="81"/>
        <v>263</v>
      </c>
      <c r="J255" s="238">
        <f t="shared" si="82"/>
        <v>2045</v>
      </c>
      <c r="K255" s="239">
        <f t="shared" si="83"/>
        <v>53022</v>
      </c>
      <c r="M255" s="36">
        <f t="shared" si="76"/>
        <v>2.18E-2</v>
      </c>
      <c r="V255" s="97" t="str">
        <f t="shared" si="68"/>
        <v>Winter</v>
      </c>
    </row>
    <row r="256" spans="2:22" hidden="1">
      <c r="B256" s="239">
        <f t="shared" si="77"/>
        <v>53053</v>
      </c>
      <c r="C256" s="97">
        <f t="shared" si="84"/>
        <v>50681.885724721564</v>
      </c>
      <c r="D256" s="235">
        <f>IF(ISNUMBER($F256)*SUM(F256:F267)&lt;&gt;0,VLOOKUP($J256,'Table 1'!$B$13:$C$33,2,FALSE)/12*1000*Study_MW,0)</f>
        <v>1049506.3409155929</v>
      </c>
      <c r="E256" s="235">
        <f t="shared" si="78"/>
        <v>1100188.2266403143</v>
      </c>
      <c r="F256" s="97">
        <f t="shared" si="79"/>
        <v>17353.52353527</v>
      </c>
      <c r="G256" s="240">
        <f t="shared" si="80"/>
        <v>63.398549833654677</v>
      </c>
      <c r="I256" s="241">
        <f t="shared" si="81"/>
        <v>264</v>
      </c>
      <c r="J256" s="238">
        <f t="shared" si="82"/>
        <v>2045</v>
      </c>
      <c r="K256" s="239">
        <f t="shared" si="83"/>
        <v>53053</v>
      </c>
      <c r="M256" s="36">
        <f t="shared" si="76"/>
        <v>2.18E-2</v>
      </c>
      <c r="V256" s="97" t="str">
        <f t="shared" si="68"/>
        <v>Winter</v>
      </c>
    </row>
    <row r="257" spans="2:22" hidden="1">
      <c r="B257" s="239">
        <f t="shared" si="77"/>
        <v>53083</v>
      </c>
      <c r="C257" s="97">
        <f t="shared" si="84"/>
        <v>157484.26330850658</v>
      </c>
      <c r="D257" s="235">
        <f>IF(ISNUMBER($F257)*SUM(F257:F268)&lt;&gt;0,VLOOKUP($J257,'Table 1'!$B$13:$C$33,2,FALSE)/12*1000*Study_MW,0)</f>
        <v>1049506.3409155929</v>
      </c>
      <c r="E257" s="235">
        <f t="shared" si="78"/>
        <v>1206990.6042240993</v>
      </c>
      <c r="F257" s="97">
        <f t="shared" si="79"/>
        <v>22166.217881900004</v>
      </c>
      <c r="G257" s="240">
        <f t="shared" si="80"/>
        <v>54.451806377382802</v>
      </c>
      <c r="I257" s="241">
        <f t="shared" si="81"/>
        <v>265</v>
      </c>
      <c r="J257" s="238">
        <f t="shared" si="82"/>
        <v>2045</v>
      </c>
      <c r="K257" s="239">
        <f t="shared" si="83"/>
        <v>53083</v>
      </c>
      <c r="M257" s="36">
        <f t="shared" ref="M257:M276" si="85">Inflation</f>
        <v>2.18E-2</v>
      </c>
      <c r="V257" s="97" t="str">
        <f t="shared" si="68"/>
        <v>Summer</v>
      </c>
    </row>
    <row r="258" spans="2:22" hidden="1">
      <c r="B258" s="239">
        <f t="shared" si="77"/>
        <v>53114</v>
      </c>
      <c r="C258" s="97">
        <f t="shared" si="84"/>
        <v>193524.32629606943</v>
      </c>
      <c r="D258" s="235">
        <f>IF(ISNUMBER($F258)*SUM(F258:F269)&lt;&gt;0,VLOOKUP($J258,'Table 1'!$B$13:$C$33,2,FALSE)/12*1000*Study_MW,0)</f>
        <v>1049506.3409155929</v>
      </c>
      <c r="E258" s="235">
        <f t="shared" si="78"/>
        <v>1243030.6672116623</v>
      </c>
      <c r="F258" s="97">
        <f t="shared" si="79"/>
        <v>25456.264282610002</v>
      </c>
      <c r="G258" s="240">
        <f t="shared" si="80"/>
        <v>48.830050372348495</v>
      </c>
      <c r="I258" s="241">
        <f t="shared" si="81"/>
        <v>266</v>
      </c>
      <c r="J258" s="238">
        <f t="shared" si="82"/>
        <v>2045</v>
      </c>
      <c r="K258" s="239">
        <f t="shared" si="83"/>
        <v>53114</v>
      </c>
      <c r="M258" s="36">
        <f t="shared" si="85"/>
        <v>2.18E-2</v>
      </c>
      <c r="V258" s="97" t="str">
        <f t="shared" si="68"/>
        <v>Summer</v>
      </c>
    </row>
    <row r="259" spans="2:22" hidden="1">
      <c r="B259" s="239">
        <f t="shared" si="77"/>
        <v>53144</v>
      </c>
      <c r="C259" s="97">
        <f t="shared" si="84"/>
        <v>266498.41145134263</v>
      </c>
      <c r="D259" s="235">
        <f>IF(ISNUMBER($F259)*SUM(F259:F270)&lt;&gt;0,VLOOKUP($J259,'Table 1'!$B$13:$C$33,2,FALSE)/12*1000*Study_MW,0)</f>
        <v>1049506.3409155929</v>
      </c>
      <c r="E259" s="235">
        <f t="shared" si="78"/>
        <v>1316004.7523669354</v>
      </c>
      <c r="F259" s="97">
        <f t="shared" si="79"/>
        <v>23929.632729099998</v>
      </c>
      <c r="G259" s="240">
        <f t="shared" si="80"/>
        <v>54.994774356339683</v>
      </c>
      <c r="I259" s="241">
        <f t="shared" si="81"/>
        <v>267</v>
      </c>
      <c r="J259" s="238">
        <f t="shared" si="82"/>
        <v>2045</v>
      </c>
      <c r="K259" s="239">
        <f t="shared" si="83"/>
        <v>53144</v>
      </c>
      <c r="M259" s="36">
        <f t="shared" si="85"/>
        <v>2.18E-2</v>
      </c>
      <c r="V259" s="97" t="str">
        <f t="shared" si="68"/>
        <v>Summer</v>
      </c>
    </row>
    <row r="260" spans="2:22" hidden="1">
      <c r="B260" s="239">
        <f t="shared" si="77"/>
        <v>53175</v>
      </c>
      <c r="C260" s="97">
        <f t="shared" si="84"/>
        <v>195142.95444024136</v>
      </c>
      <c r="D260" s="235">
        <f>IF(ISNUMBER($F260)*SUM(F260:F271)&lt;&gt;0,VLOOKUP($J260,'Table 1'!$B$13:$C$33,2,FALSE)/12*1000*Study_MW,0)</f>
        <v>1049506.3409155929</v>
      </c>
      <c r="E260" s="235">
        <f t="shared" si="78"/>
        <v>1244649.2953558343</v>
      </c>
      <c r="F260" s="97">
        <f t="shared" si="79"/>
        <v>21452.238065599999</v>
      </c>
      <c r="G260" s="240">
        <f t="shared" si="80"/>
        <v>58.019554488895359</v>
      </c>
      <c r="I260" s="241">
        <f t="shared" si="81"/>
        <v>268</v>
      </c>
      <c r="J260" s="238">
        <f t="shared" si="82"/>
        <v>2045</v>
      </c>
      <c r="K260" s="239">
        <f t="shared" si="83"/>
        <v>53175</v>
      </c>
      <c r="M260" s="36">
        <f t="shared" si="85"/>
        <v>2.18E-2</v>
      </c>
      <c r="V260" s="97" t="str">
        <f t="shared" si="68"/>
        <v>Summer</v>
      </c>
    </row>
    <row r="261" spans="2:22" hidden="1">
      <c r="B261" s="239">
        <f t="shared" si="77"/>
        <v>53206</v>
      </c>
      <c r="C261" s="97">
        <f t="shared" si="84"/>
        <v>133396.52459310595</v>
      </c>
      <c r="D261" s="235">
        <f>IF(ISNUMBER($F261)*SUM(F261:F272)&lt;&gt;0,VLOOKUP($J261,'Table 1'!$B$13:$C$33,2,FALSE)/12*1000*Study_MW,0)</f>
        <v>1049506.3409155929</v>
      </c>
      <c r="E261" s="235">
        <f t="shared" si="78"/>
        <v>1182902.8655086989</v>
      </c>
      <c r="F261" s="97">
        <f t="shared" si="79"/>
        <v>17781.147790359999</v>
      </c>
      <c r="G261" s="240">
        <f t="shared" si="80"/>
        <v>66.525675364444496</v>
      </c>
      <c r="I261" s="241">
        <f t="shared" si="81"/>
        <v>269</v>
      </c>
      <c r="J261" s="238">
        <f t="shared" si="82"/>
        <v>2045</v>
      </c>
      <c r="K261" s="239">
        <f t="shared" si="83"/>
        <v>53206</v>
      </c>
      <c r="M261" s="36">
        <f t="shared" si="85"/>
        <v>2.18E-2</v>
      </c>
      <c r="V261" s="97" t="str">
        <f t="shared" si="68"/>
        <v>Winter</v>
      </c>
    </row>
    <row r="262" spans="2:22" hidden="1">
      <c r="B262" s="239">
        <f t="shared" si="77"/>
        <v>53236</v>
      </c>
      <c r="C262" s="97">
        <f t="shared" si="84"/>
        <v>53241.045742387578</v>
      </c>
      <c r="D262" s="235">
        <f>IF(ISNUMBER($F262)*SUM(F262:F273)&lt;&gt;0,VLOOKUP($J262,'Table 1'!$B$13:$C$33,2,FALSE)/12*1000*Study_MW,0)</f>
        <v>1049506.3409155929</v>
      </c>
      <c r="E262" s="235">
        <f t="shared" si="78"/>
        <v>1102747.3866579805</v>
      </c>
      <c r="F262" s="97">
        <f t="shared" si="79"/>
        <v>13725.137751240001</v>
      </c>
      <c r="G262" s="240">
        <f t="shared" si="80"/>
        <v>80.345086996183511</v>
      </c>
      <c r="I262" s="241">
        <f t="shared" si="81"/>
        <v>270</v>
      </c>
      <c r="J262" s="238">
        <f t="shared" si="82"/>
        <v>2045</v>
      </c>
      <c r="K262" s="239">
        <f t="shared" si="83"/>
        <v>53236</v>
      </c>
      <c r="M262" s="36">
        <f t="shared" si="85"/>
        <v>2.18E-2</v>
      </c>
      <c r="V262" s="97" t="str">
        <f t="shared" si="68"/>
        <v>Winter</v>
      </c>
    </row>
    <row r="263" spans="2:22" hidden="1">
      <c r="B263" s="239">
        <f t="shared" si="77"/>
        <v>53267</v>
      </c>
      <c r="C263" s="97">
        <f t="shared" si="84"/>
        <v>179772.17952783577</v>
      </c>
      <c r="D263" s="235">
        <f>IF(ISNUMBER($F263)*SUM(F263:F274)&lt;&gt;0,VLOOKUP($J263,'Table 1'!$B$13:$C$33,2,FALSE)/12*1000*Study_MW,0)</f>
        <v>1049506.3409155929</v>
      </c>
      <c r="E263" s="235">
        <f t="shared" si="78"/>
        <v>1229278.5204434285</v>
      </c>
      <c r="F263" s="97">
        <f t="shared" si="79"/>
        <v>10076.430964600002</v>
      </c>
      <c r="G263" s="240">
        <f t="shared" si="80"/>
        <v>121.99542921120251</v>
      </c>
      <c r="I263" s="241">
        <f t="shared" si="81"/>
        <v>271</v>
      </c>
      <c r="J263" s="238">
        <f t="shared" si="82"/>
        <v>2045</v>
      </c>
      <c r="K263" s="239">
        <f t="shared" si="83"/>
        <v>53267</v>
      </c>
      <c r="M263" s="36">
        <f t="shared" si="85"/>
        <v>2.18E-2</v>
      </c>
      <c r="V263" s="97" t="str">
        <f t="shared" si="68"/>
        <v>Winter</v>
      </c>
    </row>
    <row r="264" spans="2:22" hidden="1">
      <c r="B264" s="245">
        <f t="shared" si="77"/>
        <v>53297</v>
      </c>
      <c r="C264" s="246">
        <f t="shared" si="84"/>
        <v>10494.151199953878</v>
      </c>
      <c r="D264" s="247">
        <f>IF(ISNUMBER($F264)*SUM(F264:F275)&lt;&gt;0,VLOOKUP($J264,'Table 1'!$B$13:$C$33,2,FALSE)/12*1000*Study_MW,0)</f>
        <v>1049506.3409155929</v>
      </c>
      <c r="E264" s="247">
        <f t="shared" si="78"/>
        <v>1060000.4921155467</v>
      </c>
      <c r="F264" s="246">
        <f t="shared" si="79"/>
        <v>6492.7640434100003</v>
      </c>
      <c r="G264" s="248">
        <f t="shared" si="80"/>
        <v>163.25874235202213</v>
      </c>
      <c r="I264" s="249">
        <f t="shared" si="81"/>
        <v>272</v>
      </c>
      <c r="J264" s="238">
        <f t="shared" si="82"/>
        <v>2045</v>
      </c>
      <c r="K264" s="245">
        <f t="shared" si="83"/>
        <v>53297</v>
      </c>
      <c r="M264" s="36">
        <f t="shared" si="85"/>
        <v>2.18E-2</v>
      </c>
      <c r="V264" s="97" t="str">
        <f t="shared" si="68"/>
        <v>Winter</v>
      </c>
    </row>
    <row r="265" spans="2:22" hidden="1">
      <c r="B265" s="232">
        <f t="shared" si="77"/>
        <v>53328</v>
      </c>
      <c r="C265" s="233">
        <f>(C253*(1+M265))*IF(AND(MONTH(K265)=2,OR(J253=2036,J253=2040)),28/29,1)</f>
        <v>-81947.840203616579</v>
      </c>
      <c r="D265" s="234">
        <f>IF(ISNUMBER($F265)*SUM(F265:F276)&lt;&gt;0,VLOOKUP($J265,'Table 1'!$B$13:$C$38,2,FALSE)/12*1000*Study_MW,0)</f>
        <v>0</v>
      </c>
      <c r="E265" s="234">
        <f t="shared" ref="E265:E276" si="86">C265+D265</f>
        <v>-81947.840203616579</v>
      </c>
      <c r="F265" s="233">
        <f t="shared" si="79"/>
        <v>7170.3205430900007</v>
      </c>
      <c r="G265" s="236">
        <f t="shared" ref="G265:G276" si="87">IFERROR(E265/$F265,0)</f>
        <v>-11.428755480476989</v>
      </c>
      <c r="I265" s="237">
        <f t="shared" si="81"/>
        <v>274</v>
      </c>
      <c r="J265" s="238">
        <f t="shared" si="82"/>
        <v>2046</v>
      </c>
      <c r="K265" s="232">
        <f t="shared" si="83"/>
        <v>53328</v>
      </c>
      <c r="M265" s="36">
        <f t="shared" si="85"/>
        <v>2.18E-2</v>
      </c>
      <c r="V265" s="97" t="str">
        <f t="shared" si="68"/>
        <v>Winter</v>
      </c>
    </row>
    <row r="266" spans="2:22" hidden="1">
      <c r="B266" s="239">
        <f t="shared" si="77"/>
        <v>53359</v>
      </c>
      <c r="C266" s="97">
        <f t="shared" ref="C266:C276" si="88">(C254*(1+M266))*IF(AND(MONTH(K266)=2,OR(J254=2036,J254=2040)),28/29,1)</f>
        <v>144137.94454254021</v>
      </c>
      <c r="D266" s="235">
        <f>IF(ISNUMBER($F266)*SUM(F266:F276)&lt;&gt;0,VLOOKUP($J266,'Table 1'!$B$13:$C$38,2,FALSE)/12*1000*Study_MW,0)</f>
        <v>0</v>
      </c>
      <c r="E266" s="235">
        <f t="shared" si="86"/>
        <v>144137.94454254021</v>
      </c>
      <c r="F266" s="97">
        <f t="shared" si="79"/>
        <v>12319.255332750001</v>
      </c>
      <c r="G266" s="240">
        <f t="shared" si="87"/>
        <v>11.700215690745376</v>
      </c>
      <c r="I266" s="241">
        <f t="shared" si="81"/>
        <v>275</v>
      </c>
      <c r="J266" s="238">
        <f t="shared" si="82"/>
        <v>2046</v>
      </c>
      <c r="K266" s="239">
        <f t="shared" si="83"/>
        <v>53359</v>
      </c>
      <c r="M266" s="36">
        <f t="shared" si="85"/>
        <v>2.18E-2</v>
      </c>
      <c r="V266" s="97" t="str">
        <f t="shared" si="68"/>
        <v>Winter</v>
      </c>
    </row>
    <row r="267" spans="2:22" hidden="1">
      <c r="B267" s="239">
        <f t="shared" si="77"/>
        <v>53387</v>
      </c>
      <c r="C267" s="97">
        <f t="shared" si="88"/>
        <v>53148.44225291691</v>
      </c>
      <c r="D267" s="235">
        <f>IF(ISNUMBER($F267)*SUM(F267:F276)&lt;&gt;0,VLOOKUP($J267,'Table 1'!$B$13:$C$38,2,FALSE)/12*1000*Study_MW,0)</f>
        <v>0</v>
      </c>
      <c r="E267" s="235">
        <f t="shared" si="86"/>
        <v>53148.44225291691</v>
      </c>
      <c r="F267" s="97">
        <f t="shared" si="79"/>
        <v>14176.397966510005</v>
      </c>
      <c r="G267" s="240">
        <f t="shared" si="87"/>
        <v>3.7490794472949731</v>
      </c>
      <c r="I267" s="241">
        <f t="shared" si="81"/>
        <v>276</v>
      </c>
      <c r="J267" s="238">
        <f t="shared" si="82"/>
        <v>2046</v>
      </c>
      <c r="K267" s="239">
        <f t="shared" si="83"/>
        <v>53387</v>
      </c>
      <c r="M267" s="36">
        <f t="shared" si="85"/>
        <v>2.18E-2</v>
      </c>
      <c r="V267" s="97" t="str">
        <f t="shared" si="68"/>
        <v>Winter</v>
      </c>
    </row>
    <row r="268" spans="2:22" hidden="1">
      <c r="B268" s="239">
        <f t="shared" si="77"/>
        <v>53418</v>
      </c>
      <c r="C268" s="97">
        <f t="shared" si="88"/>
        <v>51786.750833520498</v>
      </c>
      <c r="D268" s="235">
        <f>IF(ISNUMBER($F268)*SUM(F268:F276)&lt;&gt;0,VLOOKUP($J268,'Table 1'!$B$13:$C$38,2,FALSE)/12*1000*Study_MW,0)</f>
        <v>0</v>
      </c>
      <c r="E268" s="235">
        <f t="shared" si="86"/>
        <v>51786.750833520498</v>
      </c>
      <c r="F268" s="97">
        <f t="shared" si="79"/>
        <v>17353.52353527</v>
      </c>
      <c r="G268" s="240">
        <f t="shared" si="87"/>
        <v>2.9842210850301969</v>
      </c>
      <c r="I268" s="241">
        <f t="shared" si="81"/>
        <v>277</v>
      </c>
      <c r="J268" s="238">
        <f t="shared" si="82"/>
        <v>2046</v>
      </c>
      <c r="K268" s="239">
        <f t="shared" si="83"/>
        <v>53418</v>
      </c>
      <c r="M268" s="36">
        <f t="shared" si="85"/>
        <v>2.18E-2</v>
      </c>
      <c r="V268" s="97" t="str">
        <f t="shared" ref="V268:V275" si="89">IFERROR(IF(AND(MONTH(K269)&gt;=6,MONTH(K269)&lt;=9),"Summer","Winter"),"-")</f>
        <v>Winter</v>
      </c>
    </row>
    <row r="269" spans="2:22" hidden="1">
      <c r="B269" s="239">
        <f t="shared" si="77"/>
        <v>53448</v>
      </c>
      <c r="C269" s="97">
        <f t="shared" si="88"/>
        <v>160917.42024863203</v>
      </c>
      <c r="D269" s="235">
        <f>IF(ISNUMBER($F269)*SUM(F269:F276)&lt;&gt;0,VLOOKUP($J269,'Table 1'!$B$13:$C$38,2,FALSE)/12*1000*Study_MW,0)</f>
        <v>0</v>
      </c>
      <c r="E269" s="235">
        <f t="shared" si="86"/>
        <v>160917.42024863203</v>
      </c>
      <c r="F269" s="97">
        <f t="shared" si="79"/>
        <v>22166.217881900004</v>
      </c>
      <c r="G269" s="240">
        <f t="shared" si="87"/>
        <v>7.2595794693523423</v>
      </c>
      <c r="I269" s="241">
        <f t="shared" si="81"/>
        <v>278</v>
      </c>
      <c r="J269" s="238">
        <f t="shared" si="82"/>
        <v>2046</v>
      </c>
      <c r="K269" s="239">
        <f t="shared" si="83"/>
        <v>53448</v>
      </c>
      <c r="M269" s="36">
        <f t="shared" si="85"/>
        <v>2.18E-2</v>
      </c>
      <c r="V269" s="97" t="str">
        <f t="shared" si="89"/>
        <v>Summer</v>
      </c>
    </row>
    <row r="270" spans="2:22" hidden="1">
      <c r="B270" s="239">
        <f t="shared" si="77"/>
        <v>53479</v>
      </c>
      <c r="C270" s="97">
        <f t="shared" si="88"/>
        <v>197743.15660932375</v>
      </c>
      <c r="D270" s="235">
        <f>IF(ISNUMBER($F270)*SUM(F270:F276)&lt;&gt;0,VLOOKUP($J270,'Table 1'!$B$13:$C$38,2,FALSE)/12*1000*Study_MW,0)</f>
        <v>0</v>
      </c>
      <c r="E270" s="235">
        <f t="shared" si="86"/>
        <v>197743.15660932375</v>
      </c>
      <c r="F270" s="97">
        <f t="shared" si="79"/>
        <v>25456.264282610002</v>
      </c>
      <c r="G270" s="240">
        <f t="shared" si="87"/>
        <v>7.7679566182225921</v>
      </c>
      <c r="I270" s="241">
        <f t="shared" si="81"/>
        <v>279</v>
      </c>
      <c r="J270" s="238">
        <f t="shared" si="82"/>
        <v>2046</v>
      </c>
      <c r="K270" s="239">
        <f t="shared" si="83"/>
        <v>53479</v>
      </c>
      <c r="M270" s="36">
        <f t="shared" si="85"/>
        <v>2.18E-2</v>
      </c>
      <c r="V270" s="97" t="str">
        <f t="shared" si="89"/>
        <v>Summer</v>
      </c>
    </row>
    <row r="271" spans="2:22" hidden="1">
      <c r="B271" s="239">
        <f t="shared" si="77"/>
        <v>53509</v>
      </c>
      <c r="C271" s="97">
        <f t="shared" si="88"/>
        <v>272308.07682098192</v>
      </c>
      <c r="D271" s="235">
        <f>IF(ISNUMBER($F271)*SUM(F271:F276)&lt;&gt;0,VLOOKUP($J271,'Table 1'!$B$13:$C$38,2,FALSE)/12*1000*Study_MW,0)</f>
        <v>0</v>
      </c>
      <c r="E271" s="235">
        <f t="shared" si="86"/>
        <v>272308.07682098192</v>
      </c>
      <c r="F271" s="97">
        <f t="shared" si="79"/>
        <v>23929.632729099998</v>
      </c>
      <c r="G271" s="240">
        <f t="shared" si="87"/>
        <v>11.379534316455993</v>
      </c>
      <c r="I271" s="241">
        <f t="shared" si="81"/>
        <v>280</v>
      </c>
      <c r="J271" s="238">
        <f t="shared" si="82"/>
        <v>2046</v>
      </c>
      <c r="K271" s="239">
        <f t="shared" si="83"/>
        <v>53509</v>
      </c>
      <c r="M271" s="36">
        <f t="shared" si="85"/>
        <v>2.18E-2</v>
      </c>
      <c r="V271" s="97" t="str">
        <f t="shared" si="89"/>
        <v>Summer</v>
      </c>
    </row>
    <row r="272" spans="2:22" hidden="1">
      <c r="B272" s="239">
        <f t="shared" si="77"/>
        <v>53540</v>
      </c>
      <c r="C272" s="97">
        <f t="shared" si="88"/>
        <v>199397.07084703862</v>
      </c>
      <c r="D272" s="235">
        <f>IF(ISNUMBER($F272)*SUM(F272:F276)&lt;&gt;0,VLOOKUP($J272,'Table 1'!$B$13:$C$38,2,FALSE)/12*1000*Study_MW,0)</f>
        <v>0</v>
      </c>
      <c r="E272" s="235">
        <f t="shared" si="86"/>
        <v>199397.07084703862</v>
      </c>
      <c r="F272" s="97">
        <f t="shared" si="79"/>
        <v>21452.238065599999</v>
      </c>
      <c r="G272" s="240">
        <f t="shared" si="87"/>
        <v>9.2949309175709853</v>
      </c>
      <c r="I272" s="241">
        <f t="shared" si="81"/>
        <v>281</v>
      </c>
      <c r="J272" s="238">
        <f t="shared" si="82"/>
        <v>2046</v>
      </c>
      <c r="K272" s="239">
        <f t="shared" si="83"/>
        <v>53540</v>
      </c>
      <c r="M272" s="36">
        <f t="shared" si="85"/>
        <v>2.18E-2</v>
      </c>
      <c r="V272" s="97" t="str">
        <f t="shared" si="89"/>
        <v>Summer</v>
      </c>
    </row>
    <row r="273" spans="2:22" hidden="1">
      <c r="B273" s="239">
        <f t="shared" si="77"/>
        <v>53571</v>
      </c>
      <c r="C273" s="97">
        <f t="shared" si="88"/>
        <v>136304.56882923565</v>
      </c>
      <c r="D273" s="235">
        <f>IF(ISNUMBER($F273)*SUM(F273:F276)&lt;&gt;0,VLOOKUP($J273,'Table 1'!$B$13:$C$38,2,FALSE)/12*1000*Study_MW,0)</f>
        <v>0</v>
      </c>
      <c r="E273" s="235">
        <f t="shared" si="86"/>
        <v>136304.56882923565</v>
      </c>
      <c r="F273" s="97">
        <f t="shared" si="79"/>
        <v>17781.147790359999</v>
      </c>
      <c r="G273" s="240">
        <f t="shared" si="87"/>
        <v>7.6656788659690909</v>
      </c>
      <c r="I273" s="241">
        <f t="shared" si="81"/>
        <v>282</v>
      </c>
      <c r="J273" s="238">
        <f t="shared" si="82"/>
        <v>2046</v>
      </c>
      <c r="K273" s="239">
        <f t="shared" si="83"/>
        <v>53571</v>
      </c>
      <c r="M273" s="36">
        <f t="shared" si="85"/>
        <v>2.18E-2</v>
      </c>
      <c r="V273" s="97" t="str">
        <f t="shared" si="89"/>
        <v>Winter</v>
      </c>
    </row>
    <row r="274" spans="2:22" hidden="1">
      <c r="B274" s="239">
        <f t="shared" si="77"/>
        <v>53601</v>
      </c>
      <c r="C274" s="97">
        <f t="shared" si="88"/>
        <v>54401.700539571626</v>
      </c>
      <c r="D274" s="235">
        <f>IF(ISNUMBER($F274)*SUM(F274:F276)&lt;&gt;0,VLOOKUP($J274,'Table 1'!$B$13:$C$38,2,FALSE)/12*1000*Study_MW,0)</f>
        <v>0</v>
      </c>
      <c r="E274" s="235">
        <f t="shared" si="86"/>
        <v>54401.700539571626</v>
      </c>
      <c r="F274" s="97">
        <f t="shared" si="79"/>
        <v>13725.137751240001</v>
      </c>
      <c r="G274" s="240">
        <f t="shared" si="87"/>
        <v>3.9636542470880984</v>
      </c>
      <c r="I274" s="241">
        <f t="shared" si="81"/>
        <v>283</v>
      </c>
      <c r="J274" s="238">
        <f t="shared" si="82"/>
        <v>2046</v>
      </c>
      <c r="K274" s="239">
        <f t="shared" si="83"/>
        <v>53601</v>
      </c>
      <c r="M274" s="36">
        <f t="shared" si="85"/>
        <v>2.18E-2</v>
      </c>
      <c r="V274" s="97" t="str">
        <f t="shared" si="89"/>
        <v>Winter</v>
      </c>
    </row>
    <row r="275" spans="2:22" hidden="1">
      <c r="B275" s="239">
        <f t="shared" si="77"/>
        <v>53632</v>
      </c>
      <c r="C275" s="97">
        <f t="shared" si="88"/>
        <v>183691.21304154259</v>
      </c>
      <c r="D275" s="235">
        <f>IF(ISNUMBER($F275)*SUM(F275:F276)&lt;&gt;0,VLOOKUP($J275,'Table 1'!$B$13:$C$38,2,FALSE)/12*1000*Study_MW,0)</f>
        <v>0</v>
      </c>
      <c r="E275" s="235">
        <f t="shared" si="86"/>
        <v>183691.21304154259</v>
      </c>
      <c r="F275" s="97">
        <f t="shared" si="79"/>
        <v>10076.430964600002</v>
      </c>
      <c r="G275" s="240">
        <f t="shared" si="87"/>
        <v>18.229789266346099</v>
      </c>
      <c r="I275" s="241">
        <f t="shared" si="81"/>
        <v>284</v>
      </c>
      <c r="J275" s="238">
        <f t="shared" si="82"/>
        <v>2046</v>
      </c>
      <c r="K275" s="239">
        <f t="shared" si="83"/>
        <v>53632</v>
      </c>
      <c r="M275" s="36">
        <f t="shared" si="85"/>
        <v>2.18E-2</v>
      </c>
      <c r="V275" s="97" t="str">
        <f t="shared" si="89"/>
        <v>Winter</v>
      </c>
    </row>
    <row r="276" spans="2:22" hidden="1">
      <c r="B276" s="245">
        <f t="shared" si="77"/>
        <v>53662</v>
      </c>
      <c r="C276" s="246">
        <f t="shared" si="88"/>
        <v>10722.923696112874</v>
      </c>
      <c r="D276" s="247">
        <f>IF(ISNUMBER($F276)*SUM(F276:F276)&lt;&gt;0,VLOOKUP($J276,'Table 1'!$B$13:$C$38,2,FALSE)/12*1000*Study_MW,0)</f>
        <v>0</v>
      </c>
      <c r="E276" s="247">
        <f t="shared" si="86"/>
        <v>10722.923696112874</v>
      </c>
      <c r="F276" s="246">
        <f t="shared" si="79"/>
        <v>6492.7640434100003</v>
      </c>
      <c r="G276" s="248">
        <f t="shared" si="87"/>
        <v>1.6515190794583678</v>
      </c>
      <c r="I276" s="249">
        <f t="shared" si="81"/>
        <v>285</v>
      </c>
      <c r="J276" s="238">
        <f t="shared" si="82"/>
        <v>2046</v>
      </c>
      <c r="K276" s="245">
        <f t="shared" si="83"/>
        <v>53662</v>
      </c>
      <c r="M276" s="36">
        <f t="shared" si="85"/>
        <v>2.18E-2</v>
      </c>
    </row>
  </sheetData>
  <printOptions horizontalCentered="1"/>
  <pageMargins left="0.25" right="0.25" top="0.75" bottom="0.75" header="0.3" footer="0.3"/>
  <pageSetup scale="74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H62"/>
  <sheetViews>
    <sheetView zoomScale="70" zoomScaleNormal="70" workbookViewId="0">
      <selection activeCell="B14" sqref="B14"/>
    </sheetView>
  </sheetViews>
  <sheetFormatPr defaultRowHeight="12.75"/>
  <cols>
    <col min="1" max="1" width="42.5" customWidth="1"/>
    <col min="2" max="2" width="19" customWidth="1"/>
    <col min="3" max="3" width="16.6640625" customWidth="1"/>
    <col min="4" max="4" width="17.5" customWidth="1"/>
    <col min="5" max="5" width="16" customWidth="1"/>
    <col min="6" max="6" width="17.33203125" customWidth="1"/>
    <col min="7" max="7" width="16.5" customWidth="1"/>
    <col min="8" max="8" width="16" customWidth="1"/>
    <col min="9" max="9" width="14.5" customWidth="1"/>
    <col min="10" max="10" width="15.83203125" customWidth="1"/>
    <col min="11" max="12" width="15.5" customWidth="1"/>
    <col min="13" max="13" width="14.5" customWidth="1"/>
    <col min="14" max="14" width="16.1640625" customWidth="1"/>
    <col min="15" max="16" width="16" customWidth="1"/>
    <col min="17" max="17" width="17.5" customWidth="1"/>
    <col min="18" max="18" width="17.1640625" customWidth="1"/>
    <col min="19" max="19" width="16.6640625" customWidth="1"/>
    <col min="20" max="20" width="14.5" customWidth="1"/>
    <col min="21" max="21" width="15.33203125" customWidth="1"/>
    <col min="22" max="22" width="14.5" customWidth="1"/>
  </cols>
  <sheetData>
    <row r="1" spans="1:8">
      <c r="A1" s="161" t="s">
        <v>92</v>
      </c>
    </row>
    <row r="2" spans="1:8" ht="51">
      <c r="A2" s="161" t="s">
        <v>9</v>
      </c>
      <c r="B2" s="103" t="str">
        <f>'WD_.PX.DJW._.PTC.2028'!B2</f>
        <v>WD_.PX.DJW._.PTC.Utility_Scale</v>
      </c>
      <c r="C2" s="103" t="str">
        <f>'WD_.PX.DJW._.PTC.2028'!$B$2</f>
        <v>WD_.PX.DJW._.PTC.Utility_Scale</v>
      </c>
      <c r="D2" s="103" t="str">
        <f>'WD_.PX.WMV._.PTC.2032'!$T$52</f>
        <v>WD_.PX.WMV._.PTC.Utility_Scale</v>
      </c>
      <c r="E2" s="103" t="str">
        <f>'PV_.PX.YAK._.PTC.2032'!$B$2</f>
        <v>PV_.PX.YAK._.PTC.Utility_Scale</v>
      </c>
      <c r="F2" s="103" t="str">
        <f>'PV_.PX.WMV._.PTC.2032'!$B$2</f>
        <v>PV_.PX.WMV._.PTC.Utility_Scale</v>
      </c>
      <c r="G2" s="103" t="str">
        <f>'PV_.PX.WMV._.PTC.2036'!$B$2</f>
        <v>PV_.PX.WMV._.PTC.Utility_Scale</v>
      </c>
      <c r="H2" s="103"/>
    </row>
    <row r="3" spans="1:8" s="161" customFormat="1">
      <c r="A3" s="161" t="s">
        <v>87</v>
      </c>
      <c r="B3" s="192">
        <f>'WD_.PX.DJW._.PTC.2028'!R52</f>
        <v>2028</v>
      </c>
      <c r="C3" s="193">
        <f>'WD_.PX.DJW._.PTC.2029'!R52</f>
        <v>2029</v>
      </c>
      <c r="D3" s="193">
        <f>'WD_.PX.WMV._.PTC.2032'!R52</f>
        <v>2032</v>
      </c>
      <c r="E3" s="186">
        <f>'PV_.PX.YAK._.PTC.2032'!$R$52</f>
        <v>2032</v>
      </c>
      <c r="F3" s="186">
        <f>'PV_.PX.WMV._.PTC.2032'!R52</f>
        <v>2032</v>
      </c>
      <c r="G3" s="186">
        <f>'PV_.PX.WMV._.PTC.2036'!R52</f>
        <v>2036</v>
      </c>
      <c r="H3" s="186"/>
    </row>
    <row r="4" spans="1:8">
      <c r="B4" s="194" t="s">
        <v>120</v>
      </c>
      <c r="C4" s="195" t="s">
        <v>120</v>
      </c>
      <c r="D4" s="195" t="s">
        <v>120</v>
      </c>
      <c r="E4" s="163" t="s">
        <v>117</v>
      </c>
      <c r="F4" s="163" t="s">
        <v>117</v>
      </c>
      <c r="G4" s="163" t="s">
        <v>117</v>
      </c>
      <c r="H4" s="163"/>
    </row>
    <row r="5" spans="1:8" ht="53.25" customHeight="1">
      <c r="B5" s="181" t="str">
        <f>CONCATENATE('WD_.PX.DJW._.PTC.2028'!B2,'WD_.PX.DJW._.PTC.2028'!R52)</f>
        <v>WD_.PX.DJW._.PTC.Utility_Scale2028</v>
      </c>
      <c r="C5" s="103" t="str">
        <f>CONCATENATE('WD_.PX.DJW._.PTC.2028'!B2,'WD_.PX.DJW._.PTC.2029'!R52)</f>
        <v>WD_.PX.DJW._.PTC.Utility_Scale2029</v>
      </c>
      <c r="D5" s="103" t="str">
        <f>CONCATENATE('WD_.PX.WMV._.PTC.2032'!T52,'WD_.PX.WMV._.PTC.2032'!R52)</f>
        <v>WD_.PX.WMV._.PTC.Utility_Scale2032</v>
      </c>
      <c r="E5" s="103" t="str">
        <f>CONCATENATE('PV_.PX.YAK._.PTC.2032'!B2,'PV_.PX.YAK._.PTC.2032'!R52)</f>
        <v>PV_.PX.YAK._.PTC.Utility_Scale2032</v>
      </c>
      <c r="F5" s="103" t="str">
        <f>CONCATENATE('PV_.PX.WMV._.PTC.2032'!B2,'PV_.PX.WMV._.PTC.2032'!R52)</f>
        <v>PV_.PX.WMV._.PTC.Utility_Scale2032</v>
      </c>
      <c r="G5" s="103" t="str">
        <f>CONCATENATE('PV_.PX.WMV._.PTC.2036'!B2,'PV_.PX.WMV._.PTC.2036'!R52)</f>
        <v>PV_.PX.WMV._.PTC.Utility_Scale2036</v>
      </c>
      <c r="H5" s="103"/>
    </row>
    <row r="6" spans="1:8">
      <c r="A6" s="69">
        <v>2024</v>
      </c>
      <c r="B6" s="71">
        <f>IFERROR(INDEX('WD_.PX.DJW._.PTC.2028'!$L$10:$L$37,MATCH($A6,'WD_.PX.DJW._.PTC.2028'!$B$10:$B$37,0),1),0)</f>
        <v>0</v>
      </c>
      <c r="C6" s="71">
        <f>IFERROR(INDEX('WD_.PX.DJW._.PTC.2029'!$L$10:$L$37,MATCH($A6,'WD_.PX.DJW._.PTC.2029'!$B$10:$B$37,0),1),0)</f>
        <v>0</v>
      </c>
      <c r="D6" s="71">
        <f>IFERROR(INDEX('WD_.PX.WMV._.PTC.2032'!$L$10:$L$36,MATCH($A6,'WD_.PX.WMV._.PTC.2032'!$B$10:$B$37,0),1),0)</f>
        <v>0</v>
      </c>
      <c r="E6" s="71">
        <f>IFERROR(INDEX('PV_.PX.YAK._.PTC.2032'!$L$10:$L$37,MATCH($A6,'PV_.PX.YAK._.PTC.2032'!$B$10:$B$37,0),1),0)</f>
        <v>0</v>
      </c>
      <c r="F6" s="71">
        <f>IFERROR(INDEX('PV_.PX.WMV._.PTC.2032'!$L$10:$L$37,MATCH($A6,'PV_.PX.WMV._.PTC.2032'!$B$10:$B$37,0),1),0)</f>
        <v>0</v>
      </c>
      <c r="G6" s="71">
        <f>IFERROR(INDEX('PV_.PX.WMV._.PTC.2036'!$L$10:$L$37,MATCH($A6,'PV_.PX.WMV._.PTC.2036'!$B$10:$B$37,0),1),0)</f>
        <v>0</v>
      </c>
      <c r="H6" s="71"/>
    </row>
    <row r="7" spans="1:8">
      <c r="A7" s="69">
        <f t="shared" ref="A7:A27" si="0">A6+1</f>
        <v>2025</v>
      </c>
      <c r="B7" s="71">
        <f>IFERROR(INDEX('WD_.PX.DJW._.PTC.2028'!$L$10:$L$37,MATCH($A7,'WD_.PX.DJW._.PTC.2028'!$B$10:$B$37,0),1),0)</f>
        <v>0</v>
      </c>
      <c r="C7" s="71">
        <f>IFERROR(INDEX('WD_.PX.DJW._.PTC.2029'!$L$10:$L$37,MATCH($A7,'WD_.PX.DJW._.PTC.2029'!$B$10:$B$37,0),1),0)</f>
        <v>0</v>
      </c>
      <c r="D7" s="71">
        <f>IFERROR(INDEX('WD_.PX.WMV._.PTC.2032'!$L$10:$L$36,MATCH($A7,'WD_.PX.WMV._.PTC.2032'!$B$10:$B$37,0),1),0)</f>
        <v>0</v>
      </c>
      <c r="E7" s="71">
        <f>IFERROR(INDEX('PV_.PX.YAK._.PTC.2032'!$L$10:$L$37,MATCH($A7,'PV_.PX.YAK._.PTC.2032'!$B$10:$B$37,0),1),0)</f>
        <v>0</v>
      </c>
      <c r="F7" s="71">
        <f>IFERROR(INDEX('PV_.PX.WMV._.PTC.2032'!$L$10:$L$37,MATCH($A7,'PV_.PX.WMV._.PTC.2032'!$B$10:$B$37,0),1),0)</f>
        <v>0</v>
      </c>
      <c r="G7" s="71">
        <f>IFERROR(INDEX('PV_.PX.WMV._.PTC.2036'!$L$10:$L$37,MATCH($A7,'PV_.PX.WMV._.PTC.2036'!$B$10:$B$37,0),1),0)</f>
        <v>0</v>
      </c>
      <c r="H7" s="71"/>
    </row>
    <row r="8" spans="1:8">
      <c r="A8" s="69">
        <f t="shared" si="0"/>
        <v>2026</v>
      </c>
      <c r="B8" s="71">
        <f>IFERROR(INDEX('WD_.PX.DJW._.PTC.2028'!$L$10:$L$37,MATCH($A8,'WD_.PX.DJW._.PTC.2028'!$B$10:$B$37,0),1),0)</f>
        <v>0</v>
      </c>
      <c r="C8" s="71">
        <f>IFERROR(INDEX('WD_.PX.DJW._.PTC.2029'!$L$10:$L$37,MATCH($A8,'WD_.PX.DJW._.PTC.2029'!$B$10:$B$37,0),1),0)</f>
        <v>0</v>
      </c>
      <c r="D8" s="71">
        <f>IFERROR(INDEX('WD_.PX.WMV._.PTC.2032'!$L$10:$L$36,MATCH($A8,'WD_.PX.WMV._.PTC.2032'!$B$10:$B$37,0),1),0)</f>
        <v>0</v>
      </c>
      <c r="E8" s="71">
        <f>IFERROR(INDEX('PV_.PX.YAK._.PTC.2032'!$L$10:$L$37,MATCH($A8,'PV_.PX.YAK._.PTC.2032'!$B$10:$B$37,0),1),0)</f>
        <v>0</v>
      </c>
      <c r="F8" s="71">
        <f>IFERROR(INDEX('PV_.PX.WMV._.PTC.2032'!$L$10:$L$37,MATCH($A8,'PV_.PX.WMV._.PTC.2032'!$B$10:$B$37,0),1),0)</f>
        <v>0</v>
      </c>
      <c r="G8" s="71">
        <f>IFERROR(INDEX('PV_.PX.WMV._.PTC.2036'!$L$10:$L$37,MATCH($A8,'PV_.PX.WMV._.PTC.2036'!$B$10:$B$37,0),1),0)</f>
        <v>0</v>
      </c>
      <c r="H8" s="71"/>
    </row>
    <row r="9" spans="1:8">
      <c r="A9" s="69">
        <f t="shared" si="0"/>
        <v>2027</v>
      </c>
      <c r="B9" s="71">
        <f>IFERROR(INDEX('WD_.PX.DJW._.PTC.2028'!$L$10:$L$37,MATCH($A9,'WD_.PX.DJW._.PTC.2028'!$B$10:$B$37,0),1),0)</f>
        <v>0</v>
      </c>
      <c r="C9" s="71">
        <f>IFERROR(INDEX('WD_.PX.DJW._.PTC.2029'!$L$10:$L$37,MATCH($A9,'WD_.PX.DJW._.PTC.2029'!$B$10:$B$37,0),1),0)</f>
        <v>0</v>
      </c>
      <c r="D9" s="71">
        <f>IFERROR(INDEX('WD_.PX.WMV._.PTC.2032'!$L$10:$L$36,MATCH($A9,'WD_.PX.WMV._.PTC.2032'!$B$10:$B$37,0),1),0)</f>
        <v>0</v>
      </c>
      <c r="E9" s="71">
        <f>IFERROR(INDEX('PV_.PX.YAK._.PTC.2032'!$L$10:$L$37,MATCH($A9,'PV_.PX.YAK._.PTC.2032'!$B$10:$B$37,0),1),0)</f>
        <v>0</v>
      </c>
      <c r="F9" s="71">
        <f>IFERROR(INDEX('PV_.PX.WMV._.PTC.2032'!$L$10:$L$37,MATCH($A9,'PV_.PX.WMV._.PTC.2032'!$B$10:$B$37,0),1),0)</f>
        <v>0</v>
      </c>
      <c r="G9" s="71">
        <f>IFERROR(INDEX('PV_.PX.WMV._.PTC.2036'!$L$10:$L$37,MATCH($A9,'PV_.PX.WMV._.PTC.2036'!$B$10:$B$37,0),1),0)</f>
        <v>0</v>
      </c>
      <c r="H9" s="71"/>
    </row>
    <row r="10" spans="1:8">
      <c r="A10" s="69">
        <f t="shared" si="0"/>
        <v>2028</v>
      </c>
      <c r="B10" s="71">
        <f>IFERROR(INDEX('WD_.PX.DJW._.PTC.2028'!$L$10:$L$37,MATCH($A10,'WD_.PX.DJW._.PTC.2028'!$B$10:$B$37,0),1),0)</f>
        <v>122.60687306314156</v>
      </c>
      <c r="C10" s="71">
        <f>IFERROR(INDEX('WD_.PX.DJW._.PTC.2029'!$L$10:$L$37,MATCH($A10,'WD_.PX.DJW._.PTC.2029'!$B$10:$B$37,0),1),0)</f>
        <v>0</v>
      </c>
      <c r="D10" s="71">
        <f>IFERROR(INDEX('WD_.PX.WMV._.PTC.2032'!$L$10:$L$36,MATCH($A10,'WD_.PX.WMV._.PTC.2032'!$B$10:$B$37,0),1),0)</f>
        <v>0</v>
      </c>
      <c r="E10" s="71">
        <f>IFERROR(INDEX('PV_.PX.YAK._.PTC.2032'!$L$10:$L$37,MATCH($A10,'PV_.PX.YAK._.PTC.2032'!$B$10:$B$37,0),1),0)</f>
        <v>0</v>
      </c>
      <c r="F10" s="71">
        <f>IFERROR(INDEX('PV_.PX.WMV._.PTC.2032'!$L$10:$L$37,MATCH($A10,'PV_.PX.WMV._.PTC.2032'!$B$10:$B$37,0),1),0)</f>
        <v>0</v>
      </c>
      <c r="G10" s="71">
        <f>IFERROR(INDEX('PV_.PX.WMV._.PTC.2036'!$L$10:$L$37,MATCH($A10,'PV_.PX.WMV._.PTC.2036'!$B$10:$B$37,0),1),0)</f>
        <v>0</v>
      </c>
      <c r="H10" s="71"/>
    </row>
    <row r="11" spans="1:8">
      <c r="A11" s="69">
        <f t="shared" si="0"/>
        <v>2029</v>
      </c>
      <c r="B11" s="71">
        <f>IFERROR(INDEX('WD_.PX.DJW._.PTC.2028'!$L$10:$L$37,MATCH($A11,'WD_.PX.DJW._.PTC.2028'!$B$10:$B$37,0),1),0)</f>
        <v>125.27970292599355</v>
      </c>
      <c r="C11" s="71">
        <f>IFERROR(INDEX('WD_.PX.DJW._.PTC.2029'!$L$10:$L$37,MATCH($A11,'WD_.PX.DJW._.PTC.2029'!$B$10:$B$37,0),1),0)</f>
        <v>123.30914837857404</v>
      </c>
      <c r="D11" s="71">
        <f>IFERROR(INDEX('WD_.PX.WMV._.PTC.2032'!$L$10:$L$36,MATCH($A11,'WD_.PX.WMV._.PTC.2032'!$B$10:$B$37,0),1),0)</f>
        <v>0</v>
      </c>
      <c r="E11" s="71">
        <f>IFERROR(INDEX('PV_.PX.YAK._.PTC.2032'!$L$10:$L$37,MATCH($A11,'PV_.PX.YAK._.PTC.2032'!$B$10:$B$37,0),1),0)</f>
        <v>0</v>
      </c>
      <c r="F11" s="71">
        <f>IFERROR(INDEX('PV_.PX.WMV._.PTC.2032'!$L$10:$L$37,MATCH($A11,'PV_.PX.WMV._.PTC.2032'!$B$10:$B$37,0),1),0)</f>
        <v>0</v>
      </c>
      <c r="G11" s="71">
        <f>IFERROR(INDEX('PV_.PX.WMV._.PTC.2036'!$L$10:$L$37,MATCH($A11,'PV_.PX.WMV._.PTC.2036'!$B$10:$B$37,0),1),0)</f>
        <v>0</v>
      </c>
      <c r="H11" s="71"/>
    </row>
    <row r="12" spans="1:8">
      <c r="A12" s="69">
        <f t="shared" si="0"/>
        <v>2030</v>
      </c>
      <c r="B12" s="71">
        <f>IFERROR(INDEX('WD_.PX.DJW._.PTC.2028'!$L$10:$L$37,MATCH($A12,'WD_.PX.DJW._.PTC.2028'!$B$10:$B$37,0),1),0)</f>
        <v>128.01080038380309</v>
      </c>
      <c r="C12" s="71">
        <f>IFERROR(INDEX('WD_.PX.DJW._.PTC.2029'!$L$10:$L$37,MATCH($A12,'WD_.PX.DJW._.PTC.2029'!$B$10:$B$37,0),1),0)</f>
        <v>125.99728774828759</v>
      </c>
      <c r="D12" s="71">
        <f>IFERROR(INDEX('WD_.PX.WMV._.PTC.2032'!$L$10:$L$36,MATCH($A12,'WD_.PX.WMV._.PTC.2032'!$B$10:$B$37,0),1),0)</f>
        <v>0</v>
      </c>
      <c r="E12" s="71">
        <f>IFERROR(INDEX('PV_.PX.YAK._.PTC.2032'!$L$10:$L$37,MATCH($A12,'PV_.PX.YAK._.PTC.2032'!$B$10:$B$37,0),1),0)</f>
        <v>0</v>
      </c>
      <c r="F12" s="71">
        <f>IFERROR(INDEX('PV_.PX.WMV._.PTC.2032'!$L$10:$L$37,MATCH($A12,'PV_.PX.WMV._.PTC.2032'!$B$10:$B$37,0),1),0)</f>
        <v>0</v>
      </c>
      <c r="G12" s="71">
        <f>IFERROR(INDEX('PV_.PX.WMV._.PTC.2036'!$L$10:$L$37,MATCH($A12,'PV_.PX.WMV._.PTC.2036'!$B$10:$B$37,0),1),0)</f>
        <v>0</v>
      </c>
      <c r="H12" s="71"/>
    </row>
    <row r="13" spans="1:8">
      <c r="A13" s="69">
        <f t="shared" si="0"/>
        <v>2031</v>
      </c>
      <c r="B13" s="71">
        <f>IFERROR(INDEX('WD_.PX.DJW._.PTC.2028'!$L$10:$L$37,MATCH($A13,'WD_.PX.DJW._.PTC.2028'!$B$10:$B$37,0),1),0)</f>
        <v>130.80143582771603</v>
      </c>
      <c r="C13" s="71">
        <f>IFERROR(INDEX('WD_.PX.DJW._.PTC.2029'!$L$10:$L$37,MATCH($A13,'WD_.PX.DJW._.PTC.2029'!$B$10:$B$37,0),1),0)</f>
        <v>128.74402861681637</v>
      </c>
      <c r="D13" s="71">
        <f>IFERROR(INDEX('WD_.PX.WMV._.PTC.2032'!$L$10:$L$36,MATCH($A13,'WD_.PX.WMV._.PTC.2032'!$B$10:$B$37,0),1),0)</f>
        <v>0</v>
      </c>
      <c r="E13" s="71">
        <f>IFERROR(INDEX('PV_.PX.YAK._.PTC.2032'!$L$10:$L$37,MATCH($A13,'PV_.PX.YAK._.PTC.2032'!$B$10:$B$37,0),1),0)</f>
        <v>0</v>
      </c>
      <c r="F13" s="71">
        <f>IFERROR(INDEX('PV_.PX.WMV._.PTC.2032'!$L$10:$L$37,MATCH($A13,'PV_.PX.WMV._.PTC.2032'!$B$10:$B$37,0),1),0)</f>
        <v>0</v>
      </c>
      <c r="G13" s="71">
        <f>IFERROR(INDEX('PV_.PX.WMV._.PTC.2036'!$L$10:$L$37,MATCH($A13,'PV_.PX.WMV._.PTC.2036'!$B$10:$B$37,0),1),0)</f>
        <v>0</v>
      </c>
      <c r="H13" s="71"/>
    </row>
    <row r="14" spans="1:8">
      <c r="A14" s="69">
        <f t="shared" si="0"/>
        <v>2032</v>
      </c>
      <c r="B14" s="71">
        <f>IFERROR(INDEX('WD_.PX.DJW._.PTC.2028'!$L$10:$L$37,MATCH($A14,'WD_.PX.DJW._.PTC.2028'!$B$10:$B$37,0),1),0)</f>
        <v>133.6529070924762</v>
      </c>
      <c r="C14" s="71">
        <f>IFERROR(INDEX('WD_.PX.DJW._.PTC.2029'!$L$10:$L$37,MATCH($A14,'WD_.PX.DJW._.PTC.2029'!$B$10:$B$37,0),1),0)</f>
        <v>131.55064840494967</v>
      </c>
      <c r="D14" s="71">
        <f>IFERROR(INDEX('WD_.PX.WMV._.PTC.2032'!$L$10:$L$36,MATCH($A14,'WD_.PX.WMV._.PTC.2032'!$B$10:$B$37,0),1),0)</f>
        <v>158.5684942399154</v>
      </c>
      <c r="E14" s="71">
        <f>IFERROR(INDEX('PV_.PX.YAK._.PTC.2032'!$L$10:$L$37,MATCH($A14,'PV_.PX.YAK._.PTC.2032'!$B$10:$B$37,0),1),0)</f>
        <v>100.32780800417204</v>
      </c>
      <c r="F14" s="71">
        <f>IFERROR(INDEX('PV_.PX.WMV._.PTC.2032'!$L$10:$L$37,MATCH($A14,'PV_.PX.WMV._.PTC.2032'!$B$10:$B$37,0),1),0)</f>
        <v>122.40853925633913</v>
      </c>
      <c r="G14" s="71">
        <f>IFERROR(INDEX('PV_.PX.WMV._.PTC.2036'!$L$10:$L$37,MATCH($A14,'PV_.PX.WMV._.PTC.2036'!$B$10:$B$37,0),1),0)</f>
        <v>0</v>
      </c>
      <c r="H14" s="71"/>
    </row>
    <row r="15" spans="1:8">
      <c r="A15" s="69">
        <f t="shared" si="0"/>
        <v>2033</v>
      </c>
      <c r="B15" s="71">
        <f>IFERROR(INDEX('WD_.PX.DJW._.PTC.2028'!$L$10:$L$37,MATCH($A15,'WD_.PX.DJW._.PTC.2028'!$B$10:$B$37,0),1),0)</f>
        <v>136.56654046868928</v>
      </c>
      <c r="C15" s="71">
        <f>IFERROR(INDEX('WD_.PX.DJW._.PTC.2029'!$L$10:$L$37,MATCH($A15,'WD_.PX.DJW._.PTC.2029'!$B$10:$B$37,0),1),0)</f>
        <v>134.41845254174956</v>
      </c>
      <c r="D15" s="71">
        <f>IFERROR(INDEX('WD_.PX.WMV._.PTC.2032'!$L$10:$L$36,MATCH($A15,'WD_.PX.WMV._.PTC.2032'!$B$10:$B$37,0),1),0)</f>
        <v>162.02528741624042</v>
      </c>
      <c r="E15" s="71">
        <f>IFERROR(INDEX('PV_.PX.YAK._.PTC.2032'!$L$10:$L$37,MATCH($A15,'PV_.PX.YAK._.PTC.2032'!$B$10:$B$37,0),1),0)</f>
        <v>102.51495421986186</v>
      </c>
      <c r="F15" s="71">
        <f>IFERROR(INDEX('PV_.PX.WMV._.PTC.2032'!$L$10:$L$37,MATCH($A15,'PV_.PX.WMV._.PTC.2032'!$B$10:$B$37,0),1),0)</f>
        <v>125.07704541359004</v>
      </c>
      <c r="G15" s="71">
        <f>IFERROR(INDEX('PV_.PX.WMV._.PTC.2036'!$L$10:$L$37,MATCH($A15,'PV_.PX.WMV._.PTC.2036'!$B$10:$B$37,0),1),0)</f>
        <v>0</v>
      </c>
      <c r="H15" s="71"/>
    </row>
    <row r="16" spans="1:8">
      <c r="A16" s="69">
        <f t="shared" si="0"/>
        <v>2034</v>
      </c>
      <c r="B16" s="71">
        <f>IFERROR(INDEX('WD_.PX.DJW._.PTC.2028'!$L$10:$L$37,MATCH($A16,'WD_.PX.DJW._.PTC.2028'!$B$10:$B$37,0),1),0)</f>
        <v>139.54369115271797</v>
      </c>
      <c r="C16" s="71">
        <f>IFERROR(INDEX('WD_.PX.DJW._.PTC.2029'!$L$10:$L$37,MATCH($A16,'WD_.PX.DJW._.PTC.2029'!$B$10:$B$37,0),1),0)</f>
        <v>137.34877490736955</v>
      </c>
      <c r="D16" s="71">
        <f>IFERROR(INDEX('WD_.PX.WMV._.PTC.2032'!$L$10:$L$36,MATCH($A16,'WD_.PX.WMV._.PTC.2032'!$B$10:$B$37,0),1),0)</f>
        <v>165.55743880270538</v>
      </c>
      <c r="E16" s="71">
        <f>IFERROR(INDEX('PV_.PX.YAK._.PTC.2032'!$L$10:$L$37,MATCH($A16,'PV_.PX.YAK._.PTC.2032'!$B$10:$B$37,0),1),0)</f>
        <v>104.74978029828043</v>
      </c>
      <c r="F16" s="71">
        <f>IFERROR(INDEX('PV_.PX.WMV._.PTC.2032'!$L$10:$L$37,MATCH($A16,'PV_.PX.WMV._.PTC.2032'!$B$10:$B$37,0),1),0)</f>
        <v>127.80372509685208</v>
      </c>
      <c r="G16" s="71">
        <f>IFERROR(INDEX('PV_.PX.WMV._.PTC.2036'!$L$10:$L$37,MATCH($A16,'PV_.PX.WMV._.PTC.2036'!$B$10:$B$37,0),1),0)</f>
        <v>0</v>
      </c>
      <c r="H16" s="71"/>
    </row>
    <row r="17" spans="1:8">
      <c r="A17" s="69">
        <f t="shared" si="0"/>
        <v>2035</v>
      </c>
      <c r="B17" s="71">
        <f>IFERROR(INDEX('WD_.PX.DJW._.PTC.2028'!$L$10:$L$37,MATCH($A17,'WD_.PX.DJW._.PTC.2028'!$B$10:$B$37,0),1),0)</f>
        <v>142.58574358410306</v>
      </c>
      <c r="C17" s="71">
        <f>IFERROR(INDEX('WD_.PX.DJW._.PTC.2029'!$L$10:$L$37,MATCH($A17,'WD_.PX.DJW._.PTC.2029'!$B$10:$B$37,0),1),0)</f>
        <v>140.34297816516823</v>
      </c>
      <c r="D17" s="71">
        <f>IFERROR(INDEX('WD_.PX.WMV._.PTC.2032'!$L$10:$L$36,MATCH($A17,'WD_.PX.WMV._.PTC.2032'!$B$10:$B$37,0),1),0)</f>
        <v>169.16659092619676</v>
      </c>
      <c r="E17" s="71">
        <f>IFERROR(INDEX('PV_.PX.YAK._.PTC.2032'!$L$10:$L$37,MATCH($A17,'PV_.PX.YAK._.PTC.2032'!$B$10:$B$37,0),1),0)</f>
        <v>107.03332548195127</v>
      </c>
      <c r="F17" s="71">
        <f>IFERROR(INDEX('PV_.PX.WMV._.PTC.2032'!$L$10:$L$37,MATCH($A17,'PV_.PX.WMV._.PTC.2032'!$B$10:$B$37,0),1),0)</f>
        <v>130.58984627122646</v>
      </c>
      <c r="G17" s="71">
        <f>IFERROR(INDEX('PV_.PX.WMV._.PTC.2036'!$L$10:$L$37,MATCH($A17,'PV_.PX.WMV._.PTC.2036'!$B$10:$B$37,0),1),0)</f>
        <v>0</v>
      </c>
      <c r="H17" s="71"/>
    </row>
    <row r="18" spans="1:8">
      <c r="A18" s="69">
        <f t="shared" si="0"/>
        <v>2036</v>
      </c>
      <c r="B18" s="71">
        <f>IFERROR(INDEX('WD_.PX.DJW._.PTC.2028'!$L$10:$L$37,MATCH($A18,'WD_.PX.DJW._.PTC.2028'!$B$10:$B$37,0),1),0)</f>
        <v>145.69411279524877</v>
      </c>
      <c r="C18" s="71">
        <f>IFERROR(INDEX('WD_.PX.DJW._.PTC.2029'!$L$10:$L$37,MATCH($A18,'WD_.PX.DJW._.PTC.2029'!$B$10:$B$37,0),1),0)</f>
        <v>143.40245509016526</v>
      </c>
      <c r="D18" s="71">
        <f>IFERROR(INDEX('WD_.PX.WMV._.PTC.2032'!$L$10:$L$36,MATCH($A18,'WD_.PX.WMV._.PTC.2032'!$B$10:$B$37,0),1),0)</f>
        <v>172.8544226095888</v>
      </c>
      <c r="E18" s="71">
        <f>IFERROR(INDEX('PV_.PX.YAK._.PTC.2032'!$L$10:$L$37,MATCH($A18,'PV_.PX.YAK._.PTC.2032'!$B$10:$B$37,0),1),0)</f>
        <v>109.36665197821765</v>
      </c>
      <c r="F18" s="71">
        <f>IFERROR(INDEX('PV_.PX.WMV._.PTC.2032'!$L$10:$L$37,MATCH($A18,'PV_.PX.WMV._.PTC.2032'!$B$10:$B$37,0),1),0)</f>
        <v>133.4367049208663</v>
      </c>
      <c r="G18" s="71">
        <f>IFERROR(INDEX('PV_.PX.WMV._.PTC.2036'!$L$10:$L$37,MATCH($A18,'PV_.PX.WMV._.PTC.2036'!$B$10:$B$37,0),1),0)</f>
        <v>167.09145087116482</v>
      </c>
      <c r="H18" s="71"/>
    </row>
    <row r="19" spans="1:8">
      <c r="A19" s="69">
        <f t="shared" si="0"/>
        <v>2037</v>
      </c>
      <c r="B19" s="71">
        <f>IFERROR(INDEX('WD_.PX.DJW._.PTC.2028'!$L$10:$L$37,MATCH($A19,'WD_.PX.DJW._.PTC.2028'!$B$10:$B$37,0),1),0)</f>
        <v>148.87024441142265</v>
      </c>
      <c r="C19" s="71">
        <f>IFERROR(INDEX('WD_.PX.DJW._.PTC.2029'!$L$10:$L$37,MATCH($A19,'WD_.PX.DJW._.PTC.2029'!$B$10:$B$37,0),1),0)</f>
        <v>146.52862856904096</v>
      </c>
      <c r="D19" s="71">
        <f>IFERROR(INDEX('WD_.PX.WMV._.PTC.2032'!$L$10:$L$36,MATCH($A19,'WD_.PX.WMV._.PTC.2032'!$B$10:$B$37,0),1),0)</f>
        <v>176.6226489717435</v>
      </c>
      <c r="E19" s="71">
        <f>IFERROR(INDEX('PV_.PX.YAK._.PTC.2032'!$L$10:$L$37,MATCH($A19,'PV_.PX.YAK._.PTC.2032'!$B$10:$B$37,0),1),0)</f>
        <v>111.7508449592427</v>
      </c>
      <c r="F19" s="71">
        <f>IFERROR(INDEX('PV_.PX.WMV._.PTC.2032'!$L$10:$L$37,MATCH($A19,'PV_.PX.WMV._.PTC.2032'!$B$10:$B$37,0),1),0)</f>
        <v>136.34562504897633</v>
      </c>
      <c r="G19" s="71">
        <f>IFERROR(INDEX('PV_.PX.WMV._.PTC.2036'!$L$10:$L$37,MATCH($A19,'PV_.PX.WMV._.PTC.2036'!$B$10:$B$37,0),1),0)</f>
        <v>170.73404445111339</v>
      </c>
      <c r="H19" s="71"/>
    </row>
    <row r="20" spans="1:8">
      <c r="A20" s="69">
        <f t="shared" si="0"/>
        <v>2038</v>
      </c>
      <c r="B20" s="71">
        <f>IFERROR(INDEX('WD_.PX.DJW._.PTC.2028'!$L$10:$L$37,MATCH($A20,'WD_.PX.DJW._.PTC.2028'!$B$10:$B$37,0),1),0)</f>
        <v>152.11561577549332</v>
      </c>
      <c r="C20" s="71">
        <f>IFERROR(INDEX('WD_.PX.DJW._.PTC.2029'!$L$10:$L$37,MATCH($A20,'WD_.PX.DJW._.PTC.2029'!$B$10:$B$37,0),1),0)</f>
        <v>149.72295270718297</v>
      </c>
      <c r="D20" s="71">
        <f>IFERROR(INDEX('WD_.PX.WMV._.PTC.2032'!$L$10:$L$36,MATCH($A20,'WD_.PX.WMV._.PTC.2032'!$B$10:$B$37,0),1),0)</f>
        <v>180.47302276192192</v>
      </c>
      <c r="E20" s="71">
        <f>IFERROR(INDEX('PV_.PX.YAK._.PTC.2032'!$L$10:$L$37,MATCH($A20,'PV_.PX.YAK._.PTC.2032'!$B$10:$B$37,0),1),0)</f>
        <v>114.1870134063041</v>
      </c>
      <c r="F20" s="71">
        <f>IFERROR(INDEX('PV_.PX.WMV._.PTC.2032'!$L$10:$L$37,MATCH($A20,'PV_.PX.WMV._.PTC.2032'!$B$10:$B$37,0),1),0)</f>
        <v>139.31795970792521</v>
      </c>
      <c r="G20" s="71">
        <f>IFERROR(INDEX('PV_.PX.WMV._.PTC.2036'!$L$10:$L$37,MATCH($A20,'PV_.PX.WMV._.PTC.2036'!$B$10:$B$37,0),1),0)</f>
        <v>174.45604666132198</v>
      </c>
      <c r="H20" s="71"/>
    </row>
    <row r="21" spans="1:8">
      <c r="A21" s="69">
        <f t="shared" si="0"/>
        <v>2039</v>
      </c>
      <c r="B21" s="71">
        <f>IFERROR(INDEX('WD_.PX.DJW._.PTC.2028'!$L$10:$L$37,MATCH($A21,'WD_.PX.DJW._.PTC.2028'!$B$10:$B$37,0),1),0)</f>
        <v>155.43173617287775</v>
      </c>
      <c r="C21" s="71">
        <f>IFERROR(INDEX('WD_.PX.DJW._.PTC.2029'!$L$10:$L$37,MATCH($A21,'WD_.PX.DJW._.PTC.2029'!$B$10:$B$37,0),1),0)</f>
        <v>152.98691305009541</v>
      </c>
      <c r="D21" s="71">
        <f>IFERROR(INDEX('WD_.PX.WMV._.PTC.2032'!$L$10:$L$36,MATCH($A21,'WD_.PX.WMV._.PTC.2032'!$B$10:$B$37,0),1),0)</f>
        <v>184.40733462666643</v>
      </c>
      <c r="E21" s="71">
        <f>IFERROR(INDEX('PV_.PX.YAK._.PTC.2032'!$L$10:$L$37,MATCH($A21,'PV_.PX.YAK._.PTC.2032'!$B$10:$B$37,0),1),0)</f>
        <v>116.67629027865306</v>
      </c>
      <c r="F21" s="71">
        <f>IFERROR(INDEX('PV_.PX.WMV._.PTC.2032'!$L$10:$L$37,MATCH($A21,'PV_.PX.WMV._.PTC.2032'!$B$10:$B$37,0),1),0)</f>
        <v>142.35509120526794</v>
      </c>
      <c r="G21" s="71">
        <f>IFERROR(INDEX('PV_.PX.WMV._.PTC.2036'!$L$10:$L$37,MATCH($A21,'PV_.PX.WMV._.PTC.2036'!$B$10:$B$37,0),1),0)</f>
        <v>178.25918844812242</v>
      </c>
      <c r="H21" s="71"/>
    </row>
    <row r="22" spans="1:8">
      <c r="A22" s="69">
        <f t="shared" si="0"/>
        <v>2040</v>
      </c>
      <c r="B22" s="71">
        <f>IFERROR(INDEX('WD_.PX.DJW._.PTC.2028'!$L$10:$L$37,MATCH($A22,'WD_.PX.DJW._.PTC.2028'!$B$10:$B$37,0),1),0)</f>
        <v>158.82014806875296</v>
      </c>
      <c r="C22" s="71">
        <f>IFERROR(INDEX('WD_.PX.DJW._.PTC.2029'!$L$10:$L$37,MATCH($A22,'WD_.PX.DJW._.PTC.2029'!$B$10:$B$37,0),1),0)</f>
        <v>156.32202780114989</v>
      </c>
      <c r="D22" s="71">
        <f>IFERROR(INDEX('WD_.PX.WMV._.PTC.2032'!$L$10:$L$36,MATCH($A22,'WD_.PX.WMV._.PTC.2032'!$B$10:$B$37,0),1),0)</f>
        <v>188.42741457765308</v>
      </c>
      <c r="E22" s="71">
        <f>IFERROR(INDEX('PV_.PX.YAK._.PTC.2032'!$L$10:$L$37,MATCH($A22,'PV_.PX.YAK._.PTC.2032'!$B$10:$B$37,0),1),0)</f>
        <v>119.21983344223874</v>
      </c>
      <c r="F22" s="71">
        <f>IFERROR(INDEX('PV_.PX.WMV._.PTC.2032'!$L$10:$L$37,MATCH($A22,'PV_.PX.WMV._.PTC.2032'!$B$10:$B$37,0),1),0)</f>
        <v>145.4584322368693</v>
      </c>
      <c r="G22" s="71">
        <f>IFERROR(INDEX('PV_.PX.WMV._.PTC.2036'!$L$10:$L$37,MATCH($A22,'PV_.PX.WMV._.PTC.2036'!$B$10:$B$37,0),1),0)</f>
        <v>182.14523881054561</v>
      </c>
      <c r="H22" s="71"/>
    </row>
    <row r="23" spans="1:8">
      <c r="A23" s="69">
        <f t="shared" si="0"/>
        <v>2041</v>
      </c>
      <c r="B23" s="71">
        <f>IFERROR(INDEX('WD_.PX.DJW._.PTC.2028'!$L$10:$L$37,MATCH($A23,'WD_.PX.DJW._.PTC.2028'!$B$10:$B$37,0),1),0)</f>
        <v>162.28242722052951</v>
      </c>
      <c r="C23" s="71">
        <f>IFERROR(INDEX('WD_.PX.DJW._.PTC.2029'!$L$10:$L$37,MATCH($A23,'WD_.PX.DJW._.PTC.2029'!$B$10:$B$37,0),1),0)</f>
        <v>159.72984793229006</v>
      </c>
      <c r="D23" s="71">
        <f>IFERROR(INDEX('WD_.PX.WMV._.PTC.2032'!$L$10:$L$36,MATCH($A23,'WD_.PX.WMV._.PTC.2032'!$B$10:$B$37,0),1),0)</f>
        <v>192.53513212513292</v>
      </c>
      <c r="E23" s="71">
        <f>IFERROR(INDEX('PV_.PX.YAK._.PTC.2032'!$L$10:$L$37,MATCH($A23,'PV_.PX.YAK._.PTC.2032'!$B$10:$B$37,0),1),0)</f>
        <v>121.81882575413766</v>
      </c>
      <c r="F23" s="71">
        <f>IFERROR(INDEX('PV_.PX.WMV._.PTC.2032'!$L$10:$L$37,MATCH($A23,'PV_.PX.WMV._.PTC.2032'!$B$10:$B$37,0),1),0)</f>
        <v>148.62942598991503</v>
      </c>
      <c r="G23" s="71">
        <f>IFERROR(INDEX('PV_.PX.WMV._.PTC.2036'!$L$10:$L$37,MATCH($A23,'PV_.PX.WMV._.PTC.2036'!$B$10:$B$37,0),1),0)</f>
        <v>186.11600492931359</v>
      </c>
      <c r="H23" s="71"/>
    </row>
    <row r="24" spans="1:8">
      <c r="A24" s="69">
        <f t="shared" si="0"/>
        <v>2042</v>
      </c>
      <c r="B24" s="71">
        <f>IFERROR(INDEX('WD_.PX.DJW._.PTC.2028'!$L$10:$L$37,MATCH($A24,'WD_.PX.DJW._.PTC.2028'!$B$10:$B$37,0),1),0)</f>
        <v>165.82018414001064</v>
      </c>
      <c r="C24" s="71">
        <f>IFERROR(INDEX('WD_.PX.DJW._.PTC.2029'!$L$10:$L$37,MATCH($A24,'WD_.PX.DJW._.PTC.2029'!$B$10:$B$37,0),1),0)</f>
        <v>163.21195862319203</v>
      </c>
      <c r="D24" s="71">
        <f>IFERROR(INDEX('WD_.PX.WMV._.PTC.2032'!$L$10:$L$36,MATCH($A24,'WD_.PX.WMV._.PTC.2032'!$B$10:$B$37,0),1),0)</f>
        <v>196.73239801266666</v>
      </c>
      <c r="E24" s="71">
        <f>IFERROR(INDEX('PV_.PX.YAK._.PTC.2032'!$L$10:$L$37,MATCH($A24,'PV_.PX.YAK._.PTC.2032'!$B$10:$B$37,0),1),0)</f>
        <v>124.47447616013706</v>
      </c>
      <c r="F24" s="71">
        <f>IFERROR(INDEX('PV_.PX.WMV._.PTC.2032'!$L$10:$L$37,MATCH($A24,'PV_.PX.WMV._.PTC.2032'!$B$10:$B$37,0),1),0)</f>
        <v>151.86954748205781</v>
      </c>
      <c r="G24" s="71">
        <f>IFERROR(INDEX('PV_.PX.WMV._.PTC.2036'!$L$10:$L$37,MATCH($A24,'PV_.PX.WMV._.PTC.2036'!$B$10:$B$37,0),1),0)</f>
        <v>190.17333384373819</v>
      </c>
      <c r="H24" s="71"/>
    </row>
    <row r="25" spans="1:8">
      <c r="A25" s="69">
        <f t="shared" si="0"/>
        <v>2043</v>
      </c>
      <c r="B25" s="71">
        <f>IFERROR(INDEX('WD_.PX.DJW._.PTC.2028'!$L$10:$L$37,MATCH($A25,'WD_.PX.DJW._.PTC.2028'!$B$10:$B$37,0),1),0)</f>
        <v>169.43506420586584</v>
      </c>
      <c r="C25" s="71">
        <f>IFERROR(INDEX('WD_.PX.DJW._.PTC.2029'!$L$10:$L$37,MATCH($A25,'WD_.PX.DJW._.PTC.2029'!$B$10:$B$37,0),1),0)</f>
        <v>166.7699793719689</v>
      </c>
      <c r="D25" s="71">
        <f>IFERROR(INDEX('WD_.PX.WMV._.PTC.2032'!$L$10:$L$36,MATCH($A25,'WD_.PX.WMV._.PTC.2032'!$B$10:$B$37,0),1),0)</f>
        <v>201.02116435056558</v>
      </c>
      <c r="E25" s="71">
        <f>IFERROR(INDEX('PV_.PX.YAK._.PTC.2032'!$L$10:$L$37,MATCH($A25,'PV_.PX.YAK._.PTC.2032'!$B$10:$B$37,0),1),0)</f>
        <v>127.18801977916431</v>
      </c>
      <c r="F25" s="71">
        <f>IFERROR(INDEX('PV_.PX.WMV._.PTC.2032'!$L$10:$L$37,MATCH($A25,'PV_.PX.WMV._.PTC.2032'!$B$10:$B$37,0),1),0)</f>
        <v>155.18030366442821</v>
      </c>
      <c r="G25" s="71">
        <f>IFERROR(INDEX('PV_.PX.WMV._.PTC.2036'!$L$10:$L$37,MATCH($A25,'PV_.PX.WMV._.PTC.2036'!$B$10:$B$37,0),1),0)</f>
        <v>194.31911258071329</v>
      </c>
      <c r="H25" s="71"/>
    </row>
    <row r="26" spans="1:8">
      <c r="A26" s="69">
        <f t="shared" si="0"/>
        <v>2044</v>
      </c>
      <c r="B26" s="71">
        <f>IFERROR(INDEX('WD_.PX.DJW._.PTC.2028'!$L$10:$L$37,MATCH($A26,'WD_.PX.DJW._.PTC.2028'!$B$10:$B$37,0),1),0)</f>
        <v>173.12874856342106</v>
      </c>
      <c r="C26" s="71">
        <f>IFERROR(INDEX('WD_.PX.DJW._.PTC.2029'!$L$10:$L$37,MATCH($A26,'WD_.PX.DJW._.PTC.2029'!$B$10:$B$37,0),1),0)</f>
        <v>170.40556488080787</v>
      </c>
      <c r="D26" s="71">
        <f>IFERROR(INDEX('WD_.PX.WMV._.PTC.2032'!$L$10:$L$36,MATCH($A26,'WD_.PX.WMV._.PTC.2032'!$B$10:$B$37,0),1),0)</f>
        <v>205.40342568342086</v>
      </c>
      <c r="E26" s="71">
        <f>IFERROR(INDEX('PV_.PX.YAK._.PTC.2032'!$L$10:$L$37,MATCH($A26,'PV_.PX.YAK._.PTC.2032'!$B$10:$B$37,0),1),0)</f>
        <v>129.9607185787228</v>
      </c>
      <c r="F26" s="71">
        <f>IFERROR(INDEX('PV_.PX.WMV._.PTC.2032'!$L$10:$L$37,MATCH($A26,'PV_.PX.WMV._.PTC.2032'!$B$10:$B$37,0),1),0)</f>
        <v>158.56323424572474</v>
      </c>
      <c r="G26" s="71">
        <f>IFERROR(INDEX('PV_.PX.WMV._.PTC.2036'!$L$10:$L$37,MATCH($A26,'PV_.PX.WMV._.PTC.2036'!$B$10:$B$37,0),1),0)</f>
        <v>198.55526918665237</v>
      </c>
      <c r="H26" s="71"/>
    </row>
    <row r="27" spans="1:8">
      <c r="A27" s="69">
        <f t="shared" si="0"/>
        <v>2045</v>
      </c>
      <c r="B27" s="71">
        <f>IFERROR(INDEX('WD_.PX.DJW._.PTC.2028'!$L$10:$L$37,MATCH($A27,'WD_.PX.DJW._.PTC.2028'!$B$10:$B$37,0),1),0)</f>
        <v>176.90295536187003</v>
      </c>
      <c r="C27" s="71">
        <f>IFERROR(INDEX('WD_.PX.DJW._.PTC.2029'!$L$10:$L$37,MATCH($A27,'WD_.PX.DJW._.PTC.2029'!$B$10:$B$37,0),1),0)</f>
        <v>174.12040627372122</v>
      </c>
      <c r="D27" s="71">
        <f>IFERROR(INDEX('WD_.PX.WMV._.PTC.2032'!$L$10:$L$36,MATCH($A27,'WD_.PX.WMV._.PTC.2032'!$B$10:$B$37,0),1),0)</f>
        <v>209.88122045795592</v>
      </c>
      <c r="E27" s="71">
        <f>IFERROR(INDEX('PV_.PX.YAK._.PTC.2032'!$L$10:$L$37,MATCH($A27,'PV_.PX.YAK._.PTC.2032'!$B$10:$B$37,0),1),0)</f>
        <v>132.79386230361635</v>
      </c>
      <c r="F27" s="71">
        <f>IFERROR(INDEX('PV_.PX.WMV._.PTC.2032'!$L$10:$L$37,MATCH($A27,'PV_.PX.WMV._.PTC.2032'!$B$10:$B$37,0),1),0)</f>
        <v>162.01991282533709</v>
      </c>
      <c r="G27" s="71">
        <f>IFERROR(INDEX('PV_.PX.WMV._.PTC.2036'!$L$10:$L$37,MATCH($A27,'PV_.PX.WMV._.PTC.2036'!$B$10:$B$37,0),1),0)</f>
        <v>202.88377414640269</v>
      </c>
      <c r="H27" s="71"/>
    </row>
    <row r="28" spans="1:8">
      <c r="A28" s="69">
        <f t="shared" ref="A28:A32" si="1">A27+1</f>
        <v>2046</v>
      </c>
      <c r="B28" s="71">
        <f>IFERROR(INDEX('WD_.PX.DJW._.PTC.2028'!$L$10:$L$37,MATCH($A28,'WD_.PX.DJW._.PTC.2028'!$B$10:$B$37,0),1),0)</f>
        <v>180.7594397542743</v>
      </c>
      <c r="C28" s="71">
        <f>IFERROR(INDEX('WD_.PX.DJW._.PTC.2029'!$L$10:$L$37,MATCH($A28,'WD_.PX.DJW._.PTC.2029'!$B$10:$B$37,0),1),0)</f>
        <v>177.91623109654628</v>
      </c>
      <c r="D28" s="71">
        <f>IFERROR(INDEX('WD_.PX.WMV._.PTC.2032'!$L$10:$L$36,MATCH($A28,'WD_.PX.WMV._.PTC.2032'!$B$10:$B$37,0),1),0)</f>
        <v>214.45663102302626</v>
      </c>
      <c r="E28" s="71">
        <f>IFERROR(INDEX('PV_.PX.YAK._.PTC.2032'!$L$10:$L$37,MATCH($A28,'PV_.PX.YAK._.PTC.2032'!$B$10:$B$37,0),1),0)</f>
        <v>135.68876847594913</v>
      </c>
      <c r="F28" s="71">
        <f>IFERROR(INDEX('PV_.PX.WMV._.PTC.2032'!$L$10:$L$37,MATCH($A28,'PV_.PX.WMV._.PTC.2032'!$B$10:$B$37,0),1),0)</f>
        <v>165.55194689334618</v>
      </c>
      <c r="G28" s="71">
        <f>IFERROR(INDEX('PV_.PX.WMV._.PTC.2036'!$L$10:$L$37,MATCH($A28,'PV_.PX.WMV._.PTC.2036'!$B$10:$B$37,0),1),0)</f>
        <v>207.30664038324522</v>
      </c>
      <c r="H28" s="71"/>
    </row>
    <row r="29" spans="1:8">
      <c r="A29" s="69">
        <f t="shared" si="1"/>
        <v>2047</v>
      </c>
      <c r="B29" s="71">
        <f>IFERROR(INDEX('WD_.PX.DJW._.PTC.2028'!$L$10:$L$37,MATCH($A29,'WD_.PX.DJW._.PTC.2028'!$B$10:$B$37,0),1),0)</f>
        <v>184.69999547219604</v>
      </c>
      <c r="C29" s="71">
        <f>IFERROR(INDEX('WD_.PX.DJW._.PTC.2029'!$L$10:$L$37,MATCH($A29,'WD_.PX.DJW._.PTC.2029'!$B$10:$B$37,0),1),0)</f>
        <v>181.79480486681047</v>
      </c>
      <c r="D29" s="71">
        <f>IFERROR(INDEX('WD_.PX.WMV._.PTC.2032'!$L$10:$L$36,MATCH($A29,'WD_.PX.WMV._.PTC.2032'!$B$10:$B$37,0),1),0)</f>
        <v>219.13178549779573</v>
      </c>
      <c r="E29" s="71">
        <f>IFERROR(INDEX('PV_.PX.YAK._.PTC.2032'!$L$10:$L$37,MATCH($A29,'PV_.PX.YAK._.PTC.2032'!$B$10:$B$37,0),1),0)</f>
        <v>138.64678357713839</v>
      </c>
      <c r="F29" s="71">
        <f>IFERROR(INDEX('PV_.PX.WMV._.PTC.2032'!$L$10:$L$37,MATCH($A29,'PV_.PX.WMV._.PTC.2032'!$B$10:$B$37,0),1),0)</f>
        <v>169.16097927268129</v>
      </c>
      <c r="G29" s="71">
        <f>IFERROR(INDEX('PV_.PX.WMV._.PTC.2036'!$L$10:$L$37,MATCH($A29,'PV_.PX.WMV._.PTC.2036'!$B$10:$B$37,0),1),0)</f>
        <v>211.82592506478574</v>
      </c>
      <c r="H29" s="71"/>
    </row>
    <row r="30" spans="1:8">
      <c r="A30" s="69">
        <f t="shared" si="1"/>
        <v>2048</v>
      </c>
      <c r="B30" s="71">
        <f>IFERROR(INDEX('WD_.PX.DJW._.PTC.2028'!$L$10:$L$37,MATCH($A30,'WD_.PX.DJW._.PTC.2028'!$B$10:$B$37,0),1),0)</f>
        <v>188.72645530327031</v>
      </c>
      <c r="C30" s="71">
        <f>IFERROR(INDEX('WD_.PX.DJW._.PTC.2029'!$L$10:$L$37,MATCH($A30,'WD_.PX.DJW._.PTC.2029'!$B$10:$B$37,0),1),0)</f>
        <v>185.75793154379184</v>
      </c>
      <c r="D30" s="71">
        <f>IFERROR(INDEX('WD_.PX.WMV._.PTC.2032'!$L$10:$L$36,MATCH($A30,'WD_.PX.WMV._.PTC.2032'!$B$10:$B$37,0),1),0)</f>
        <v>223.90885833833772</v>
      </c>
      <c r="E30" s="71">
        <f>IFERROR(INDEX('PV_.PX.YAK._.PTC.2032'!$L$10:$L$37,MATCH($A30,'PV_.PX.YAK._.PTC.2032'!$B$10:$B$37,0),1),0)</f>
        <v>141.66928340640899</v>
      </c>
      <c r="F30" s="71">
        <f>IFERROR(INDEX('PV_.PX.WMV._.PTC.2032'!$L$10:$L$37,MATCH($A30,'PV_.PX.WMV._.PTC.2032'!$B$10:$B$37,0),1),0)</f>
        <v>172.84868855651376</v>
      </c>
      <c r="G30" s="71">
        <f>IFERROR(INDEX('PV_.PX.WMV._.PTC.2036'!$L$10:$L$37,MATCH($A30,'PV_.PX.WMV._.PTC.2036'!$B$10:$B$37,0),1),0)</f>
        <v>216.44373015066566</v>
      </c>
      <c r="H30" s="71"/>
    </row>
    <row r="31" spans="1:8">
      <c r="A31" s="69">
        <f t="shared" si="1"/>
        <v>2049</v>
      </c>
      <c r="B31" s="71">
        <f>IFERROR(INDEX('WD_.PX.DJW._.PTC.2028'!$L$10:$L$37,MATCH($A31,'WD_.PX.DJW._.PTC.2028'!$B$10:$B$37,0),1),0)</f>
        <v>192.84069195713124</v>
      </c>
      <c r="C31" s="71">
        <f>IFERROR(INDEX('WD_.PX.DJW._.PTC.2029'!$L$10:$L$37,MATCH($A31,'WD_.PX.DJW._.PTC.2029'!$B$10:$B$37,0),1),0)</f>
        <v>189.80745438082474</v>
      </c>
      <c r="D31" s="71">
        <f>IFERROR(INDEX('WD_.PX.WMV._.PTC.2032'!$L$10:$L$36,MATCH($A31,'WD_.PX.WMV._.PTC.2032'!$B$10:$B$37,0),1),0)</f>
        <v>228.79007136498743</v>
      </c>
      <c r="E31" s="71">
        <f>IFERROR(INDEX('PV_.PX.YAK._.PTC.2032'!$L$10:$L$37,MATCH($A31,'PV_.PX.YAK._.PTC.2032'!$B$10:$B$37,0),1),0)</f>
        <v>144.75767373080862</v>
      </c>
      <c r="F31" s="71">
        <f>IFERROR(INDEX('PV_.PX.WMV._.PTC.2032'!$L$10:$L$37,MATCH($A31,'PV_.PX.WMV._.PTC.2032'!$B$10:$B$37,0),1),0)</f>
        <v>176.61678990133183</v>
      </c>
      <c r="G31" s="71">
        <f>IFERROR(INDEX('PV_.PX.WMV._.PTC.2036'!$L$10:$L$37,MATCH($A31,'PV_.PX.WMV._.PTC.2036'!$B$10:$B$37,0),1),0)</f>
        <v>221.1622033856622</v>
      </c>
      <c r="H31" s="71"/>
    </row>
    <row r="32" spans="1:8">
      <c r="A32" s="69">
        <f t="shared" si="1"/>
        <v>2050</v>
      </c>
      <c r="B32" s="71">
        <f>IFERROR(INDEX('WD_.PX.DJW._.PTC.2028'!$L$10:$L$37,MATCH($A32,'WD_.PX.DJW._.PTC.2028'!$B$10:$B$37,0),1),0)</f>
        <v>197.04461896848215</v>
      </c>
      <c r="C32" s="71">
        <f>IFERROR(INDEX('WD_.PX.DJW._.PTC.2029'!$L$10:$L$37,MATCH($A32,'WD_.PX.DJW._.PTC.2029'!$B$10:$B$37,0),1),0)</f>
        <v>193.94525681416536</v>
      </c>
      <c r="D32" s="71">
        <f>IFERROR(INDEX('WD_.PX.WMV._.PTC.2032'!$L$10:$L$36,MATCH($A32,'WD_.PX.WMV._.PTC.2032'!$B$10:$B$37,0),1),0)</f>
        <v>233.77769483376233</v>
      </c>
      <c r="E32" s="71">
        <f>IFERROR(INDEX('PV_.PX.YAK._.PTC.2032'!$L$10:$L$37,MATCH($A32,'PV_.PX.YAK._.PTC.2032'!$B$10:$B$37,0),1),0)</f>
        <v>147.91339096310597</v>
      </c>
      <c r="F32" s="71">
        <f>IFERROR(INDEX('PV_.PX.WMV._.PTC.2032'!$L$10:$L$37,MATCH($A32,'PV_.PX.WMV._.PTC.2032'!$B$10:$B$37,0),1),0)</f>
        <v>180.46703585403435</v>
      </c>
      <c r="G32" s="71">
        <f>IFERROR(INDEX('PV_.PX.WMV._.PTC.2036'!$L$10:$L$37,MATCH($A32,'PV_.PX.WMV._.PTC.2036'!$B$10:$B$37,0),1),0)</f>
        <v>225.98353933538777</v>
      </c>
      <c r="H32" s="71"/>
    </row>
    <row r="33" spans="1:8">
      <c r="A33" s="69"/>
      <c r="B33" s="184"/>
      <c r="C33" s="185"/>
      <c r="D33" s="185"/>
    </row>
    <row r="34" spans="1:8">
      <c r="A34" t="s">
        <v>290</v>
      </c>
    </row>
    <row r="35" spans="1:8" s="190" customFormat="1">
      <c r="A35" s="189" t="s">
        <v>9</v>
      </c>
      <c r="B35" s="197">
        <f>-PMT(Discount_Rate,COUNT(B10:B32),NPV(Discount_Rate,B10:B32))</f>
        <v>148.2466005063531</v>
      </c>
      <c r="C35" s="197">
        <f>-PMT(Discount_Rate,COUNT(C11:C32),NPV(Discount_Rate,C11:C32))</f>
        <v>148.08032935936293</v>
      </c>
      <c r="D35" s="197">
        <f>-PMT(Discount_Rate,COUNT(D14:D32),NPV(Discount_Rate,D14:D32))</f>
        <v>186.37693324404097</v>
      </c>
      <c r="E35" s="197">
        <f>-PMT(Discount_Rate,COUNT(E12:E32),NPV(Discount_Rate,E12:E32))</f>
        <v>99.053555260989341</v>
      </c>
      <c r="F35" s="197">
        <f>-PMT(Discount_Rate,COUNT(F14:F32),NPV(Discount_Rate,F14:F32))</f>
        <v>143.87554260912216</v>
      </c>
      <c r="G35" s="197">
        <f>-PMT(Discount_Rate,COUNT(G18:G32),NPV(Discount_Rate,G18:G32))</f>
        <v>190.40489714179685</v>
      </c>
      <c r="H35" s="197"/>
    </row>
    <row r="36" spans="1:8">
      <c r="A36" t="s">
        <v>32</v>
      </c>
      <c r="B36" s="180">
        <f>'WD_.PX.DJW._.PTC.2028'!$R$54</f>
        <v>403.03573570578232</v>
      </c>
      <c r="C36" s="180">
        <f>'WD_.PX.DJW._.PTC.2029'!$R$54</f>
        <v>210.59213080000001</v>
      </c>
      <c r="D36" s="180">
        <f>'WD_.PX.WMV._.PTC.2032'!$R$54</f>
        <v>451</v>
      </c>
      <c r="E36" s="180">
        <f>'PV_.PX.YAK._.PTC.2032'!$R$54</f>
        <v>1</v>
      </c>
      <c r="F36" s="180">
        <f>'PV_.PX.WMV._.PTC.2032'!$R$54</f>
        <v>225.47842103047057</v>
      </c>
      <c r="G36" s="180">
        <f>'PV_.PX.WMV._.PTC.2036'!$R$54</f>
        <v>332.98893712037511</v>
      </c>
      <c r="H36" s="180"/>
    </row>
    <row r="37" spans="1:8" s="343" customFormat="1">
      <c r="B37" s="391"/>
      <c r="C37" s="391"/>
      <c r="D37" s="391"/>
      <c r="E37" s="391"/>
      <c r="F37" s="391"/>
      <c r="G37" s="391"/>
      <c r="H37" s="391"/>
    </row>
    <row r="38" spans="1:8">
      <c r="C38" t="s">
        <v>92</v>
      </c>
    </row>
    <row r="39" spans="1:8">
      <c r="A39" s="188" t="s">
        <v>281</v>
      </c>
      <c r="B39" s="161" t="s">
        <v>87</v>
      </c>
      <c r="C39" s="161" t="s">
        <v>9</v>
      </c>
      <c r="D39" s="161" t="s">
        <v>32</v>
      </c>
      <c r="E39" s="161" t="s">
        <v>330</v>
      </c>
      <c r="F39" s="161"/>
      <c r="G39" s="161"/>
      <c r="H39" s="161" t="s">
        <v>277</v>
      </c>
    </row>
    <row r="40" spans="1:8">
      <c r="B40" s="158"/>
      <c r="E40" s="177"/>
    </row>
    <row r="41" spans="1:8">
      <c r="A41" t="s">
        <v>280</v>
      </c>
      <c r="B41" s="158">
        <f>INDEX($B$3:$G$3,1,MATCH($A41,$B$5:$G$5,0))</f>
        <v>2032</v>
      </c>
      <c r="C41">
        <f>INDEX($B$35:$G$35,1,MATCH($A41,$B$5:$G$5,0))</f>
        <v>186.37693324404097</v>
      </c>
      <c r="D41">
        <f>INDEX($B$36:$G$36,1,MATCH($A41,$B$5:$G$5,0))</f>
        <v>451</v>
      </c>
      <c r="E41" s="177">
        <f>INDEX($37:$37,1,MATCH(A41,$5:$5,0))</f>
        <v>0</v>
      </c>
      <c r="H41" t="s">
        <v>158</v>
      </c>
    </row>
    <row r="42" spans="1:8">
      <c r="A42" t="s">
        <v>279</v>
      </c>
      <c r="B42" s="158">
        <f>INDEX($B$3:$G$3,1,MATCH($A42,$B$5:$G$5,0))</f>
        <v>2029</v>
      </c>
      <c r="C42">
        <f>INDEX($B$35:$G$35,1,MATCH($A42,$B$5:$G$5,0))</f>
        <v>148.08032935936293</v>
      </c>
      <c r="D42">
        <f>INDEX($B$36:$G$36,1,MATCH($A42,$B$5:$G$5,0))</f>
        <v>210.59213080000001</v>
      </c>
      <c r="E42" s="177">
        <f>INDEX($37:$37,1,MATCH(A42,$5:$5,0))</f>
        <v>0</v>
      </c>
      <c r="H42" t="s">
        <v>157</v>
      </c>
    </row>
    <row r="43" spans="1:8">
      <c r="A43" t="s">
        <v>278</v>
      </c>
      <c r="B43" s="158">
        <f>INDEX($B$3:$G$3,1,MATCH($A43,$B$5:$G$5,0))</f>
        <v>2028</v>
      </c>
      <c r="C43">
        <f>INDEX($B$35:$G$35,1,MATCH($A43,$B$5:$G$5,0))</f>
        <v>148.2466005063531</v>
      </c>
      <c r="D43">
        <f>INDEX($B$36:$G$36,1,MATCH($A43,$B$5:$G$5,0))</f>
        <v>403.03573570578232</v>
      </c>
      <c r="E43" s="177">
        <f>INDEX($37:$37,1,MATCH(A43,$5:$5,0))</f>
        <v>0</v>
      </c>
      <c r="H43" t="s">
        <v>157</v>
      </c>
    </row>
    <row r="44" spans="1:8">
      <c r="A44" s="182"/>
      <c r="B44" s="158"/>
      <c r="E44" s="177"/>
    </row>
    <row r="45" spans="1:8" hidden="1">
      <c r="A45" s="182"/>
      <c r="B45" s="158"/>
      <c r="D45" s="183"/>
      <c r="E45" s="177"/>
    </row>
    <row r="46" spans="1:8" hidden="1">
      <c r="A46" s="182"/>
      <c r="B46" s="158"/>
      <c r="D46" s="183"/>
      <c r="E46" s="177"/>
    </row>
    <row r="47" spans="1:8" hidden="1">
      <c r="A47" s="182"/>
      <c r="B47" s="158"/>
      <c r="D47" s="183"/>
      <c r="E47" s="177"/>
    </row>
    <row r="48" spans="1:8" hidden="1">
      <c r="A48" s="182"/>
      <c r="B48" s="158"/>
      <c r="D48" s="183"/>
      <c r="E48" s="177"/>
    </row>
    <row r="49" spans="1:8" hidden="1">
      <c r="A49" s="182"/>
      <c r="B49" s="158"/>
      <c r="D49" s="183"/>
      <c r="E49" s="177"/>
    </row>
    <row r="50" spans="1:8" hidden="1">
      <c r="A50" s="182"/>
      <c r="B50" s="158"/>
      <c r="D50" s="183"/>
      <c r="E50" s="177"/>
    </row>
    <row r="51" spans="1:8" hidden="1">
      <c r="B51" s="158"/>
      <c r="D51" s="183"/>
      <c r="E51" s="177"/>
    </row>
    <row r="52" spans="1:8" hidden="1">
      <c r="B52" s="158"/>
    </row>
    <row r="53" spans="1:8">
      <c r="B53" s="158"/>
    </row>
    <row r="54" spans="1:8">
      <c r="A54" s="187" t="s">
        <v>282</v>
      </c>
      <c r="B54" s="56" t="s">
        <v>87</v>
      </c>
      <c r="C54" s="161" t="s">
        <v>9</v>
      </c>
      <c r="D54" s="161" t="s">
        <v>32</v>
      </c>
      <c r="E54" s="161" t="s">
        <v>330</v>
      </c>
      <c r="F54" s="161"/>
      <c r="G54" s="161"/>
      <c r="H54" s="161" t="s">
        <v>277</v>
      </c>
    </row>
    <row r="55" spans="1:8">
      <c r="B55" s="158"/>
      <c r="E55" s="177"/>
    </row>
    <row r="56" spans="1:8">
      <c r="A56" t="s">
        <v>276</v>
      </c>
      <c r="B56" s="158">
        <f>INDEX($B$3:$H$3,1,MATCH($A56,$B$5:$H$5,0))</f>
        <v>2036</v>
      </c>
      <c r="C56">
        <f>INDEX($B$35:$H$35,1,MATCH($A56,$B$5:$H$5,0))</f>
        <v>190.40489714179685</v>
      </c>
      <c r="D56">
        <f>INDEX($B$36:$H$36,1,MATCH($A56,$B$5:$H$5,0))</f>
        <v>332.98893712037511</v>
      </c>
      <c r="E56" s="177">
        <f>INDEX($37:$37,1,MATCH(A56,$5:$5,0))</f>
        <v>0</v>
      </c>
      <c r="H56" t="s">
        <v>152</v>
      </c>
    </row>
    <row r="57" spans="1:8">
      <c r="A57" t="s">
        <v>275</v>
      </c>
      <c r="B57" s="158">
        <f>INDEX($B$3:$H$3,1,MATCH($A57,$B$5:$H$5,0))</f>
        <v>2032</v>
      </c>
      <c r="C57">
        <f>INDEX($B$35:$H$35,1,MATCH($A57,$B$5:$H$5,0))</f>
        <v>143.87554260912216</v>
      </c>
      <c r="D57">
        <f>INDEX($B$36:$H$36,1,MATCH($A57,$B$5:$H$5,0))</f>
        <v>225.47842103047057</v>
      </c>
      <c r="E57" s="177">
        <f>INDEX($37:$37,1,MATCH(A57,$5:$5,0))</f>
        <v>0</v>
      </c>
      <c r="H57" t="s">
        <v>152</v>
      </c>
    </row>
    <row r="58" spans="1:8">
      <c r="A58" t="s">
        <v>334</v>
      </c>
      <c r="B58" s="158">
        <f>INDEX($B$3:$H$3,1,MATCH($A58,$B$5:$H$5,0))</f>
        <v>2032</v>
      </c>
      <c r="C58">
        <f>INDEX($B$35:$H$35,1,MATCH($A58,$B$5:$H$5,0))</f>
        <v>99.053555260989341</v>
      </c>
      <c r="D58">
        <f>INDEX($B$36:$H$36,1,MATCH($A58,$B$5:$H$5,0))</f>
        <v>1</v>
      </c>
      <c r="E58" s="177">
        <f>INDEX($37:$37,1,MATCH(A58,$5:$5,0))</f>
        <v>0</v>
      </c>
      <c r="H58" t="s">
        <v>153</v>
      </c>
    </row>
    <row r="59" spans="1:8">
      <c r="B59" s="158"/>
      <c r="E59" s="177"/>
    </row>
    <row r="60" spans="1:8">
      <c r="B60" s="158"/>
      <c r="E60" s="177"/>
    </row>
    <row r="61" spans="1:8">
      <c r="B61" s="158"/>
      <c r="E61" s="177"/>
    </row>
    <row r="62" spans="1:8">
      <c r="B62" s="158"/>
      <c r="E62" s="177"/>
    </row>
  </sheetData>
  <sortState xmlns:xlrd2="http://schemas.microsoft.com/office/spreadsheetml/2017/richdata2" ref="A55:V58">
    <sortCondition descending="1" ref="F55:F58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E92AC-C490-405A-80A8-248CC8F654BB}">
  <sheetPr>
    <tabColor rgb="FFCCFFCC"/>
    <pageSetUpPr fitToPage="1"/>
  </sheetPr>
  <dimension ref="B1:AC89"/>
  <sheetViews>
    <sheetView workbookViewId="0"/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C54</f>
        <v>BAT.PX.UTS._.ITC.Li_ion_4hr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0%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119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 t="str">
        <f>C50</f>
        <v>BAT.PX.UTS._.ITC.Li_ion_4hr - 0% Capacity Factor</v>
      </c>
    </row>
    <row r="10" spans="2:29">
      <c r="B10" s="69">
        <v>2024</v>
      </c>
      <c r="C10" s="175">
        <f>INDEX('2025 IRP Assumptions'!$E$2:$E$28,MATCH($C$54,'2025 IRP Assumptions'!$C$2:$C$28,0),1)</f>
        <v>1542.83</v>
      </c>
      <c r="D10" s="71"/>
      <c r="E10" s="250">
        <f>INDEX('2025 IRP Assumptions'!$E$31:$E$57,MATCH($C$54,'2025 IRP Assumptions'!$C$31:$C$57,0),1)</f>
        <v>38.770000000000003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Assumptions'!$E$149:$E$169,MATCH(B11,'2025 IRP Assumptions'!$S$149:$S$169,0),1)</f>
        <v>1573.3291880021998</v>
      </c>
      <c r="D11" s="71"/>
      <c r="E11" s="71">
        <f t="shared" ref="E11:E36" si="1">E10*(1+Inflation)</f>
        <v>39.615186000000001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Assumptions'!$E$149:$E$169,MATCH(B12,'2025 IRP Assumptions'!$S$149:$S$169,0),1)</f>
        <v>1558.7726131803099</v>
      </c>
      <c r="D12" s="71"/>
      <c r="E12" s="71">
        <f t="shared" si="1"/>
        <v>40.478797054800005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Assumptions'!$E$149:$E$169,MATCH(B13,'2025 IRP Assumptions'!$S$149:$S$169,0),1)</f>
        <v>1542.83</v>
      </c>
      <c r="D13" s="250">
        <f>C13*$C$55</f>
        <v>68.686791599999992</v>
      </c>
      <c r="E13" s="71">
        <f t="shared" si="1"/>
        <v>41.361234830594647</v>
      </c>
      <c r="F13" s="71"/>
      <c r="G13" s="69"/>
      <c r="H13" s="71"/>
      <c r="I13" s="71"/>
      <c r="J13" s="72"/>
      <c r="K13" s="72"/>
      <c r="L13" s="71">
        <f t="shared" ref="L13" si="2">(D13+E13+F13)</f>
        <v>110.04802643059463</v>
      </c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/>
      <c r="D14" s="71">
        <f t="shared" ref="D14:D36" si="3">D13*(1+Inflation)</f>
        <v>70.184163656879988</v>
      </c>
      <c r="E14" s="71">
        <f t="shared" si="1"/>
        <v>42.26290974990161</v>
      </c>
      <c r="F14" s="284"/>
      <c r="G14" s="72"/>
      <c r="H14" s="71"/>
      <c r="I14" s="71"/>
      <c r="J14" s="72"/>
      <c r="K14" s="72"/>
      <c r="L14" s="71">
        <f t="shared" ref="L14:L36" si="4">(D14+E14+F14)</f>
        <v>112.4470734067816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>
        <f t="shared" si="3"/>
        <v>71.714178424599979</v>
      </c>
      <c r="E15" s="71">
        <f t="shared" si="1"/>
        <v>43.184241182449469</v>
      </c>
      <c r="F15" s="71"/>
      <c r="G15" s="72"/>
      <c r="H15" s="71"/>
      <c r="I15" s="71"/>
      <c r="J15" s="72"/>
      <c r="K15" s="72"/>
      <c r="L15" s="71">
        <f t="shared" si="4"/>
        <v>114.89841960704945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>
        <f t="shared" si="3"/>
        <v>73.277547514256256</v>
      </c>
      <c r="E16" s="71">
        <f t="shared" si="1"/>
        <v>44.125657640226869</v>
      </c>
      <c r="F16" s="71"/>
      <c r="G16" s="72"/>
      <c r="H16" s="71"/>
      <c r="I16" s="71"/>
      <c r="J16" s="72"/>
      <c r="K16" s="72"/>
      <c r="L16" s="71">
        <f t="shared" si="4"/>
        <v>117.40320515448312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>
        <f t="shared" si="3"/>
        <v>74.874998050067049</v>
      </c>
      <c r="E17" s="71">
        <f t="shared" si="1"/>
        <v>45.087596976783814</v>
      </c>
      <c r="F17" s="71"/>
      <c r="G17" s="72"/>
      <c r="H17" s="71"/>
      <c r="I17" s="71"/>
      <c r="J17" s="72"/>
      <c r="K17" s="72"/>
      <c r="L17" s="71">
        <f t="shared" si="4"/>
        <v>119.96259502685086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>
        <f t="shared" si="3"/>
        <v>76.50727300755851</v>
      </c>
      <c r="E18" s="71">
        <f t="shared" si="1"/>
        <v>46.070506590877706</v>
      </c>
      <c r="F18" s="71"/>
      <c r="G18" s="72"/>
      <c r="H18" s="71"/>
      <c r="I18" s="71"/>
      <c r="J18" s="72"/>
      <c r="K18" s="72"/>
      <c r="L18" s="71">
        <f t="shared" si="4"/>
        <v>122.57777959843622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>
        <f t="shared" si="3"/>
        <v>78.175131559123287</v>
      </c>
      <c r="E19" s="71">
        <f t="shared" si="1"/>
        <v>47.074843634558839</v>
      </c>
      <c r="F19" s="71"/>
      <c r="G19" s="72"/>
      <c r="H19" s="71"/>
      <c r="I19" s="71"/>
      <c r="J19" s="72"/>
      <c r="K19" s="72"/>
      <c r="L19" s="71">
        <f t="shared" si="4"/>
        <v>125.24997519368213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>
        <f t="shared" si="3"/>
        <v>79.879349427112174</v>
      </c>
      <c r="E20" s="71">
        <f t="shared" si="1"/>
        <v>48.101075225792222</v>
      </c>
      <c r="F20" s="71"/>
      <c r="G20" s="72"/>
      <c r="H20" s="71"/>
      <c r="I20" s="71"/>
      <c r="J20" s="72"/>
      <c r="K20" s="72"/>
      <c r="L20" s="71">
        <f t="shared" si="4"/>
        <v>127.98042465290439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>
        <f t="shared" si="3"/>
        <v>81.620719244623217</v>
      </c>
      <c r="E21" s="71">
        <f t="shared" si="1"/>
        <v>49.149678665714497</v>
      </c>
      <c r="F21" s="71"/>
      <c r="G21" s="72"/>
      <c r="H21" s="71"/>
      <c r="I21" s="71"/>
      <c r="J21" s="72"/>
      <c r="K21" s="72"/>
      <c r="L21" s="71">
        <f t="shared" si="4"/>
        <v>130.77039791033772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>
        <f t="shared" si="3"/>
        <v>83.400050924156005</v>
      </c>
      <c r="E22" s="71">
        <f t="shared" si="1"/>
        <v>50.221141660627076</v>
      </c>
      <c r="F22" s="71"/>
      <c r="G22" s="72"/>
      <c r="H22" s="71"/>
      <c r="I22" s="71"/>
      <c r="J22" s="72"/>
      <c r="K22" s="72"/>
      <c r="L22" s="71">
        <f t="shared" si="4"/>
        <v>133.62119258478307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>
        <f t="shared" si="3"/>
        <v>85.218172034302611</v>
      </c>
      <c r="E23" s="71">
        <f t="shared" si="1"/>
        <v>51.31596254882875</v>
      </c>
      <c r="F23" s="71"/>
      <c r="G23" s="72"/>
      <c r="H23" s="71"/>
      <c r="I23" s="71"/>
      <c r="J23" s="72"/>
      <c r="K23" s="72"/>
      <c r="L23" s="71">
        <f t="shared" si="4"/>
        <v>136.53413458313136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>
        <f t="shared" si="3"/>
        <v>87.075928184650408</v>
      </c>
      <c r="E24" s="71">
        <f t="shared" si="1"/>
        <v>52.434650532393221</v>
      </c>
      <c r="F24" s="71"/>
      <c r="G24" s="72"/>
      <c r="H24" s="71"/>
      <c r="I24" s="71"/>
      <c r="J24" s="72"/>
      <c r="K24" s="72"/>
      <c r="L24" s="71">
        <f t="shared" si="4"/>
        <v>139.51057871704364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>
        <f t="shared" si="3"/>
        <v>88.974183419075786</v>
      </c>
      <c r="E25" s="71">
        <f t="shared" si="1"/>
        <v>53.577725913999394</v>
      </c>
      <c r="F25" s="71"/>
      <c r="G25" s="72"/>
      <c r="H25" s="71"/>
      <c r="I25" s="71"/>
      <c r="J25" s="72"/>
      <c r="K25" s="72"/>
      <c r="L25" s="71">
        <f t="shared" si="4"/>
        <v>142.55190933307517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>
        <f t="shared" si="3"/>
        <v>90.913820617611648</v>
      </c>
      <c r="E26" s="71">
        <f t="shared" si="1"/>
        <v>54.745720338924585</v>
      </c>
      <c r="F26" s="71"/>
      <c r="G26" s="72"/>
      <c r="H26" s="71"/>
      <c r="I26" s="71"/>
      <c r="J26" s="72"/>
      <c r="K26" s="72"/>
      <c r="L26" s="71">
        <f t="shared" si="4"/>
        <v>145.65954095653623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>
        <f t="shared" si="3"/>
        <v>92.895741907075589</v>
      </c>
      <c r="E27" s="71">
        <f t="shared" si="1"/>
        <v>55.93917704231314</v>
      </c>
      <c r="F27" s="71"/>
      <c r="G27" s="72"/>
      <c r="H27" s="71"/>
      <c r="I27" s="71"/>
      <c r="J27" s="72"/>
      <c r="K27" s="72"/>
      <c r="L27" s="71">
        <f t="shared" si="4"/>
        <v>148.83491894938874</v>
      </c>
      <c r="P27" s="88"/>
      <c r="Q27" s="72"/>
    </row>
    <row r="28" spans="2:27">
      <c r="B28" s="69">
        <f t="shared" si="0"/>
        <v>2042</v>
      </c>
      <c r="C28" s="73"/>
      <c r="D28" s="71">
        <f t="shared" si="3"/>
        <v>94.920869080649837</v>
      </c>
      <c r="E28" s="71">
        <f t="shared" si="1"/>
        <v>57.158651101835567</v>
      </c>
      <c r="F28" s="71"/>
      <c r="G28" s="72"/>
      <c r="H28" s="71"/>
      <c r="I28" s="71"/>
      <c r="J28" s="72"/>
      <c r="K28" s="72"/>
      <c r="L28" s="71">
        <f t="shared" si="4"/>
        <v>152.0795201824854</v>
      </c>
      <c r="P28" s="88"/>
      <c r="Q28" s="72"/>
    </row>
    <row r="29" spans="2:27">
      <c r="B29" s="69">
        <f t="shared" si="0"/>
        <v>2043</v>
      </c>
      <c r="C29" s="73"/>
      <c r="D29" s="71">
        <f t="shared" si="3"/>
        <v>96.990144026608007</v>
      </c>
      <c r="E29" s="71">
        <f t="shared" si="1"/>
        <v>58.404709695855587</v>
      </c>
      <c r="F29" s="71"/>
      <c r="G29" s="72"/>
      <c r="H29" s="71"/>
      <c r="I29" s="71"/>
      <c r="J29" s="72"/>
      <c r="K29" s="72"/>
      <c r="L29" s="71">
        <f t="shared" si="4"/>
        <v>155.39485372246361</v>
      </c>
      <c r="P29" s="88"/>
      <c r="Q29" s="72"/>
    </row>
    <row r="30" spans="2:27">
      <c r="B30" s="69">
        <f t="shared" si="0"/>
        <v>2044</v>
      </c>
      <c r="C30" s="73"/>
      <c r="D30" s="71">
        <f t="shared" si="3"/>
        <v>99.104529166388062</v>
      </c>
      <c r="E30" s="71">
        <f t="shared" si="1"/>
        <v>59.677932367225239</v>
      </c>
      <c r="F30" s="71"/>
      <c r="G30" s="72"/>
      <c r="H30" s="71"/>
      <c r="I30" s="71"/>
      <c r="J30" s="72"/>
      <c r="K30" s="72"/>
      <c r="L30" s="71">
        <f t="shared" si="4"/>
        <v>158.78246153361329</v>
      </c>
      <c r="P30" s="88"/>
      <c r="Q30" s="72"/>
    </row>
    <row r="31" spans="2:27">
      <c r="B31" s="69">
        <f t="shared" si="0"/>
        <v>2045</v>
      </c>
      <c r="C31" s="73"/>
      <c r="D31" s="71">
        <f t="shared" si="3"/>
        <v>101.26500790221533</v>
      </c>
      <c r="E31" s="71">
        <f t="shared" si="1"/>
        <v>60.978911292830752</v>
      </c>
      <c r="F31" s="71"/>
      <c r="G31" s="72"/>
      <c r="H31" s="71"/>
      <c r="I31" s="71"/>
      <c r="J31" s="72"/>
      <c r="K31" s="72"/>
      <c r="L31" s="71">
        <f t="shared" si="4"/>
        <v>162.24391919504609</v>
      </c>
      <c r="P31" s="88"/>
      <c r="Q31" s="72"/>
    </row>
    <row r="32" spans="2:27">
      <c r="B32" s="69">
        <f t="shared" si="0"/>
        <v>2046</v>
      </c>
      <c r="C32" s="73"/>
      <c r="D32" s="71">
        <f t="shared" si="3"/>
        <v>103.47258507448363</v>
      </c>
      <c r="E32" s="71">
        <f t="shared" si="1"/>
        <v>62.308251559014465</v>
      </c>
      <c r="F32" s="71"/>
      <c r="G32" s="72"/>
      <c r="H32" s="71"/>
      <c r="I32" s="71"/>
      <c r="J32" s="72"/>
      <c r="K32" s="72"/>
      <c r="L32" s="71">
        <f t="shared" si="4"/>
        <v>165.7808366334981</v>
      </c>
      <c r="P32" s="88"/>
      <c r="Q32" s="72"/>
    </row>
    <row r="33" spans="2:17">
      <c r="B33" s="69">
        <f t="shared" si="0"/>
        <v>2047</v>
      </c>
      <c r="C33" s="73"/>
      <c r="D33" s="71">
        <f t="shared" si="3"/>
        <v>105.72828742910738</v>
      </c>
      <c r="E33" s="71">
        <f t="shared" si="1"/>
        <v>63.666571443000983</v>
      </c>
      <c r="F33" s="71"/>
      <c r="G33" s="72"/>
      <c r="H33" s="71"/>
      <c r="I33" s="71"/>
      <c r="J33" s="72"/>
      <c r="K33" s="72"/>
      <c r="L33" s="71">
        <f t="shared" si="4"/>
        <v>169.39485887210836</v>
      </c>
      <c r="P33" s="88"/>
      <c r="Q33" s="72"/>
    </row>
    <row r="34" spans="2:17">
      <c r="B34" s="69">
        <f t="shared" si="0"/>
        <v>2048</v>
      </c>
      <c r="C34" s="73"/>
      <c r="D34" s="71">
        <f t="shared" si="3"/>
        <v>108.03316409506193</v>
      </c>
      <c r="E34" s="71">
        <f t="shared" si="1"/>
        <v>65.0545027004584</v>
      </c>
      <c r="F34" s="71"/>
      <c r="G34" s="72"/>
      <c r="H34" s="71"/>
      <c r="I34" s="71"/>
      <c r="J34" s="72"/>
      <c r="K34" s="72"/>
      <c r="L34" s="71">
        <f t="shared" si="4"/>
        <v>173.08766679552033</v>
      </c>
      <c r="P34" s="88"/>
      <c r="Q34" s="72"/>
    </row>
    <row r="35" spans="2:17">
      <c r="B35" s="69">
        <f t="shared" si="0"/>
        <v>2049</v>
      </c>
      <c r="C35" s="73"/>
      <c r="D35" s="71">
        <f t="shared" si="3"/>
        <v>110.38828707233429</v>
      </c>
      <c r="E35" s="71">
        <f t="shared" si="1"/>
        <v>66.472690859328395</v>
      </c>
      <c r="F35" s="71"/>
      <c r="G35" s="72"/>
      <c r="H35" s="71"/>
      <c r="I35" s="71"/>
      <c r="J35" s="72"/>
      <c r="K35" s="72"/>
      <c r="L35" s="71">
        <f t="shared" si="4"/>
        <v>176.86097793166269</v>
      </c>
      <c r="P35" s="88"/>
      <c r="Q35" s="72"/>
    </row>
    <row r="36" spans="2:17">
      <c r="B36" s="69">
        <f t="shared" si="0"/>
        <v>2050</v>
      </c>
      <c r="C36" s="73"/>
      <c r="D36" s="71">
        <f t="shared" si="3"/>
        <v>112.79475173051118</v>
      </c>
      <c r="E36" s="71">
        <f t="shared" si="1"/>
        <v>67.921795520061764</v>
      </c>
      <c r="F36" s="71"/>
      <c r="G36" s="72"/>
      <c r="H36" s="71"/>
      <c r="I36" s="71"/>
      <c r="J36" s="72"/>
      <c r="K36" s="72"/>
      <c r="L36" s="71">
        <f t="shared" si="4"/>
        <v>180.71654725057294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287</v>
      </c>
      <c r="C38" s="73"/>
      <c r="D38" s="71"/>
      <c r="E38" s="71"/>
      <c r="F38" s="71"/>
      <c r="G38" s="72"/>
      <c r="H38" s="71"/>
      <c r="I38" s="71"/>
      <c r="J38" s="71"/>
      <c r="K38" s="72"/>
      <c r="L38" s="72">
        <f>-PMT(Discount_Rate,COUNT(L$13:L$27),NPV(Discount_Rate,L$13:L$27))</f>
        <v>125.40248498855858</v>
      </c>
      <c r="M38" s="75"/>
      <c r="P38" s="62">
        <f>L38/12</f>
        <v>10.450207082379881</v>
      </c>
    </row>
    <row r="39" spans="2:17">
      <c r="B39" s="69" t="s">
        <v>288</v>
      </c>
      <c r="L39" s="72">
        <f>-PMT(Discount_Rate,COUNT(L$13:L$32),NPV(Discount_Rate,L$13:L$32))</f>
        <v>130.29801033373306</v>
      </c>
      <c r="P39" s="62">
        <f>L39/12</f>
        <v>10.858167527811089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197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"&amp;C55</f>
        <v>= (a) x 0.04452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0.0%)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49" spans="2:20" ht="13.5" thickBot="1"/>
    <row r="50" spans="2:20" ht="13.5" thickBot="1">
      <c r="C50" s="37" t="str">
        <f>B2&amp;" - "&amp;B3</f>
        <v>BAT.PX.UTS._.ITC.Li_ion_4hr - 0%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R52" s="69"/>
    </row>
    <row r="53" spans="2:20">
      <c r="B53"/>
      <c r="C53" s="168"/>
      <c r="P53" s="156"/>
      <c r="T53" s="174"/>
    </row>
    <row r="54" spans="2:20">
      <c r="B54"/>
      <c r="C54" s="174" t="s">
        <v>164</v>
      </c>
      <c r="R54" s="88"/>
    </row>
    <row r="55" spans="2:20" ht="24" customHeight="1">
      <c r="B55"/>
      <c r="C55" s="172">
        <v>4.4519999999999997E-2</v>
      </c>
      <c r="D55" s="62" t="s">
        <v>284</v>
      </c>
      <c r="E55" s="165"/>
      <c r="G55" s="62" t="s">
        <v>285</v>
      </c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E60" s="165"/>
      <c r="J60" s="276"/>
      <c r="L60" s="158"/>
      <c r="M60" s="90"/>
      <c r="N60" s="90"/>
      <c r="P60" s="91"/>
    </row>
    <row r="61" spans="2:20">
      <c r="C61" s="173"/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18A6-4AE4-4B8C-9AB6-595BE943C96F}">
  <sheetPr>
    <tabColor rgb="FFCCFFCC"/>
    <pageSetUpPr fitToPage="1"/>
  </sheetPr>
  <dimension ref="B1:AC89"/>
  <sheetViews>
    <sheetView workbookViewId="0"/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0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C54</f>
        <v>BAT.PX.WSF._.ITC.IronAir_100hr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0%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Assumptions'!$E$2:$E$28,MATCH($C$54,'2025 IRP Assumptions'!$C$2:$C$28,0),1)</f>
        <v>2811.56</v>
      </c>
      <c r="D10" s="71"/>
      <c r="E10" s="250">
        <f>INDEX('2025 IRP Assumptions'!$E$31:$E$57,MATCH($C$54,'2025 IRP Assumptions'!$C$31:$C$57,0),1)</f>
        <v>21.04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Assumptions'!$E$149:$E$169,MATCH(B11,'2025 IRP Assumptions'!$S$149:$S$169,0),1)</f>
        <v>2867.1398740103996</v>
      </c>
      <c r="D11" s="71"/>
      <c r="E11" s="71">
        <f t="shared" ref="E11:E36" si="1">E10*(1+Inflation)</f>
        <v>21.498671999999999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Assumptions'!$E$149:$E$169,MATCH(B12,'2025 IRP Assumptions'!$S$149:$S$169,0),1)</f>
        <v>2840.6128532069197</v>
      </c>
      <c r="D12" s="71"/>
      <c r="E12" s="71">
        <f t="shared" si="1"/>
        <v>21.9673430496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Assumptions'!$E$149:$E$169,MATCH(B13,'2025 IRP Assumptions'!$S$149:$S$169,0),1)</f>
        <v>2811.56</v>
      </c>
      <c r="D13" s="71"/>
      <c r="E13" s="71">
        <f t="shared" si="1"/>
        <v>22.44623112808128</v>
      </c>
      <c r="F13" s="71"/>
      <c r="G13" s="69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Assumptions'!$E$149:$E$169,MATCH(B14,'2025 IRP Assumptions'!$S$149:$S$169,0),1)</f>
        <v>2779.8828282544</v>
      </c>
      <c r="D14" s="71"/>
      <c r="E14" s="71">
        <f t="shared" si="1"/>
        <v>22.935558966673451</v>
      </c>
      <c r="F14" s="284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Assumptions'!$E$149:$E$169,MATCH(B15,'2025 IRP Assumptions'!$S$149:$S$169,0),1)</f>
        <v>2745.47957074436</v>
      </c>
      <c r="D15" s="71"/>
      <c r="E15" s="71">
        <f t="shared" si="1"/>
        <v>23.435554152146935</v>
      </c>
      <c r="F15" s="71"/>
      <c r="G15" s="72"/>
      <c r="H15" s="71"/>
      <c r="I15" s="71"/>
      <c r="J15" s="72"/>
      <c r="K15" s="72"/>
      <c r="L15" s="71"/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Assumptions'!$E$149:$E$169,MATCH(B16,'2025 IRP Assumptions'!$S$149:$S$169,0),1)</f>
        <v>2708.2450554449597</v>
      </c>
      <c r="D16" s="250">
        <f>C16*$C$55</f>
        <v>124.0647059899336</v>
      </c>
      <c r="E16" s="71">
        <f t="shared" si="1"/>
        <v>23.946449232663738</v>
      </c>
      <c r="F16" s="71"/>
      <c r="G16" s="72"/>
      <c r="H16" s="71"/>
      <c r="I16" s="71"/>
      <c r="J16" s="72"/>
      <c r="K16" s="72"/>
      <c r="L16" s="71">
        <f t="shared" ref="L16:L36" si="2">(D16+E16+F16)</f>
        <v>148.01115522259732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>
        <f t="shared" ref="D17:D36" si="3">D16*(1+Inflation)</f>
        <v>126.76931658051416</v>
      </c>
      <c r="E17" s="71">
        <f t="shared" si="1"/>
        <v>24.468481825935807</v>
      </c>
      <c r="F17" s="71"/>
      <c r="G17" s="72"/>
      <c r="H17" s="71"/>
      <c r="I17" s="71"/>
      <c r="J17" s="72"/>
      <c r="K17" s="72"/>
      <c r="L17" s="71">
        <f t="shared" si="2"/>
        <v>151.23779840644997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>
        <f t="shared" si="3"/>
        <v>129.53288768196938</v>
      </c>
      <c r="E18" s="71">
        <f t="shared" si="1"/>
        <v>25.00189472974121</v>
      </c>
      <c r="F18" s="71"/>
      <c r="G18" s="72"/>
      <c r="H18" s="71"/>
      <c r="I18" s="71"/>
      <c r="J18" s="72"/>
      <c r="K18" s="72"/>
      <c r="L18" s="71">
        <f t="shared" si="2"/>
        <v>154.53478241171058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>
        <f t="shared" si="3"/>
        <v>132.35670463343632</v>
      </c>
      <c r="E19" s="71">
        <f t="shared" si="1"/>
        <v>25.546936034849569</v>
      </c>
      <c r="F19" s="71"/>
      <c r="G19" s="72"/>
      <c r="H19" s="71"/>
      <c r="I19" s="71"/>
      <c r="J19" s="72"/>
      <c r="K19" s="72"/>
      <c r="L19" s="71">
        <f t="shared" si="2"/>
        <v>157.9036406682859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>
        <f t="shared" si="3"/>
        <v>135.24208079444523</v>
      </c>
      <c r="E20" s="71">
        <f t="shared" si="1"/>
        <v>26.103859240409292</v>
      </c>
      <c r="F20" s="71"/>
      <c r="G20" s="72"/>
      <c r="H20" s="71"/>
      <c r="I20" s="71"/>
      <c r="J20" s="72"/>
      <c r="K20" s="72"/>
      <c r="L20" s="71">
        <f t="shared" si="2"/>
        <v>161.34594003485452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>
        <f t="shared" si="3"/>
        <v>138.19035815576413</v>
      </c>
      <c r="E21" s="71">
        <f t="shared" si="1"/>
        <v>26.672923371850217</v>
      </c>
      <c r="F21" s="71"/>
      <c r="G21" s="72"/>
      <c r="H21" s="71"/>
      <c r="I21" s="71"/>
      <c r="J21" s="72"/>
      <c r="K21" s="72"/>
      <c r="L21" s="71">
        <f t="shared" si="2"/>
        <v>164.86328152761433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>
        <f t="shared" si="3"/>
        <v>141.2029079635598</v>
      </c>
      <c r="E22" s="71">
        <f t="shared" si="1"/>
        <v>27.254393101356552</v>
      </c>
      <c r="F22" s="71"/>
      <c r="G22" s="72"/>
      <c r="H22" s="71"/>
      <c r="I22" s="71"/>
      <c r="J22" s="72"/>
      <c r="K22" s="72"/>
      <c r="L22" s="71">
        <f t="shared" si="2"/>
        <v>168.45730106491635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>
        <f t="shared" si="3"/>
        <v>144.28113135716541</v>
      </c>
      <c r="E23" s="71">
        <f t="shared" si="1"/>
        <v>27.848538870966127</v>
      </c>
      <c r="F23" s="71"/>
      <c r="G23" s="72"/>
      <c r="H23" s="71"/>
      <c r="I23" s="71"/>
      <c r="J23" s="72"/>
      <c r="K23" s="72"/>
      <c r="L23" s="71">
        <f t="shared" si="2"/>
        <v>172.12967022813154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>
        <f t="shared" si="3"/>
        <v>147.42646002075162</v>
      </c>
      <c r="E24" s="71">
        <f t="shared" si="1"/>
        <v>28.45563701835319</v>
      </c>
      <c r="F24" s="71"/>
      <c r="G24" s="72"/>
      <c r="H24" s="71"/>
      <c r="I24" s="71"/>
      <c r="J24" s="72"/>
      <c r="K24" s="72"/>
      <c r="L24" s="71">
        <f t="shared" si="2"/>
        <v>175.88209703910482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>
        <f t="shared" si="3"/>
        <v>150.64035684920401</v>
      </c>
      <c r="E25" s="71">
        <f t="shared" si="1"/>
        <v>29.07596990535329</v>
      </c>
      <c r="F25" s="71"/>
      <c r="G25" s="72"/>
      <c r="H25" s="71"/>
      <c r="I25" s="71"/>
      <c r="J25" s="72"/>
      <c r="K25" s="72"/>
      <c r="L25" s="71">
        <f t="shared" si="2"/>
        <v>179.71632675455731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>
        <f t="shared" si="3"/>
        <v>153.92431662851666</v>
      </c>
      <c r="E26" s="71">
        <f t="shared" si="1"/>
        <v>29.709826049289994</v>
      </c>
      <c r="F26" s="71"/>
      <c r="G26" s="72"/>
      <c r="H26" s="71"/>
      <c r="I26" s="71"/>
      <c r="J26" s="72"/>
      <c r="K26" s="72"/>
      <c r="L26" s="71">
        <f t="shared" si="2"/>
        <v>183.63414267780666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>
        <f t="shared" si="3"/>
        <v>157.27986673101833</v>
      </c>
      <c r="E27" s="71">
        <f t="shared" si="1"/>
        <v>30.357500257164517</v>
      </c>
      <c r="F27" s="71"/>
      <c r="G27" s="72"/>
      <c r="H27" s="71"/>
      <c r="I27" s="71"/>
      <c r="J27" s="72"/>
      <c r="K27" s="72"/>
      <c r="L27" s="71">
        <f t="shared" si="2"/>
        <v>187.63736698818286</v>
      </c>
      <c r="P27" s="88"/>
      <c r="Q27" s="72"/>
    </row>
    <row r="28" spans="2:27">
      <c r="B28" s="69">
        <f t="shared" si="0"/>
        <v>2042</v>
      </c>
      <c r="C28" s="73"/>
      <c r="D28" s="71">
        <f t="shared" si="3"/>
        <v>160.70856782575453</v>
      </c>
      <c r="E28" s="71">
        <f t="shared" si="1"/>
        <v>31.019293762770705</v>
      </c>
      <c r="F28" s="71"/>
      <c r="G28" s="72"/>
      <c r="H28" s="71"/>
      <c r="I28" s="71"/>
      <c r="J28" s="72"/>
      <c r="K28" s="72"/>
      <c r="L28" s="71">
        <f t="shared" si="2"/>
        <v>191.72786158852523</v>
      </c>
      <c r="P28" s="88"/>
      <c r="Q28" s="72"/>
    </row>
    <row r="29" spans="2:27">
      <c r="B29" s="69">
        <f t="shared" si="0"/>
        <v>2043</v>
      </c>
      <c r="C29" s="73"/>
      <c r="D29" s="71">
        <f t="shared" si="3"/>
        <v>164.21201460435597</v>
      </c>
      <c r="E29" s="71">
        <f t="shared" si="1"/>
        <v>31.695514366799106</v>
      </c>
      <c r="F29" s="71"/>
      <c r="G29" s="72"/>
      <c r="H29" s="71"/>
      <c r="I29" s="71"/>
      <c r="J29" s="72"/>
      <c r="K29" s="72"/>
      <c r="L29" s="71">
        <f t="shared" si="2"/>
        <v>195.90752897115507</v>
      </c>
      <c r="P29" s="88"/>
      <c r="Q29" s="72"/>
    </row>
    <row r="30" spans="2:27">
      <c r="B30" s="69">
        <f t="shared" si="0"/>
        <v>2044</v>
      </c>
      <c r="C30" s="73"/>
      <c r="D30" s="71">
        <f t="shared" si="3"/>
        <v>167.79183652273093</v>
      </c>
      <c r="E30" s="71">
        <f t="shared" si="1"/>
        <v>32.386476579995325</v>
      </c>
      <c r="F30" s="71"/>
      <c r="G30" s="72"/>
      <c r="H30" s="71"/>
      <c r="I30" s="71"/>
      <c r="J30" s="72"/>
      <c r="K30" s="72"/>
      <c r="L30" s="71">
        <f t="shared" si="2"/>
        <v>200.17831310272626</v>
      </c>
      <c r="P30" s="88"/>
      <c r="Q30" s="72"/>
    </row>
    <row r="31" spans="2:27">
      <c r="B31" s="69">
        <f t="shared" si="0"/>
        <v>2045</v>
      </c>
      <c r="C31" s="73"/>
      <c r="D31" s="71">
        <f t="shared" si="3"/>
        <v>171.44969855892649</v>
      </c>
      <c r="E31" s="71">
        <f t="shared" si="1"/>
        <v>33.092501769439224</v>
      </c>
      <c r="F31" s="71"/>
      <c r="G31" s="72"/>
      <c r="H31" s="71"/>
      <c r="I31" s="71"/>
      <c r="J31" s="72"/>
      <c r="K31" s="72"/>
      <c r="L31" s="71">
        <f t="shared" si="2"/>
        <v>204.54220032836571</v>
      </c>
      <c r="P31" s="88"/>
      <c r="Q31" s="72"/>
    </row>
    <row r="32" spans="2:27">
      <c r="B32" s="69">
        <f t="shared" si="0"/>
        <v>2046</v>
      </c>
      <c r="C32" s="73"/>
      <c r="D32" s="71">
        <f t="shared" si="3"/>
        <v>175.18730198751109</v>
      </c>
      <c r="E32" s="71">
        <f t="shared" si="1"/>
        <v>33.813918308013001</v>
      </c>
      <c r="F32" s="71"/>
      <c r="G32" s="72"/>
      <c r="H32" s="71"/>
      <c r="I32" s="71"/>
      <c r="J32" s="72"/>
      <c r="K32" s="72"/>
      <c r="L32" s="71">
        <f t="shared" si="2"/>
        <v>209.00122029552409</v>
      </c>
      <c r="P32" s="88"/>
      <c r="Q32" s="72"/>
    </row>
    <row r="33" spans="2:17">
      <c r="B33" s="69">
        <f t="shared" si="0"/>
        <v>2047</v>
      </c>
      <c r="C33" s="73"/>
      <c r="D33" s="71">
        <f t="shared" si="3"/>
        <v>179.00638517083885</v>
      </c>
      <c r="E33" s="71">
        <f t="shared" si="1"/>
        <v>34.551061727127689</v>
      </c>
      <c r="F33" s="71"/>
      <c r="G33" s="72"/>
      <c r="H33" s="71"/>
      <c r="I33" s="71"/>
      <c r="J33" s="72"/>
      <c r="K33" s="72"/>
      <c r="L33" s="71">
        <f t="shared" si="2"/>
        <v>213.55744689796654</v>
      </c>
      <c r="P33" s="88"/>
      <c r="Q33" s="72"/>
    </row>
    <row r="34" spans="2:17">
      <c r="B34" s="69">
        <f t="shared" si="0"/>
        <v>2048</v>
      </c>
      <c r="C34" s="73"/>
      <c r="D34" s="71">
        <f t="shared" si="3"/>
        <v>182.90872436756314</v>
      </c>
      <c r="E34" s="71">
        <f t="shared" si="1"/>
        <v>35.304274872779075</v>
      </c>
      <c r="F34" s="71"/>
      <c r="G34" s="72"/>
      <c r="H34" s="71"/>
      <c r="I34" s="71"/>
      <c r="J34" s="72"/>
      <c r="K34" s="72"/>
      <c r="L34" s="71">
        <f t="shared" si="2"/>
        <v>218.21299924034221</v>
      </c>
      <c r="P34" s="88"/>
      <c r="Q34" s="72"/>
    </row>
    <row r="35" spans="2:17">
      <c r="B35" s="69">
        <f t="shared" si="0"/>
        <v>2049</v>
      </c>
      <c r="C35" s="73"/>
      <c r="D35" s="71">
        <f t="shared" si="3"/>
        <v>186.89613455877603</v>
      </c>
      <c r="E35" s="71">
        <f t="shared" si="1"/>
        <v>36.073908065005661</v>
      </c>
      <c r="F35" s="71"/>
      <c r="G35" s="72"/>
      <c r="H35" s="71"/>
      <c r="I35" s="71"/>
      <c r="J35" s="72"/>
      <c r="K35" s="72"/>
      <c r="L35" s="71">
        <f t="shared" si="2"/>
        <v>222.97004262378169</v>
      </c>
      <c r="P35" s="88"/>
      <c r="Q35" s="72"/>
    </row>
    <row r="36" spans="2:17">
      <c r="B36" s="69">
        <f t="shared" si="0"/>
        <v>2050</v>
      </c>
      <c r="C36" s="73"/>
      <c r="D36" s="71">
        <f t="shared" si="3"/>
        <v>190.97047029215736</v>
      </c>
      <c r="E36" s="71">
        <f t="shared" si="1"/>
        <v>36.860319260822784</v>
      </c>
      <c r="F36" s="71"/>
      <c r="G36" s="72"/>
      <c r="H36" s="71"/>
      <c r="I36" s="71"/>
      <c r="J36" s="72"/>
      <c r="K36" s="72"/>
      <c r="L36" s="71">
        <f t="shared" si="2"/>
        <v>227.83078955298015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287</v>
      </c>
      <c r="C38" s="73"/>
      <c r="D38" s="71"/>
      <c r="E38" s="71"/>
      <c r="F38" s="71"/>
      <c r="G38" s="72"/>
      <c r="H38" s="71"/>
      <c r="I38" s="71"/>
      <c r="J38" s="71"/>
      <c r="K38" s="72"/>
      <c r="L38" s="72">
        <f>-PMT(Discount_Rate,COUNT(L$16:L$30),NPV(Discount_Rate,L$16:L$30))</f>
        <v>168.66242197125683</v>
      </c>
      <c r="M38" s="75"/>
      <c r="P38" s="88">
        <f>L38/12</f>
        <v>14.055201830938069</v>
      </c>
    </row>
    <row r="39" spans="2:17">
      <c r="B39" s="69" t="s">
        <v>288</v>
      </c>
      <c r="L39" s="72">
        <f>-PMT(Discount_Rate,COUNT(L$16:L$35),NPV(Discount_Rate,L$16:L$35))</f>
        <v>175.24675051637405</v>
      </c>
      <c r="P39" s="88">
        <f>L39/12</f>
        <v>14.603895876364504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197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"&amp;C55</f>
        <v>= (a) x 0.04581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0.0%)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6"/>
      <c r="D50" s="77"/>
      <c r="E50" s="77"/>
      <c r="F50" s="77"/>
      <c r="G50" s="77"/>
      <c r="H50" s="77"/>
      <c r="I50" s="77"/>
    </row>
    <row r="51" spans="2:20">
      <c r="C51" s="315"/>
      <c r="D51" s="326"/>
      <c r="E51" s="326"/>
      <c r="F51" s="326"/>
      <c r="G51" s="326"/>
      <c r="H51" s="326"/>
      <c r="I51" s="61"/>
    </row>
    <row r="52" spans="2:20">
      <c r="R52" s="69"/>
    </row>
    <row r="53" spans="2:20">
      <c r="B53"/>
      <c r="C53" s="168"/>
      <c r="P53" s="156"/>
      <c r="T53" s="174"/>
    </row>
    <row r="54" spans="2:20">
      <c r="B54"/>
      <c r="C54" s="174" t="s">
        <v>180</v>
      </c>
      <c r="R54" s="88"/>
    </row>
    <row r="55" spans="2:20" ht="24" customHeight="1">
      <c r="B55"/>
      <c r="C55" s="172">
        <v>4.5809999999999997E-2</v>
      </c>
      <c r="D55" s="62" t="s">
        <v>284</v>
      </c>
      <c r="E55" s="165"/>
      <c r="G55" s="62" t="s">
        <v>285</v>
      </c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E60" s="165"/>
      <c r="J60" s="276"/>
      <c r="L60" s="158"/>
      <c r="M60" s="90"/>
      <c r="N60" s="90"/>
      <c r="P60" s="91"/>
    </row>
    <row r="61" spans="2:20">
      <c r="C61" s="173"/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8"/>
      <c r="D65" s="118"/>
      <c r="E65" s="259"/>
      <c r="F65" s="285"/>
    </row>
    <row r="66" spans="3:6" ht="15">
      <c r="C66" s="278"/>
      <c r="D66" s="118"/>
      <c r="E66" s="259"/>
      <c r="F66" s="285"/>
    </row>
    <row r="67" spans="3:6" ht="15">
      <c r="C67" s="278"/>
      <c r="D67" s="118"/>
      <c r="E67" s="259"/>
      <c r="F67" s="285"/>
    </row>
    <row r="68" spans="3:6" ht="15">
      <c r="C68" s="278"/>
      <c r="D68" s="118"/>
      <c r="E68" s="259"/>
      <c r="F68" s="285"/>
    </row>
    <row r="69" spans="3:6" ht="15">
      <c r="C69" s="278"/>
      <c r="D69" s="118"/>
      <c r="E69" s="259"/>
      <c r="F69" s="285"/>
    </row>
    <row r="70" spans="3:6" ht="15">
      <c r="C70" s="278"/>
      <c r="D70" s="118"/>
      <c r="E70" s="259"/>
      <c r="F70" s="285"/>
    </row>
    <row r="71" spans="3:6" ht="15">
      <c r="C71" s="278"/>
      <c r="D71" s="118"/>
      <c r="E71" s="259"/>
      <c r="F71" s="285"/>
    </row>
    <row r="72" spans="3:6" ht="15">
      <c r="C72" s="278"/>
      <c r="D72" s="118"/>
      <c r="E72" s="259"/>
      <c r="F72" s="285"/>
    </row>
    <row r="73" spans="3:6" ht="15">
      <c r="C73" s="278"/>
      <c r="D73" s="118"/>
      <c r="E73" s="259"/>
      <c r="F73" s="285"/>
    </row>
    <row r="74" spans="3:6" ht="15">
      <c r="C74" s="278"/>
      <c r="D74" s="118"/>
      <c r="E74" s="259"/>
      <c r="F74" s="285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9"/>
      <c r="F77" s="279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/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2"/>
  </cols>
  <sheetData>
    <row r="1" spans="2:29" s="62" customFormat="1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1" t="s">
        <v>320</v>
      </c>
      <c r="C2" s="330"/>
      <c r="D2" s="330"/>
      <c r="E2" s="330"/>
      <c r="F2" s="330"/>
      <c r="G2" s="330"/>
      <c r="H2" s="330"/>
      <c r="I2" s="330"/>
      <c r="J2" s="330"/>
      <c r="K2" s="330"/>
    </row>
    <row r="3" spans="2:29">
      <c r="B3" s="330"/>
      <c r="C3" s="330"/>
      <c r="D3" s="330"/>
      <c r="E3" s="330"/>
      <c r="F3" s="330"/>
      <c r="G3" s="330"/>
      <c r="H3" s="330"/>
      <c r="I3" s="330"/>
      <c r="J3" s="330"/>
      <c r="U3" s="62"/>
      <c r="V3" s="62"/>
      <c r="W3" s="62"/>
      <c r="X3" s="62"/>
      <c r="Y3" s="62"/>
      <c r="Z3" s="62"/>
      <c r="AC3" s="62"/>
    </row>
    <row r="4" spans="2:29" ht="51.75" customHeight="1">
      <c r="B4" s="13" t="s">
        <v>0</v>
      </c>
      <c r="C4" s="14" t="s">
        <v>10</v>
      </c>
      <c r="D4" s="14" t="s">
        <v>293</v>
      </c>
      <c r="E4" s="14" t="s">
        <v>80</v>
      </c>
      <c r="F4" s="14" t="s">
        <v>294</v>
      </c>
      <c r="G4" s="14" t="s">
        <v>295</v>
      </c>
      <c r="H4" s="331" t="s">
        <v>21</v>
      </c>
      <c r="I4" s="14" t="s">
        <v>13</v>
      </c>
      <c r="J4" s="331" t="s">
        <v>296</v>
      </c>
      <c r="K4" s="14" t="s">
        <v>49</v>
      </c>
      <c r="T4" s="62"/>
      <c r="U4" s="62"/>
      <c r="V4" s="62"/>
      <c r="W4" s="62"/>
      <c r="X4" s="62"/>
      <c r="Y4" s="62"/>
      <c r="Z4" s="62"/>
    </row>
    <row r="5" spans="2:29" ht="48" customHeight="1">
      <c r="B5" s="33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297</v>
      </c>
      <c r="I5" s="15" t="s">
        <v>31</v>
      </c>
      <c r="J5" s="15" t="s">
        <v>31</v>
      </c>
      <c r="K5" s="15" t="s">
        <v>31</v>
      </c>
      <c r="T5" s="62"/>
      <c r="U5" s="62"/>
      <c r="V5" s="62"/>
      <c r="W5" s="62"/>
      <c r="X5" s="62"/>
      <c r="Y5" s="113"/>
      <c r="Z5" s="113"/>
    </row>
    <row r="6" spans="2:29">
      <c r="C6" s="333" t="s">
        <v>1</v>
      </c>
      <c r="D6" s="333" t="s">
        <v>2</v>
      </c>
      <c r="E6" s="333" t="s">
        <v>3</v>
      </c>
      <c r="F6" s="333" t="s">
        <v>4</v>
      </c>
      <c r="G6" s="333" t="s">
        <v>5</v>
      </c>
      <c r="H6" s="333" t="s">
        <v>7</v>
      </c>
      <c r="I6" s="333" t="s">
        <v>22</v>
      </c>
      <c r="J6" s="68" t="s">
        <v>23</v>
      </c>
      <c r="K6" s="68" t="s">
        <v>24</v>
      </c>
      <c r="T6" s="62"/>
      <c r="U6" s="62"/>
      <c r="V6" s="62"/>
      <c r="W6" s="62"/>
      <c r="X6" s="62"/>
      <c r="Y6" s="62"/>
      <c r="Z6" s="62"/>
    </row>
    <row r="7" spans="2:29" ht="6" customHeight="1">
      <c r="T7" s="62"/>
      <c r="U7" s="62"/>
      <c r="V7" s="62"/>
      <c r="W7" s="62"/>
      <c r="X7" s="62"/>
      <c r="Y7" s="62"/>
      <c r="Z7" s="62"/>
    </row>
    <row r="8" spans="2:29" ht="15.75">
      <c r="B8" s="38" t="str">
        <f>C69</f>
        <v>Wyoming East Brownfield SCCT Frame "F" x1 (6,130')</v>
      </c>
      <c r="H8" s="330"/>
      <c r="J8" s="330"/>
      <c r="K8" s="330"/>
      <c r="T8" s="62"/>
      <c r="U8" s="62"/>
      <c r="V8" s="62"/>
      <c r="W8" s="62"/>
      <c r="X8" s="62"/>
      <c r="Y8" s="62"/>
      <c r="Z8" s="62"/>
    </row>
    <row r="9" spans="2:29" ht="18.95" customHeight="1">
      <c r="B9" s="158"/>
      <c r="C9" s="334"/>
      <c r="D9" s="335"/>
      <c r="E9" s="336"/>
      <c r="F9" s="336"/>
      <c r="G9" s="336"/>
      <c r="H9" s="336"/>
      <c r="I9" s="336"/>
      <c r="J9" s="336"/>
      <c r="K9" s="336"/>
      <c r="T9" s="62"/>
      <c r="U9" s="88"/>
      <c r="V9" s="88"/>
      <c r="W9" s="88"/>
      <c r="X9" s="62"/>
      <c r="Y9" s="88"/>
      <c r="Z9" s="88"/>
    </row>
    <row r="10" spans="2:29">
      <c r="B10" s="158">
        <v>2024</v>
      </c>
      <c r="C10" s="385">
        <f>C85</f>
        <v>1235.7476526089529</v>
      </c>
      <c r="D10" s="71"/>
      <c r="E10" s="71"/>
      <c r="F10" s="250">
        <f>$C$88</f>
        <v>54.452165356822256</v>
      </c>
      <c r="G10" s="336">
        <f>ROUND(D10+E10+F10,2)</f>
        <v>54.45</v>
      </c>
      <c r="H10" s="390">
        <f>$D$96</f>
        <v>5.6147516544049472</v>
      </c>
      <c r="I10" s="386">
        <f>$C$89</f>
        <v>7.9799917258138251</v>
      </c>
      <c r="J10" s="336"/>
      <c r="K10" s="336"/>
      <c r="N10" s="338"/>
      <c r="O10" s="338"/>
      <c r="T10" s="62"/>
      <c r="U10" s="88"/>
      <c r="V10" s="88"/>
      <c r="W10" s="156"/>
      <c r="X10" s="88"/>
      <c r="Y10" s="88"/>
      <c r="Z10" s="88"/>
    </row>
    <row r="11" spans="2:29">
      <c r="B11" s="158">
        <f t="shared" ref="B11:B56" si="0">B10+1</f>
        <v>2025</v>
      </c>
      <c r="C11" s="337">
        <f t="shared" ref="C11:D17" si="1">C10*(1+Inflation)</f>
        <v>1262.6869514358282</v>
      </c>
      <c r="D11" s="71"/>
      <c r="E11" s="71"/>
      <c r="F11" s="71">
        <f t="shared" ref="F11" si="2">F10*(1+Inflation)</f>
        <v>55.639222561600981</v>
      </c>
      <c r="G11" s="336">
        <f t="shared" ref="G11:G31" si="3">ROUND(D11+E11+F11,2)</f>
        <v>55.64</v>
      </c>
      <c r="H11" s="71">
        <f t="shared" ref="H11" si="4">H10*(1+Inflation)</f>
        <v>5.7371532404709749</v>
      </c>
      <c r="I11" s="71">
        <f t="shared" ref="I11:I56" si="5">ROUND(I10*(1+$G$63),2)</f>
        <v>7.98</v>
      </c>
      <c r="J11" s="336"/>
      <c r="K11" s="336"/>
      <c r="N11" s="338"/>
      <c r="O11" s="338"/>
      <c r="T11" s="62"/>
      <c r="U11" s="88"/>
      <c r="V11" s="88"/>
      <c r="W11" s="156"/>
      <c r="X11" s="88"/>
      <c r="Y11" s="88"/>
      <c r="Z11" s="88"/>
    </row>
    <row r="12" spans="2:29">
      <c r="B12" s="158">
        <f t="shared" si="0"/>
        <v>2026</v>
      </c>
      <c r="C12" s="337">
        <f t="shared" si="1"/>
        <v>1290.2135269771293</v>
      </c>
      <c r="D12" s="335"/>
      <c r="E12" s="71"/>
      <c r="F12" s="71">
        <f t="shared" ref="F12" si="6">F11*(1+Inflation)</f>
        <v>56.852157613443886</v>
      </c>
      <c r="G12" s="336">
        <f t="shared" si="3"/>
        <v>56.85</v>
      </c>
      <c r="H12" s="71">
        <f t="shared" ref="H12" si="7">H11*(1+Inflation)</f>
        <v>5.8622231811132419</v>
      </c>
      <c r="I12" s="71">
        <f t="shared" si="5"/>
        <v>7.98</v>
      </c>
      <c r="J12" s="336"/>
      <c r="K12" s="336"/>
      <c r="N12" s="338"/>
      <c r="O12" s="338"/>
      <c r="T12" s="62"/>
      <c r="U12" s="88"/>
      <c r="V12" s="88"/>
      <c r="W12" s="88"/>
      <c r="X12" s="88"/>
      <c r="Y12" s="88"/>
      <c r="Z12" s="88"/>
    </row>
    <row r="13" spans="2:29">
      <c r="B13" s="158">
        <f t="shared" si="0"/>
        <v>2027</v>
      </c>
      <c r="C13" s="337">
        <f t="shared" si="1"/>
        <v>1318.3401818652308</v>
      </c>
      <c r="D13" s="71"/>
      <c r="E13" s="71"/>
      <c r="F13" s="71">
        <f t="shared" ref="F13" si="8">F12*(1+Inflation)</f>
        <v>58.091534649416964</v>
      </c>
      <c r="G13" s="336">
        <f t="shared" si="3"/>
        <v>58.09</v>
      </c>
      <c r="H13" s="71">
        <f t="shared" ref="H13" si="9">H12*(1+Inflation)</f>
        <v>5.9900196464615112</v>
      </c>
      <c r="I13" s="71">
        <f t="shared" si="5"/>
        <v>7.98</v>
      </c>
      <c r="J13" s="336"/>
      <c r="K13" s="336"/>
      <c r="N13" s="338"/>
      <c r="O13" s="338"/>
      <c r="T13" s="339"/>
      <c r="U13" s="88"/>
      <c r="V13" s="88"/>
      <c r="W13" s="88"/>
      <c r="X13" s="88"/>
      <c r="Y13" s="88"/>
      <c r="Z13" s="88"/>
    </row>
    <row r="14" spans="2:29">
      <c r="B14" s="158">
        <f t="shared" si="0"/>
        <v>2028</v>
      </c>
      <c r="C14" s="337">
        <f t="shared" si="1"/>
        <v>1347.0799978298928</v>
      </c>
      <c r="D14" s="71"/>
      <c r="E14" s="71"/>
      <c r="F14" s="71">
        <f t="shared" ref="F14" si="10">F13*(1+Inflation)</f>
        <v>59.357930104774255</v>
      </c>
      <c r="G14" s="336">
        <f t="shared" si="3"/>
        <v>59.36</v>
      </c>
      <c r="H14" s="71">
        <f t="shared" ref="H14" si="11">H13*(1+Inflation)</f>
        <v>6.1206020747543723</v>
      </c>
      <c r="I14" s="71">
        <f t="shared" si="5"/>
        <v>7.98</v>
      </c>
      <c r="J14" s="336"/>
      <c r="K14" s="336"/>
      <c r="N14" s="338"/>
      <c r="O14" s="338"/>
      <c r="T14" s="62"/>
      <c r="U14" s="88"/>
      <c r="V14" s="88"/>
      <c r="W14" s="88"/>
      <c r="X14" s="88"/>
      <c r="Y14" s="88"/>
      <c r="Z14" s="88"/>
    </row>
    <row r="15" spans="2:29">
      <c r="B15" s="158">
        <f t="shared" si="0"/>
        <v>2029</v>
      </c>
      <c r="C15" s="337">
        <f t="shared" si="1"/>
        <v>1376.4463417825846</v>
      </c>
      <c r="D15" s="71"/>
      <c r="E15" s="71"/>
      <c r="F15" s="71">
        <f t="shared" ref="F15" si="12">F14*(1+Inflation)</f>
        <v>60.651932981058337</v>
      </c>
      <c r="G15" s="336">
        <f t="shared" si="3"/>
        <v>60.65</v>
      </c>
      <c r="H15" s="71">
        <f t="shared" ref="H15" si="13">H14*(1+Inflation)</f>
        <v>6.2540311999840181</v>
      </c>
      <c r="I15" s="71">
        <f t="shared" si="5"/>
        <v>7.98</v>
      </c>
      <c r="J15" s="336"/>
      <c r="K15" s="336"/>
      <c r="N15" s="338"/>
      <c r="O15" s="338"/>
      <c r="T15" s="62"/>
      <c r="U15" s="88"/>
      <c r="V15" s="88"/>
      <c r="W15" s="88"/>
      <c r="X15" s="88"/>
      <c r="Y15" s="88"/>
      <c r="Z15" s="88"/>
    </row>
    <row r="16" spans="2:29" s="340" customFormat="1">
      <c r="B16" s="158">
        <f t="shared" si="0"/>
        <v>2030</v>
      </c>
      <c r="C16" s="337">
        <f t="shared" si="1"/>
        <v>1406.4528720334449</v>
      </c>
      <c r="D16" s="250">
        <f>ROUND(C16*$C$92,2)</f>
        <v>85.79</v>
      </c>
      <c r="E16" s="71"/>
      <c r="F16" s="71">
        <f t="shared" ref="F16" si="14">F15*(1+Inflation)</f>
        <v>61.974145120045414</v>
      </c>
      <c r="G16" s="336">
        <f t="shared" si="3"/>
        <v>147.76</v>
      </c>
      <c r="H16" s="71">
        <f t="shared" ref="H16" si="15">H15*(1+Inflation)</f>
        <v>6.3903690801436701</v>
      </c>
      <c r="I16" s="71">
        <f t="shared" si="5"/>
        <v>7.98</v>
      </c>
      <c r="J16" s="336">
        <f t="shared" ref="J16:J56" si="16">ROUND($K$80*H16/1000+I16,2)</f>
        <v>69.33</v>
      </c>
      <c r="K16" s="336">
        <f t="shared" ref="K16:K56" si="17">ROUND(G16*1000/8760/$G$80+J16,2)</f>
        <v>120.44</v>
      </c>
      <c r="L16"/>
      <c r="M16"/>
      <c r="N16" s="338"/>
      <c r="O16" s="338"/>
      <c r="T16" s="62"/>
      <c r="U16" s="88"/>
      <c r="V16" s="88"/>
      <c r="W16" s="88"/>
      <c r="X16" s="88"/>
      <c r="Y16" s="88"/>
      <c r="Z16" s="88"/>
      <c r="AA16" s="62"/>
      <c r="AB16" s="62"/>
    </row>
    <row r="17" spans="2:28" s="340" customFormat="1">
      <c r="B17" s="158">
        <f t="shared" si="0"/>
        <v>2031</v>
      </c>
      <c r="C17" s="337"/>
      <c r="D17" s="71">
        <f t="shared" si="1"/>
        <v>87.660222000000005</v>
      </c>
      <c r="E17" s="71"/>
      <c r="F17" s="71">
        <f t="shared" ref="F17" si="18">F16*(1+Inflation)</f>
        <v>63.325181483662405</v>
      </c>
      <c r="G17" s="336">
        <f t="shared" si="3"/>
        <v>150.99</v>
      </c>
      <c r="H17" s="71">
        <f t="shared" ref="H17" si="19">H16*(1+Inflation)</f>
        <v>6.5296791260908025</v>
      </c>
      <c r="I17" s="71">
        <f t="shared" si="5"/>
        <v>7.98</v>
      </c>
      <c r="J17" s="336">
        <f t="shared" si="16"/>
        <v>70.66</v>
      </c>
      <c r="K17" s="336">
        <f t="shared" si="17"/>
        <v>122.89</v>
      </c>
      <c r="L17"/>
      <c r="M17"/>
      <c r="N17" s="338"/>
      <c r="O17" s="338"/>
      <c r="T17" s="62"/>
      <c r="U17" s="88"/>
      <c r="V17" s="88"/>
      <c r="W17" s="88"/>
      <c r="X17" s="88"/>
      <c r="Y17" s="88"/>
      <c r="Z17" s="88"/>
      <c r="AA17" s="62"/>
      <c r="AB17" s="62"/>
    </row>
    <row r="18" spans="2:28" s="340" customFormat="1">
      <c r="B18" s="158">
        <f t="shared" si="0"/>
        <v>2032</v>
      </c>
      <c r="C18" s="337"/>
      <c r="D18" s="71">
        <f t="shared" ref="D18" si="20">D17*(1+Inflation)</f>
        <v>89.571214839600003</v>
      </c>
      <c r="E18" s="71"/>
      <c r="F18" s="71">
        <f t="shared" ref="F18" si="21">F17*(1+Inflation)</f>
        <v>64.705670440006244</v>
      </c>
      <c r="G18" s="336">
        <f t="shared" si="3"/>
        <v>154.28</v>
      </c>
      <c r="H18" s="71">
        <f t="shared" ref="H18" si="22">H17*(1+Inflation)</f>
        <v>6.6720261310395825</v>
      </c>
      <c r="I18" s="71">
        <f t="shared" si="5"/>
        <v>7.98</v>
      </c>
      <c r="J18" s="336">
        <f t="shared" si="16"/>
        <v>72.03</v>
      </c>
      <c r="K18" s="336">
        <f t="shared" si="17"/>
        <v>125.4</v>
      </c>
      <c r="L18"/>
      <c r="M18"/>
      <c r="N18" s="338"/>
      <c r="O18" s="338"/>
      <c r="T18" s="62"/>
      <c r="U18" s="88"/>
      <c r="V18" s="88"/>
      <c r="W18" s="88"/>
      <c r="X18" s="88"/>
      <c r="Y18" s="88"/>
      <c r="Z18" s="88"/>
      <c r="AA18" s="62"/>
      <c r="AB18" s="62"/>
    </row>
    <row r="19" spans="2:28" s="340" customFormat="1">
      <c r="B19" s="158">
        <f t="shared" si="0"/>
        <v>2033</v>
      </c>
      <c r="C19" s="337"/>
      <c r="D19" s="71">
        <f t="shared" ref="D19" si="23">D18*(1+Inflation)</f>
        <v>91.523867323103289</v>
      </c>
      <c r="E19" s="71"/>
      <c r="F19" s="71">
        <f t="shared" ref="F19" si="24">F18*(1+Inflation)</f>
        <v>66.11625405559839</v>
      </c>
      <c r="G19" s="336">
        <f t="shared" si="3"/>
        <v>157.63999999999999</v>
      </c>
      <c r="H19" s="71">
        <f t="shared" ref="H19" si="25">H18*(1+Inflation)</f>
        <v>6.8174763006962458</v>
      </c>
      <c r="I19" s="71">
        <f t="shared" si="5"/>
        <v>7.98</v>
      </c>
      <c r="J19" s="336">
        <f t="shared" si="16"/>
        <v>73.430000000000007</v>
      </c>
      <c r="K19" s="336">
        <f t="shared" si="17"/>
        <v>127.96</v>
      </c>
      <c r="L19"/>
      <c r="M19"/>
      <c r="N19" s="338"/>
      <c r="O19" s="338"/>
      <c r="Q19" s="341"/>
      <c r="T19" s="62"/>
      <c r="U19" s="88"/>
      <c r="V19" s="88"/>
      <c r="W19" s="88"/>
      <c r="X19" s="88"/>
      <c r="Y19" s="88"/>
      <c r="Z19" s="88"/>
      <c r="AA19" s="62"/>
      <c r="AB19" s="62"/>
    </row>
    <row r="20" spans="2:28" s="340" customFormat="1">
      <c r="B20" s="158">
        <f t="shared" si="0"/>
        <v>2034</v>
      </c>
      <c r="C20" s="337"/>
      <c r="D20" s="71">
        <f t="shared" ref="D20" si="26">D19*(1+Inflation)</f>
        <v>93.519087630746938</v>
      </c>
      <c r="E20" s="71"/>
      <c r="F20" s="71">
        <f t="shared" ref="F20" si="27">F19*(1+Inflation)</f>
        <v>67.557588394010438</v>
      </c>
      <c r="G20" s="336">
        <f t="shared" si="3"/>
        <v>161.08000000000001</v>
      </c>
      <c r="H20" s="71">
        <f t="shared" ref="H20" si="28">H19*(1+Inflation)</f>
        <v>6.9660972840514246</v>
      </c>
      <c r="I20" s="71">
        <f t="shared" si="5"/>
        <v>7.98</v>
      </c>
      <c r="J20" s="336">
        <f t="shared" si="16"/>
        <v>74.849999999999994</v>
      </c>
      <c r="K20" s="336">
        <f t="shared" si="17"/>
        <v>130.57</v>
      </c>
      <c r="L20"/>
      <c r="M20"/>
      <c r="N20"/>
      <c r="T20" s="62"/>
      <c r="U20" s="88"/>
      <c r="V20" s="88"/>
      <c r="W20" s="88"/>
      <c r="X20" s="88"/>
      <c r="Y20" s="88"/>
      <c r="Z20" s="88"/>
      <c r="AA20" s="62"/>
      <c r="AB20" s="62"/>
    </row>
    <row r="21" spans="2:28">
      <c r="B21" s="158">
        <f t="shared" si="0"/>
        <v>2035</v>
      </c>
      <c r="C21" s="337"/>
      <c r="D21" s="71">
        <f t="shared" ref="D21" si="29">D20*(1+Inflation)</f>
        <v>95.557803741097231</v>
      </c>
      <c r="E21" s="71"/>
      <c r="F21" s="71">
        <f t="shared" ref="F21" si="30">F20*(1+Inflation)</f>
        <v>69.030343820999875</v>
      </c>
      <c r="G21" s="336">
        <f t="shared" si="3"/>
        <v>164.59</v>
      </c>
      <c r="H21" s="71">
        <f t="shared" ref="H21" si="31">H20*(1+Inflation)</f>
        <v>7.1179582048437462</v>
      </c>
      <c r="I21" s="71">
        <f t="shared" si="5"/>
        <v>7.98</v>
      </c>
      <c r="J21" s="336">
        <f t="shared" si="16"/>
        <v>76.31</v>
      </c>
      <c r="K21" s="336">
        <f t="shared" si="17"/>
        <v>133.25</v>
      </c>
      <c r="T21" s="62"/>
      <c r="U21" s="88"/>
      <c r="V21" s="88"/>
      <c r="W21" s="88"/>
      <c r="X21" s="88"/>
      <c r="Y21" s="88"/>
      <c r="Z21" s="88"/>
    </row>
    <row r="22" spans="2:28">
      <c r="B22" s="158">
        <f t="shared" si="0"/>
        <v>2036</v>
      </c>
      <c r="C22" s="337"/>
      <c r="D22" s="71">
        <f t="shared" ref="D22" si="32">D21*(1+Inflation)</f>
        <v>97.640963862653152</v>
      </c>
      <c r="E22" s="71"/>
      <c r="F22" s="71">
        <f t="shared" ref="F22" si="33">F21*(1+Inflation)</f>
        <v>70.535205316297677</v>
      </c>
      <c r="G22" s="336">
        <f t="shared" si="3"/>
        <v>168.18</v>
      </c>
      <c r="H22" s="71">
        <f t="shared" ref="H22" si="34">H21*(1+Inflation)</f>
        <v>7.2731296937093406</v>
      </c>
      <c r="I22" s="71">
        <f t="shared" si="5"/>
        <v>7.98</v>
      </c>
      <c r="J22" s="336">
        <f t="shared" si="16"/>
        <v>77.8</v>
      </c>
      <c r="K22" s="336">
        <f t="shared" si="17"/>
        <v>135.97999999999999</v>
      </c>
    </row>
    <row r="23" spans="2:28">
      <c r="B23" s="158">
        <f t="shared" si="0"/>
        <v>2037</v>
      </c>
      <c r="C23" s="337"/>
      <c r="D23" s="71">
        <f t="shared" ref="D23" si="35">D22*(1+Inflation)</f>
        <v>99.769536874859</v>
      </c>
      <c r="E23" s="71"/>
      <c r="F23" s="71">
        <f t="shared" ref="F23" si="36">F22*(1+Inflation)</f>
        <v>72.072872792192967</v>
      </c>
      <c r="G23" s="336">
        <f t="shared" si="3"/>
        <v>171.84</v>
      </c>
      <c r="H23" s="71">
        <f t="shared" ref="H23" si="37">H22*(1+Inflation)</f>
        <v>7.4316839210322048</v>
      </c>
      <c r="I23" s="71">
        <f t="shared" si="5"/>
        <v>7.98</v>
      </c>
      <c r="J23" s="336">
        <f t="shared" si="16"/>
        <v>79.319999999999993</v>
      </c>
      <c r="K23" s="336">
        <f t="shared" si="17"/>
        <v>138.76</v>
      </c>
    </row>
    <row r="24" spans="2:28">
      <c r="B24" s="158">
        <f t="shared" si="0"/>
        <v>2038</v>
      </c>
      <c r="C24" s="337"/>
      <c r="D24" s="71">
        <f t="shared" ref="D24" si="38">D23*(1+Inflation)</f>
        <v>101.94451277873092</v>
      </c>
      <c r="E24" s="71"/>
      <c r="F24" s="71">
        <f t="shared" ref="F24" si="39">F23*(1+Inflation)</f>
        <v>73.64406141906278</v>
      </c>
      <c r="G24" s="336">
        <f t="shared" si="3"/>
        <v>175.59</v>
      </c>
      <c r="H24" s="71">
        <f t="shared" ref="H24" si="40">H23*(1+Inflation)</f>
        <v>7.5936946305107069</v>
      </c>
      <c r="I24" s="71">
        <f t="shared" si="5"/>
        <v>7.98</v>
      </c>
      <c r="J24" s="336">
        <f t="shared" si="16"/>
        <v>80.88</v>
      </c>
      <c r="K24" s="336">
        <f t="shared" si="17"/>
        <v>141.62</v>
      </c>
    </row>
    <row r="25" spans="2:28">
      <c r="B25" s="158">
        <f t="shared" si="0"/>
        <v>2039</v>
      </c>
      <c r="C25" s="337"/>
      <c r="D25" s="71">
        <f t="shared" ref="D25" si="41">D24*(1+Inflation)</f>
        <v>104.16690315730726</v>
      </c>
      <c r="E25" s="71"/>
      <c r="F25" s="71">
        <f t="shared" ref="F25" si="42">F24*(1+Inflation)</f>
        <v>75.249501957998348</v>
      </c>
      <c r="G25" s="336">
        <f t="shared" si="3"/>
        <v>179.42</v>
      </c>
      <c r="H25" s="71">
        <f t="shared" ref="H25" si="43">H24*(1+Inflation)</f>
        <v>7.7592371734558405</v>
      </c>
      <c r="I25" s="71">
        <f t="shared" si="5"/>
        <v>7.98</v>
      </c>
      <c r="J25" s="336">
        <f t="shared" si="16"/>
        <v>82.47</v>
      </c>
      <c r="K25" s="336">
        <f t="shared" si="17"/>
        <v>144.54</v>
      </c>
    </row>
    <row r="26" spans="2:28">
      <c r="B26" s="158">
        <f t="shared" si="0"/>
        <v>2040</v>
      </c>
      <c r="C26" s="337"/>
      <c r="D26" s="71">
        <f t="shared" ref="D26" si="44">D25*(1+Inflation)</f>
        <v>106.43774164613656</v>
      </c>
      <c r="E26" s="71"/>
      <c r="F26" s="71">
        <f t="shared" ref="F26" si="45">F25*(1+Inflation)</f>
        <v>76.889941100682719</v>
      </c>
      <c r="G26" s="336">
        <f t="shared" si="3"/>
        <v>183.33</v>
      </c>
      <c r="H26" s="71">
        <f t="shared" ref="H26" si="46">H25*(1+Inflation)</f>
        <v>7.9283885438371779</v>
      </c>
      <c r="I26" s="71">
        <f t="shared" si="5"/>
        <v>7.98</v>
      </c>
      <c r="J26" s="336">
        <f t="shared" si="16"/>
        <v>84.09</v>
      </c>
      <c r="K26" s="336">
        <f t="shared" si="17"/>
        <v>147.51</v>
      </c>
    </row>
    <row r="27" spans="2:28">
      <c r="B27" s="158">
        <f t="shared" si="0"/>
        <v>2041</v>
      </c>
      <c r="C27" s="337"/>
      <c r="D27" s="71">
        <f t="shared" ref="D27" si="47">D26*(1+Inflation)</f>
        <v>108.75808441402233</v>
      </c>
      <c r="E27" s="71"/>
      <c r="F27" s="71">
        <f t="shared" ref="F27" si="48">F26*(1+Inflation)</f>
        <v>78.5661418166776</v>
      </c>
      <c r="G27" s="336">
        <f t="shared" si="3"/>
        <v>187.32</v>
      </c>
      <c r="H27" s="71">
        <f t="shared" ref="H27" si="49">H26*(1+Inflation)</f>
        <v>8.1012274140928291</v>
      </c>
      <c r="I27" s="71">
        <f t="shared" si="5"/>
        <v>7.98</v>
      </c>
      <c r="J27" s="336">
        <f t="shared" si="16"/>
        <v>85.75</v>
      </c>
      <c r="K27" s="336">
        <f t="shared" si="17"/>
        <v>150.55000000000001</v>
      </c>
    </row>
    <row r="28" spans="2:28">
      <c r="B28" s="158">
        <f t="shared" si="0"/>
        <v>2042</v>
      </c>
      <c r="C28" s="337"/>
      <c r="D28" s="71">
        <f t="shared" ref="D28" si="50">D27*(1+Inflation)</f>
        <v>111.12901065424802</v>
      </c>
      <c r="E28" s="71"/>
      <c r="F28" s="71">
        <f t="shared" ref="F28" si="51">F27*(1+Inflation)</f>
        <v>80.278883708281171</v>
      </c>
      <c r="G28" s="336">
        <f t="shared" si="3"/>
        <v>191.41</v>
      </c>
      <c r="H28" s="71">
        <f t="shared" ref="H28" si="52">H27*(1+Inflation)</f>
        <v>8.2778341717200536</v>
      </c>
      <c r="I28" s="71">
        <f t="shared" si="5"/>
        <v>7.98</v>
      </c>
      <c r="J28" s="336">
        <f t="shared" si="16"/>
        <v>87.45</v>
      </c>
      <c r="K28" s="336">
        <f t="shared" si="17"/>
        <v>153.66</v>
      </c>
    </row>
    <row r="29" spans="2:28">
      <c r="B29" s="158">
        <f t="shared" si="0"/>
        <v>2043</v>
      </c>
      <c r="C29" s="337"/>
      <c r="D29" s="71">
        <f t="shared" ref="D29" si="53">D28*(1+Inflation)</f>
        <v>113.55162308651063</v>
      </c>
      <c r="E29" s="71"/>
      <c r="F29" s="71">
        <f t="shared" ref="F29" si="54">F28*(1+Inflation)</f>
        <v>82.028963373121698</v>
      </c>
      <c r="G29" s="336">
        <f t="shared" si="3"/>
        <v>195.58</v>
      </c>
      <c r="H29" s="71">
        <f t="shared" ref="H29" si="55">H28*(1+Inflation)</f>
        <v>8.4582909566635518</v>
      </c>
      <c r="I29" s="71">
        <f t="shared" si="5"/>
        <v>7.98</v>
      </c>
      <c r="J29" s="336">
        <f t="shared" si="16"/>
        <v>89.18</v>
      </c>
      <c r="K29" s="336">
        <f t="shared" si="17"/>
        <v>156.84</v>
      </c>
    </row>
    <row r="30" spans="2:28">
      <c r="B30" s="158">
        <f t="shared" si="0"/>
        <v>2044</v>
      </c>
      <c r="C30" s="337"/>
      <c r="D30" s="71">
        <f t="shared" ref="D30" si="56">D29*(1+Inflation)</f>
        <v>116.02704846979657</v>
      </c>
      <c r="E30" s="71"/>
      <c r="F30" s="71">
        <f t="shared" ref="F30" si="57">F29*(1+Inflation)</f>
        <v>83.817194774655761</v>
      </c>
      <c r="G30" s="336">
        <f t="shared" si="3"/>
        <v>199.84</v>
      </c>
      <c r="H30" s="71">
        <f t="shared" ref="H30" si="58">H29*(1+Inflation)</f>
        <v>8.6426816995188176</v>
      </c>
      <c r="I30" s="71">
        <f t="shared" si="5"/>
        <v>7.98</v>
      </c>
      <c r="J30" s="336">
        <f t="shared" si="16"/>
        <v>90.95</v>
      </c>
      <c r="K30" s="336">
        <f t="shared" si="17"/>
        <v>160.08000000000001</v>
      </c>
    </row>
    <row r="31" spans="2:28">
      <c r="B31" s="158">
        <f t="shared" si="0"/>
        <v>2045</v>
      </c>
      <c r="C31" s="337"/>
      <c r="D31" s="71">
        <f t="shared" ref="D31:D56" si="59">D30*(1+Inflation)</f>
        <v>118.55643812643814</v>
      </c>
      <c r="E31" s="71"/>
      <c r="F31" s="71">
        <f t="shared" ref="F31:F56" si="60">F30*(1+Inflation)</f>
        <v>85.644409620743261</v>
      </c>
      <c r="G31" s="336">
        <f t="shared" si="3"/>
        <v>204.2</v>
      </c>
      <c r="H31" s="71">
        <f t="shared" ref="H31:H56" si="61">H30*(1+Inflation)</f>
        <v>8.8310921605683284</v>
      </c>
      <c r="I31" s="71">
        <f t="shared" si="5"/>
        <v>7.98</v>
      </c>
      <c r="J31" s="336">
        <f t="shared" si="16"/>
        <v>92.76</v>
      </c>
      <c r="K31" s="336">
        <f t="shared" si="17"/>
        <v>163.4</v>
      </c>
    </row>
    <row r="32" spans="2:28">
      <c r="B32" s="158">
        <f t="shared" si="0"/>
        <v>2046</v>
      </c>
      <c r="C32" s="337"/>
      <c r="D32" s="71">
        <f t="shared" si="59"/>
        <v>121.1409684775945</v>
      </c>
      <c r="E32" s="71"/>
      <c r="F32" s="71">
        <f t="shared" si="60"/>
        <v>87.511457750475472</v>
      </c>
      <c r="G32" s="336">
        <f t="shared" ref="G32:G40" si="62">ROUND(D32+E32+F32,2)</f>
        <v>208.65</v>
      </c>
      <c r="H32" s="71">
        <f t="shared" si="61"/>
        <v>9.0236099696687191</v>
      </c>
      <c r="I32" s="71">
        <f t="shared" si="5"/>
        <v>7.98</v>
      </c>
      <c r="J32" s="336">
        <f t="shared" si="16"/>
        <v>94.61</v>
      </c>
      <c r="K32" s="336">
        <f t="shared" si="17"/>
        <v>166.79</v>
      </c>
    </row>
    <row r="33" spans="2:11">
      <c r="B33" s="158">
        <f t="shared" si="0"/>
        <v>2047</v>
      </c>
      <c r="C33" s="337"/>
      <c r="D33" s="71">
        <f t="shared" si="59"/>
        <v>123.78184159040606</v>
      </c>
      <c r="E33" s="71"/>
      <c r="F33" s="71">
        <f t="shared" si="60"/>
        <v>89.419207529435838</v>
      </c>
      <c r="G33" s="336">
        <f t="shared" si="62"/>
        <v>213.2</v>
      </c>
      <c r="H33" s="71">
        <f t="shared" si="61"/>
        <v>9.2203246670074979</v>
      </c>
      <c r="I33" s="71">
        <f t="shared" si="5"/>
        <v>7.98</v>
      </c>
      <c r="J33" s="336">
        <f t="shared" si="16"/>
        <v>96.5</v>
      </c>
      <c r="K33" s="336">
        <f t="shared" si="17"/>
        <v>170.25</v>
      </c>
    </row>
    <row r="34" spans="2:11">
      <c r="B34" s="158">
        <f t="shared" si="0"/>
        <v>2048</v>
      </c>
      <c r="C34" s="337"/>
      <c r="D34" s="71">
        <f t="shared" si="59"/>
        <v>126.48028573707691</v>
      </c>
      <c r="E34" s="71"/>
      <c r="F34" s="71">
        <f t="shared" si="60"/>
        <v>91.368546253577549</v>
      </c>
      <c r="G34" s="336">
        <f t="shared" si="62"/>
        <v>217.85</v>
      </c>
      <c r="H34" s="71">
        <f t="shared" si="61"/>
        <v>9.4213277447482611</v>
      </c>
      <c r="I34" s="71">
        <f t="shared" si="5"/>
        <v>7.98</v>
      </c>
      <c r="J34" s="336">
        <f t="shared" si="16"/>
        <v>98.42</v>
      </c>
      <c r="K34" s="336">
        <f t="shared" si="17"/>
        <v>173.78</v>
      </c>
    </row>
    <row r="35" spans="2:11">
      <c r="B35" s="158">
        <f t="shared" si="0"/>
        <v>2049</v>
      </c>
      <c r="C35" s="337"/>
      <c r="D35" s="71">
        <f t="shared" si="59"/>
        <v>129.23755596614518</v>
      </c>
      <c r="E35" s="71"/>
      <c r="F35" s="71">
        <f t="shared" si="60"/>
        <v>93.360380561905544</v>
      </c>
      <c r="G35" s="336">
        <f t="shared" si="62"/>
        <v>222.6</v>
      </c>
      <c r="H35" s="71">
        <f t="shared" si="61"/>
        <v>9.6267126895837727</v>
      </c>
      <c r="I35" s="71">
        <f t="shared" si="5"/>
        <v>7.98</v>
      </c>
      <c r="J35" s="336">
        <f t="shared" si="16"/>
        <v>100.4</v>
      </c>
      <c r="K35" s="336">
        <f t="shared" si="17"/>
        <v>177.4</v>
      </c>
    </row>
    <row r="36" spans="2:11">
      <c r="B36" s="158">
        <f t="shared" si="0"/>
        <v>2050</v>
      </c>
      <c r="C36" s="337"/>
      <c r="D36" s="71">
        <f t="shared" si="59"/>
        <v>132.05493468620716</v>
      </c>
      <c r="E36" s="71"/>
      <c r="F36" s="71">
        <f t="shared" si="60"/>
        <v>95.395636858155086</v>
      </c>
      <c r="G36" s="336">
        <f t="shared" si="62"/>
        <v>227.45</v>
      </c>
      <c r="H36" s="71">
        <f t="shared" si="61"/>
        <v>9.8365750262166998</v>
      </c>
      <c r="I36" s="71">
        <f t="shared" si="5"/>
        <v>7.98</v>
      </c>
      <c r="J36" s="336">
        <f t="shared" si="16"/>
        <v>102.41</v>
      </c>
      <c r="K36" s="336">
        <f t="shared" si="17"/>
        <v>181.09</v>
      </c>
    </row>
    <row r="37" spans="2:11">
      <c r="B37" s="158">
        <f t="shared" si="0"/>
        <v>2051</v>
      </c>
      <c r="C37" s="337"/>
      <c r="D37" s="71">
        <f t="shared" si="59"/>
        <v>134.93373226236648</v>
      </c>
      <c r="E37" s="71"/>
      <c r="F37" s="71">
        <f t="shared" si="60"/>
        <v>97.475261741662877</v>
      </c>
      <c r="G37" s="336">
        <f t="shared" si="62"/>
        <v>232.41</v>
      </c>
      <c r="H37" s="71">
        <f t="shared" si="61"/>
        <v>10.051012361788224</v>
      </c>
      <c r="I37" s="71">
        <f t="shared" si="5"/>
        <v>7.98</v>
      </c>
      <c r="J37" s="336">
        <f t="shared" si="16"/>
        <v>104.47</v>
      </c>
      <c r="K37" s="336">
        <f t="shared" si="17"/>
        <v>184.87</v>
      </c>
    </row>
    <row r="38" spans="2:11">
      <c r="B38" s="158">
        <f t="shared" si="0"/>
        <v>2052</v>
      </c>
      <c r="C38" s="337"/>
      <c r="D38" s="71">
        <f t="shared" si="59"/>
        <v>137.87528762568607</v>
      </c>
      <c r="E38" s="71"/>
      <c r="F38" s="71">
        <f t="shared" si="60"/>
        <v>99.600222447631126</v>
      </c>
      <c r="G38" s="336">
        <f t="shared" si="62"/>
        <v>237.48</v>
      </c>
      <c r="H38" s="71">
        <f t="shared" si="61"/>
        <v>10.270124431275208</v>
      </c>
      <c r="I38" s="71">
        <f t="shared" si="5"/>
        <v>7.98</v>
      </c>
      <c r="J38" s="336">
        <f t="shared" si="16"/>
        <v>106.57</v>
      </c>
      <c r="K38" s="336">
        <f t="shared" si="17"/>
        <v>188.72</v>
      </c>
    </row>
    <row r="39" spans="2:11">
      <c r="B39" s="158">
        <f t="shared" si="0"/>
        <v>2053</v>
      </c>
      <c r="C39" s="337"/>
      <c r="D39" s="71">
        <f t="shared" si="59"/>
        <v>140.88096889592603</v>
      </c>
      <c r="E39" s="71"/>
      <c r="F39" s="71">
        <f t="shared" si="60"/>
        <v>101.77150729698948</v>
      </c>
      <c r="G39" s="336">
        <f t="shared" si="62"/>
        <v>242.65</v>
      </c>
      <c r="H39" s="71">
        <f t="shared" si="61"/>
        <v>10.494013143877009</v>
      </c>
      <c r="I39" s="71">
        <f t="shared" si="5"/>
        <v>7.98</v>
      </c>
      <c r="J39" s="336">
        <f t="shared" si="16"/>
        <v>108.72</v>
      </c>
      <c r="K39" s="336">
        <f t="shared" si="17"/>
        <v>192.66</v>
      </c>
    </row>
    <row r="40" spans="2:11">
      <c r="B40" s="158">
        <f t="shared" si="0"/>
        <v>2054</v>
      </c>
      <c r="C40" s="337"/>
      <c r="D40" s="71">
        <f t="shared" si="59"/>
        <v>143.95217401785723</v>
      </c>
      <c r="E40" s="71"/>
      <c r="F40" s="71">
        <f t="shared" si="60"/>
        <v>103.99012615606385</v>
      </c>
      <c r="G40" s="336">
        <f t="shared" si="62"/>
        <v>247.94</v>
      </c>
      <c r="H40" s="71">
        <f t="shared" si="61"/>
        <v>10.722782630413528</v>
      </c>
      <c r="I40" s="71">
        <f t="shared" si="5"/>
        <v>7.98</v>
      </c>
      <c r="J40" s="336">
        <f t="shared" si="16"/>
        <v>110.92</v>
      </c>
      <c r="K40" s="336">
        <f t="shared" si="17"/>
        <v>196.69</v>
      </c>
    </row>
    <row r="41" spans="2:11">
      <c r="B41" s="158">
        <f t="shared" si="0"/>
        <v>2055</v>
      </c>
      <c r="C41" s="337"/>
      <c r="D41" s="71">
        <f t="shared" si="59"/>
        <v>147.09033141144653</v>
      </c>
      <c r="E41" s="71"/>
      <c r="F41" s="71">
        <f t="shared" si="60"/>
        <v>106.25711090626605</v>
      </c>
      <c r="G41" s="336">
        <f t="shared" ref="G41:G52" si="63">ROUND(D41+E41+F41,2)</f>
        <v>253.35</v>
      </c>
      <c r="H41" s="71">
        <f t="shared" si="61"/>
        <v>10.956539291756544</v>
      </c>
      <c r="I41" s="71">
        <f t="shared" si="5"/>
        <v>7.98</v>
      </c>
      <c r="J41" s="336">
        <f t="shared" si="16"/>
        <v>113.16</v>
      </c>
      <c r="K41" s="336">
        <f t="shared" si="17"/>
        <v>200.8</v>
      </c>
    </row>
    <row r="42" spans="2:11">
      <c r="B42" s="158">
        <f t="shared" si="0"/>
        <v>2056</v>
      </c>
      <c r="C42" s="337"/>
      <c r="D42" s="71">
        <f t="shared" si="59"/>
        <v>150.29690063621607</v>
      </c>
      <c r="E42" s="71"/>
      <c r="F42" s="71">
        <f t="shared" si="60"/>
        <v>108.57351592402266</v>
      </c>
      <c r="G42" s="336">
        <f t="shared" si="63"/>
        <v>258.87</v>
      </c>
      <c r="H42" s="71">
        <f t="shared" si="61"/>
        <v>11.195391848316836</v>
      </c>
      <c r="I42" s="71">
        <f t="shared" si="5"/>
        <v>7.98</v>
      </c>
      <c r="J42" s="336">
        <f t="shared" si="16"/>
        <v>115.46</v>
      </c>
      <c r="K42" s="336">
        <f t="shared" si="17"/>
        <v>205.01</v>
      </c>
    </row>
    <row r="43" spans="2:11">
      <c r="B43" s="158">
        <f t="shared" si="0"/>
        <v>2057</v>
      </c>
      <c r="C43" s="337"/>
      <c r="D43" s="71">
        <f t="shared" si="59"/>
        <v>153.57337307008558</v>
      </c>
      <c r="E43" s="71"/>
      <c r="F43" s="71">
        <f t="shared" si="60"/>
        <v>110.94041857116636</v>
      </c>
      <c r="G43" s="336">
        <f t="shared" si="63"/>
        <v>264.51</v>
      </c>
      <c r="H43" s="71">
        <f t="shared" si="61"/>
        <v>11.439451390610143</v>
      </c>
      <c r="I43" s="71">
        <f t="shared" si="5"/>
        <v>7.98</v>
      </c>
      <c r="J43" s="336">
        <f t="shared" si="16"/>
        <v>117.8</v>
      </c>
      <c r="K43" s="336">
        <f t="shared" si="17"/>
        <v>209.3</v>
      </c>
    </row>
    <row r="44" spans="2:11">
      <c r="B44" s="158">
        <f t="shared" si="0"/>
        <v>2058</v>
      </c>
      <c r="C44" s="337"/>
      <c r="D44" s="71">
        <f t="shared" si="59"/>
        <v>156.92127260301345</v>
      </c>
      <c r="E44" s="71"/>
      <c r="F44" s="71">
        <f t="shared" si="60"/>
        <v>113.35891969601779</v>
      </c>
      <c r="G44" s="336">
        <f t="shared" si="63"/>
        <v>270.27999999999997</v>
      </c>
      <c r="H44" s="71">
        <f t="shared" si="61"/>
        <v>11.688831430925445</v>
      </c>
      <c r="I44" s="71">
        <f t="shared" si="5"/>
        <v>7.98</v>
      </c>
      <c r="J44" s="336">
        <f t="shared" si="16"/>
        <v>120.19</v>
      </c>
      <c r="K44" s="336">
        <f t="shared" si="17"/>
        <v>213.69</v>
      </c>
    </row>
    <row r="45" spans="2:11">
      <c r="B45" s="158">
        <f t="shared" si="0"/>
        <v>2059</v>
      </c>
      <c r="C45" s="337"/>
      <c r="D45" s="71">
        <f t="shared" si="59"/>
        <v>160.34215634575915</v>
      </c>
      <c r="E45" s="71"/>
      <c r="F45" s="71">
        <f t="shared" si="60"/>
        <v>115.83014414539099</v>
      </c>
      <c r="G45" s="336">
        <f t="shared" si="63"/>
        <v>276.17</v>
      </c>
      <c r="H45" s="71">
        <f t="shared" si="61"/>
        <v>11.943647956119619</v>
      </c>
      <c r="I45" s="71">
        <f t="shared" si="5"/>
        <v>7.98</v>
      </c>
      <c r="J45" s="336">
        <f t="shared" si="16"/>
        <v>122.64</v>
      </c>
      <c r="K45" s="336">
        <f t="shared" si="17"/>
        <v>218.17</v>
      </c>
    </row>
    <row r="46" spans="2:11">
      <c r="B46" s="158">
        <f t="shared" si="0"/>
        <v>2060</v>
      </c>
      <c r="C46" s="337"/>
      <c r="D46" s="71">
        <f t="shared" si="59"/>
        <v>163.8376153540967</v>
      </c>
      <c r="E46" s="71"/>
      <c r="F46" s="71">
        <f t="shared" si="60"/>
        <v>118.35524128776052</v>
      </c>
      <c r="G46" s="336">
        <f t="shared" si="63"/>
        <v>282.19</v>
      </c>
      <c r="H46" s="71">
        <f t="shared" si="61"/>
        <v>12.204019481563028</v>
      </c>
      <c r="I46" s="71">
        <f t="shared" si="5"/>
        <v>7.98</v>
      </c>
      <c r="J46" s="336">
        <f t="shared" si="16"/>
        <v>125.14</v>
      </c>
      <c r="K46" s="336">
        <f t="shared" si="17"/>
        <v>222.76</v>
      </c>
    </row>
    <row r="47" spans="2:11">
      <c r="B47" s="158">
        <f t="shared" si="0"/>
        <v>2061</v>
      </c>
      <c r="C47" s="337"/>
      <c r="D47" s="71">
        <f t="shared" si="59"/>
        <v>167.40927536881603</v>
      </c>
      <c r="E47" s="71"/>
      <c r="F47" s="71">
        <f t="shared" si="60"/>
        <v>120.9353855478337</v>
      </c>
      <c r="G47" s="336">
        <f t="shared" si="63"/>
        <v>288.33999999999997</v>
      </c>
      <c r="H47" s="71">
        <f t="shared" si="61"/>
        <v>12.470067106261103</v>
      </c>
      <c r="I47" s="71">
        <f t="shared" si="5"/>
        <v>7.98</v>
      </c>
      <c r="J47" s="336">
        <f t="shared" si="16"/>
        <v>127.69</v>
      </c>
      <c r="K47" s="336">
        <f t="shared" si="17"/>
        <v>227.43</v>
      </c>
    </row>
    <row r="48" spans="2:11">
      <c r="B48" s="158">
        <f t="shared" si="0"/>
        <v>2062</v>
      </c>
      <c r="C48" s="337"/>
      <c r="D48" s="71">
        <f t="shared" si="59"/>
        <v>171.05879757185622</v>
      </c>
      <c r="E48" s="71"/>
      <c r="F48" s="71">
        <f t="shared" si="60"/>
        <v>123.57177695277649</v>
      </c>
      <c r="G48" s="336">
        <f t="shared" si="63"/>
        <v>294.63</v>
      </c>
      <c r="H48" s="71">
        <f t="shared" si="61"/>
        <v>12.741914569177595</v>
      </c>
      <c r="I48" s="71">
        <f t="shared" si="5"/>
        <v>7.98</v>
      </c>
      <c r="J48" s="336">
        <f t="shared" si="16"/>
        <v>130.30000000000001</v>
      </c>
      <c r="K48" s="336">
        <f t="shared" si="17"/>
        <v>232.22</v>
      </c>
    </row>
    <row r="49" spans="2:29">
      <c r="B49" s="158">
        <f t="shared" si="0"/>
        <v>2063</v>
      </c>
      <c r="C49" s="337"/>
      <c r="D49" s="71">
        <f t="shared" si="59"/>
        <v>174.78787935892268</v>
      </c>
      <c r="E49" s="71"/>
      <c r="F49" s="71">
        <f t="shared" si="60"/>
        <v>126.26564169034702</v>
      </c>
      <c r="G49" s="336">
        <f t="shared" si="63"/>
        <v>301.05</v>
      </c>
      <c r="H49" s="71">
        <f t="shared" si="61"/>
        <v>13.019688306785667</v>
      </c>
      <c r="I49" s="71">
        <f t="shared" si="5"/>
        <v>7.98</v>
      </c>
      <c r="J49" s="336">
        <f t="shared" si="16"/>
        <v>132.97</v>
      </c>
      <c r="K49" s="336">
        <f t="shared" si="17"/>
        <v>237.11</v>
      </c>
    </row>
    <row r="50" spans="2:29">
      <c r="B50" s="158">
        <f t="shared" si="0"/>
        <v>2064</v>
      </c>
      <c r="C50" s="337"/>
      <c r="D50" s="71">
        <f t="shared" si="59"/>
        <v>178.59825512894722</v>
      </c>
      <c r="E50" s="71"/>
      <c r="F50" s="71">
        <f t="shared" si="60"/>
        <v>129.01823267919659</v>
      </c>
      <c r="G50" s="336">
        <f t="shared" si="63"/>
        <v>307.62</v>
      </c>
      <c r="H50" s="71">
        <f t="shared" si="61"/>
        <v>13.303517511873595</v>
      </c>
      <c r="I50" s="71">
        <f t="shared" si="5"/>
        <v>7.98</v>
      </c>
      <c r="J50" s="336">
        <f t="shared" si="16"/>
        <v>135.69</v>
      </c>
      <c r="K50" s="336">
        <f t="shared" si="17"/>
        <v>242.1</v>
      </c>
    </row>
    <row r="51" spans="2:29">
      <c r="B51" s="158">
        <f t="shared" si="0"/>
        <v>2065</v>
      </c>
      <c r="C51" s="337"/>
      <c r="D51" s="71">
        <f t="shared" si="59"/>
        <v>182.49169709075827</v>
      </c>
      <c r="E51" s="71"/>
      <c r="F51" s="71">
        <f t="shared" si="60"/>
        <v>131.83083015160307</v>
      </c>
      <c r="G51" s="336">
        <f t="shared" si="63"/>
        <v>314.32</v>
      </c>
      <c r="H51" s="71">
        <f t="shared" si="61"/>
        <v>13.59353419363244</v>
      </c>
      <c r="I51" s="71">
        <f t="shared" si="5"/>
        <v>7.98</v>
      </c>
      <c r="J51" s="336">
        <f t="shared" si="16"/>
        <v>138.47999999999999</v>
      </c>
      <c r="K51" s="336">
        <f t="shared" si="17"/>
        <v>247.21</v>
      </c>
    </row>
    <row r="52" spans="2:29">
      <c r="B52" s="158">
        <f t="shared" si="0"/>
        <v>2066</v>
      </c>
      <c r="C52" s="337"/>
      <c r="D52" s="71">
        <f t="shared" si="59"/>
        <v>186.4700160873368</v>
      </c>
      <c r="E52" s="71"/>
      <c r="F52" s="71">
        <f t="shared" si="60"/>
        <v>134.70474224890802</v>
      </c>
      <c r="G52" s="336">
        <f t="shared" si="63"/>
        <v>321.17</v>
      </c>
      <c r="H52" s="71">
        <f t="shared" si="61"/>
        <v>13.889873239053628</v>
      </c>
      <c r="I52" s="71">
        <f t="shared" si="5"/>
        <v>7.98</v>
      </c>
      <c r="J52" s="336">
        <f t="shared" si="16"/>
        <v>141.32</v>
      </c>
      <c r="K52" s="336">
        <f t="shared" si="17"/>
        <v>252.42</v>
      </c>
    </row>
    <row r="53" spans="2:29">
      <c r="B53" s="158">
        <f t="shared" si="0"/>
        <v>2067</v>
      </c>
      <c r="C53" s="337"/>
      <c r="D53" s="71">
        <f t="shared" si="59"/>
        <v>190.53506243804074</v>
      </c>
      <c r="E53" s="71"/>
      <c r="F53" s="71">
        <f t="shared" si="60"/>
        <v>137.64130562993421</v>
      </c>
      <c r="G53" s="336">
        <f t="shared" ref="G53:G56" si="64">ROUND(D53+E53+F53,2)</f>
        <v>328.18</v>
      </c>
      <c r="H53" s="71">
        <f t="shared" si="61"/>
        <v>14.192672475664997</v>
      </c>
      <c r="I53" s="71">
        <f t="shared" si="5"/>
        <v>7.98</v>
      </c>
      <c r="J53" s="336">
        <f t="shared" si="16"/>
        <v>144.22999999999999</v>
      </c>
      <c r="K53" s="336">
        <f t="shared" si="17"/>
        <v>257.76</v>
      </c>
    </row>
    <row r="54" spans="2:29">
      <c r="B54" s="158">
        <f t="shared" si="0"/>
        <v>2068</v>
      </c>
      <c r="C54" s="337"/>
      <c r="D54" s="71">
        <f t="shared" si="59"/>
        <v>194.68872679919002</v>
      </c>
      <c r="E54" s="71"/>
      <c r="F54" s="71">
        <f t="shared" si="60"/>
        <v>140.64188609266677</v>
      </c>
      <c r="G54" s="336">
        <f t="shared" si="64"/>
        <v>335.33</v>
      </c>
      <c r="H54" s="71">
        <f t="shared" si="61"/>
        <v>14.502072735634494</v>
      </c>
      <c r="I54" s="71">
        <f t="shared" si="5"/>
        <v>7.98</v>
      </c>
      <c r="J54" s="336">
        <f t="shared" si="16"/>
        <v>147.19999999999999</v>
      </c>
      <c r="K54" s="336">
        <f t="shared" si="17"/>
        <v>263.2</v>
      </c>
    </row>
    <row r="55" spans="2:29">
      <c r="B55" s="158">
        <f t="shared" si="0"/>
        <v>2069</v>
      </c>
      <c r="C55" s="337"/>
      <c r="D55" s="71">
        <f t="shared" si="59"/>
        <v>198.93294104341237</v>
      </c>
      <c r="E55" s="71"/>
      <c r="F55" s="71">
        <f t="shared" si="60"/>
        <v>143.70787920948692</v>
      </c>
      <c r="G55" s="336">
        <f t="shared" si="64"/>
        <v>342.64</v>
      </c>
      <c r="H55" s="71">
        <f t="shared" si="61"/>
        <v>14.818217921271327</v>
      </c>
      <c r="I55" s="71">
        <f t="shared" si="5"/>
        <v>7.98</v>
      </c>
      <c r="J55" s="336">
        <f t="shared" si="16"/>
        <v>150.22999999999999</v>
      </c>
      <c r="K55" s="336">
        <f t="shared" si="17"/>
        <v>268.76</v>
      </c>
    </row>
    <row r="56" spans="2:29">
      <c r="B56" s="158">
        <f t="shared" si="0"/>
        <v>2070</v>
      </c>
      <c r="C56" s="337"/>
      <c r="D56" s="71">
        <f t="shared" si="59"/>
        <v>203.26967915815877</v>
      </c>
      <c r="E56" s="71"/>
      <c r="F56" s="71">
        <f t="shared" si="60"/>
        <v>146.84071097625375</v>
      </c>
      <c r="G56" s="336">
        <f t="shared" si="64"/>
        <v>350.11</v>
      </c>
      <c r="H56" s="71">
        <f t="shared" si="61"/>
        <v>15.141255071955042</v>
      </c>
      <c r="I56" s="71">
        <f t="shared" si="5"/>
        <v>7.98</v>
      </c>
      <c r="J56" s="336">
        <f t="shared" si="16"/>
        <v>153.34</v>
      </c>
      <c r="K56" s="336">
        <f t="shared" si="17"/>
        <v>274.45</v>
      </c>
    </row>
    <row r="57" spans="2:29">
      <c r="B57" s="158"/>
      <c r="C57" s="337"/>
      <c r="D57" s="71"/>
      <c r="E57" s="71"/>
      <c r="F57" s="71"/>
      <c r="G57" s="336"/>
      <c r="H57" s="71"/>
      <c r="I57" s="71"/>
      <c r="J57" s="336"/>
      <c r="K57" s="336"/>
    </row>
    <row r="58" spans="2:29">
      <c r="M58" s="158"/>
      <c r="O58" s="342"/>
      <c r="AA58"/>
      <c r="AC58" s="62"/>
    </row>
    <row r="59" spans="2:29">
      <c r="B59" s="69" t="s">
        <v>329</v>
      </c>
      <c r="C59" s="62"/>
      <c r="D59" s="62"/>
      <c r="E59" s="62"/>
      <c r="F59" s="62"/>
      <c r="G59" s="72">
        <f>-PMT(Discount_Rate,COUNT(G$16:G$55),NPV(Discount_Rate,G$16:G$55))</f>
        <v>196.18027703520815</v>
      </c>
      <c r="H59" s="62"/>
      <c r="I59" s="62"/>
      <c r="J59" s="62"/>
      <c r="K59" s="72">
        <f>-PMT(Discount_Rate,COUNT(K$16:K$55),NPV(Discount_Rate,K$16:K$55))</f>
        <v>157.29145405389625</v>
      </c>
      <c r="L59" s="72">
        <f>K59/12</f>
        <v>13.107621171158021</v>
      </c>
      <c r="M59" s="158"/>
      <c r="O59" s="342"/>
      <c r="AA59"/>
      <c r="AC59" s="62"/>
    </row>
    <row r="60" spans="2:29">
      <c r="M60" s="158"/>
      <c r="O60" s="342"/>
      <c r="AA60"/>
      <c r="AC60" s="62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342"/>
      <c r="N61" s="342"/>
    </row>
    <row r="63" spans="2:29">
      <c r="B63" t="s">
        <v>328</v>
      </c>
      <c r="D63" s="159" t="s">
        <v>325</v>
      </c>
      <c r="G63" s="343"/>
    </row>
    <row r="64" spans="2:29">
      <c r="C64" s="191" t="str">
        <f>C6</f>
        <v>(a)</v>
      </c>
      <c r="D64" s="159" t="s">
        <v>327</v>
      </c>
      <c r="G64" s="343"/>
    </row>
    <row r="65" spans="3:20">
      <c r="C65" s="191" t="str">
        <f>D6</f>
        <v>(b)</v>
      </c>
      <c r="D65" s="336" t="str">
        <f>"= "&amp;C6&amp;" x "&amp;TEXT(C92,"0.000%")&amp;E92</f>
        <v>= (a) x 6.100%  Real Payment Factor@ 00% ITC</v>
      </c>
    </row>
    <row r="66" spans="3:20">
      <c r="C66" s="191" t="str">
        <f>H6</f>
        <v>(f)</v>
      </c>
      <c r="D66" s="344" t="s">
        <v>326</v>
      </c>
    </row>
    <row r="67" spans="3:20">
      <c r="C67" s="191" t="str">
        <f>J6</f>
        <v>(h)</v>
      </c>
      <c r="D67" s="33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321</v>
      </c>
      <c r="D69" s="345"/>
      <c r="E69" s="345"/>
      <c r="F69" s="345"/>
      <c r="G69" s="345"/>
      <c r="H69" s="345"/>
      <c r="I69" s="345"/>
      <c r="J69" s="346"/>
      <c r="K69" s="347"/>
    </row>
    <row r="70" spans="3:20" ht="5.25" customHeight="1"/>
    <row r="71" spans="3:20" ht="5.25" customHeight="1"/>
    <row r="72" spans="3:20">
      <c r="C72" s="348" t="s">
        <v>298</v>
      </c>
      <c r="D72" s="349"/>
      <c r="E72" s="348"/>
      <c r="F72" s="350" t="s">
        <v>32</v>
      </c>
      <c r="G72" s="350" t="s">
        <v>299</v>
      </c>
      <c r="H72" s="350" t="s">
        <v>300</v>
      </c>
      <c r="I72" s="350" t="s">
        <v>301</v>
      </c>
    </row>
    <row r="73" spans="3:20">
      <c r="C73" s="340" t="s">
        <v>322</v>
      </c>
      <c r="F73" s="351">
        <f>C84</f>
        <v>191.75899999999999</v>
      </c>
      <c r="G73" s="36">
        <f>F73/F75</f>
        <v>1</v>
      </c>
      <c r="H73" s="352">
        <f>C85</f>
        <v>1235.7476526089529</v>
      </c>
      <c r="I73" s="353">
        <f>C88</f>
        <v>54.452165356822256</v>
      </c>
      <c r="O73" s="62"/>
      <c r="P73" s="62"/>
      <c r="Q73" s="62"/>
      <c r="R73" s="62"/>
      <c r="S73" s="62"/>
      <c r="T73" s="62"/>
    </row>
    <row r="74" spans="3:20">
      <c r="C74" s="340"/>
      <c r="F74" s="354"/>
      <c r="G74" s="355"/>
      <c r="H74" s="356"/>
      <c r="I74" s="357"/>
      <c r="O74" s="358"/>
      <c r="P74" s="62"/>
      <c r="Q74" s="62"/>
      <c r="R74" s="62"/>
      <c r="S74" s="62"/>
      <c r="T74" s="62"/>
    </row>
    <row r="75" spans="3:20">
      <c r="C75" s="340" t="s">
        <v>302</v>
      </c>
      <c r="F75" s="351">
        <f>F73+F74</f>
        <v>191.75899999999999</v>
      </c>
      <c r="G75" s="36">
        <f>G73+G74</f>
        <v>1</v>
      </c>
      <c r="H75" s="352">
        <f>ROUND(((F73*H73)+(F74*H74))/F75,0)</f>
        <v>1236</v>
      </c>
      <c r="I75" s="353">
        <f>ROUND(((F73*I73)+(F74*I74))/F75,2)</f>
        <v>54.45</v>
      </c>
      <c r="O75" s="358"/>
      <c r="P75" s="62"/>
      <c r="Q75" s="62"/>
      <c r="R75" s="62"/>
      <c r="S75" s="62"/>
      <c r="T75" s="62"/>
    </row>
    <row r="76" spans="3:20">
      <c r="C76" s="340"/>
      <c r="F76" s="351"/>
      <c r="G76" s="36"/>
      <c r="H76" s="359"/>
      <c r="I76" s="360"/>
      <c r="O76" s="62"/>
      <c r="P76" s="62"/>
      <c r="Q76" s="62"/>
      <c r="R76" s="62"/>
      <c r="S76" s="62"/>
      <c r="T76" s="62"/>
    </row>
    <row r="77" spans="3:20">
      <c r="C77" s="361" t="s">
        <v>298</v>
      </c>
      <c r="D77" s="349"/>
      <c r="E77" s="348"/>
      <c r="F77" s="350" t="s">
        <v>32</v>
      </c>
      <c r="G77" s="350" t="s">
        <v>33</v>
      </c>
      <c r="H77" s="350" t="s">
        <v>303</v>
      </c>
      <c r="I77" s="350" t="s">
        <v>299</v>
      </c>
      <c r="J77" s="350" t="s">
        <v>304</v>
      </c>
      <c r="K77" s="350" t="s">
        <v>305</v>
      </c>
    </row>
    <row r="78" spans="3:20">
      <c r="C78" s="362" t="str">
        <f>C73</f>
        <v>SCCT Frame "F" x1 (6,130')</v>
      </c>
      <c r="D78" s="363"/>
      <c r="E78" s="363"/>
      <c r="F78">
        <f>C84</f>
        <v>191.75899999999999</v>
      </c>
      <c r="G78" s="36">
        <f>C93</f>
        <v>0.33</v>
      </c>
      <c r="H78" s="98">
        <f>G78*F78</f>
        <v>63.280470000000001</v>
      </c>
      <c r="I78" s="36">
        <f>H78/H80</f>
        <v>1</v>
      </c>
      <c r="J78" s="360">
        <f>C89</f>
        <v>7.9799917258138251</v>
      </c>
      <c r="K78" s="364">
        <f>C90</f>
        <v>9600.3960000000006</v>
      </c>
    </row>
    <row r="79" spans="3:20">
      <c r="C79" s="362">
        <f>C74</f>
        <v>0</v>
      </c>
      <c r="D79" s="363"/>
      <c r="E79" s="363"/>
      <c r="F79" s="365">
        <f>D84</f>
        <v>0</v>
      </c>
      <c r="G79" s="355">
        <f>D93</f>
        <v>0</v>
      </c>
      <c r="H79" s="366">
        <f>G79*F79</f>
        <v>0</v>
      </c>
      <c r="I79" s="355">
        <f>1-I78</f>
        <v>0</v>
      </c>
      <c r="J79" s="367">
        <f>D89</f>
        <v>0</v>
      </c>
      <c r="K79" s="368">
        <f>D90</f>
        <v>0</v>
      </c>
    </row>
    <row r="80" spans="3:20">
      <c r="C80" s="340" t="s">
        <v>306</v>
      </c>
      <c r="F80">
        <f>F78+F79</f>
        <v>191.75899999999999</v>
      </c>
      <c r="G80" s="369">
        <f>ROUND(H80/F80,3)</f>
        <v>0.33</v>
      </c>
      <c r="H80" s="98">
        <f>SUM(H78:H79)</f>
        <v>63.280470000000001</v>
      </c>
      <c r="I80" s="36">
        <f>I78+I79</f>
        <v>1</v>
      </c>
      <c r="J80" s="360">
        <f>ROUND(($I78*J78)+($I79*J79),2)</f>
        <v>7.98</v>
      </c>
      <c r="K80" s="289">
        <f>ROUND(($I78*K78)+($I79*K79),0)</f>
        <v>9600</v>
      </c>
    </row>
    <row r="81" spans="2:11">
      <c r="G81" s="369"/>
      <c r="I81" s="36"/>
      <c r="J81" s="360"/>
      <c r="K81" s="370" t="s">
        <v>307</v>
      </c>
    </row>
    <row r="83" spans="2:11">
      <c r="C83" s="350" t="s">
        <v>308</v>
      </c>
      <c r="D83" s="350"/>
      <c r="E83" s="371" t="str">
        <f>D63</f>
        <v>Plant Costs  - 2025 IRP</v>
      </c>
      <c r="F83" s="372"/>
      <c r="G83" s="372"/>
      <c r="H83" s="372"/>
      <c r="I83" s="372"/>
      <c r="J83" s="372"/>
      <c r="K83" s="373"/>
    </row>
    <row r="84" spans="2:11">
      <c r="C84">
        <v>191.75899999999999</v>
      </c>
      <c r="E84" t="s">
        <v>309</v>
      </c>
      <c r="H84" s="374"/>
    </row>
    <row r="85" spans="2:11">
      <c r="B85" t="s">
        <v>196</v>
      </c>
      <c r="C85" s="375">
        <v>1235.7476526089529</v>
      </c>
      <c r="E85" s="340" t="s">
        <v>310</v>
      </c>
      <c r="H85" s="374"/>
    </row>
    <row r="86" spans="2:11">
      <c r="B86" t="s">
        <v>196</v>
      </c>
      <c r="C86" s="384">
        <v>28.653028866339056</v>
      </c>
      <c r="D86" s="360"/>
      <c r="E86" t="s">
        <v>311</v>
      </c>
    </row>
    <row r="87" spans="2:11">
      <c r="B87" t="s">
        <v>196</v>
      </c>
      <c r="C87" s="377">
        <v>25.7991364904832</v>
      </c>
      <c r="D87" s="378"/>
      <c r="E87" t="s">
        <v>312</v>
      </c>
      <c r="H87" s="164" t="s">
        <v>313</v>
      </c>
      <c r="I87" s="379"/>
    </row>
    <row r="88" spans="2:11">
      <c r="B88" t="s">
        <v>196</v>
      </c>
      <c r="C88" s="360">
        <f>C86+C87</f>
        <v>54.452165356822256</v>
      </c>
      <c r="D88" s="360"/>
      <c r="E88" t="s">
        <v>314</v>
      </c>
    </row>
    <row r="89" spans="2:11">
      <c r="B89" t="s">
        <v>196</v>
      </c>
      <c r="C89" s="376">
        <v>7.9799917258138251</v>
      </c>
      <c r="D89" s="360"/>
      <c r="E89" t="s">
        <v>315</v>
      </c>
    </row>
    <row r="90" spans="2:11">
      <c r="C90" s="289">
        <v>9600.3960000000006</v>
      </c>
      <c r="D90" s="289"/>
      <c r="E90" t="s">
        <v>316</v>
      </c>
    </row>
    <row r="91" spans="2:11">
      <c r="C91" s="380">
        <v>0</v>
      </c>
      <c r="D91" s="289"/>
      <c r="E91" t="s">
        <v>317</v>
      </c>
    </row>
    <row r="92" spans="2:11">
      <c r="C92" s="381">
        <v>6.0999999999999999E-2</v>
      </c>
      <c r="D92" s="381"/>
      <c r="E92" t="str">
        <f>"  Real Payment Factor@ "&amp;TEXT(C91,"00%")&amp;" ITC"</f>
        <v xml:space="preserve">  Real Payment Factor@ 00% ITC</v>
      </c>
    </row>
    <row r="93" spans="2:11">
      <c r="C93" s="290">
        <v>0.33</v>
      </c>
      <c r="D93" s="290"/>
      <c r="E93" t="s">
        <v>35</v>
      </c>
      <c r="I93" s="380"/>
      <c r="J93" s="382"/>
    </row>
    <row r="94" spans="2:11">
      <c r="D94" s="36">
        <f>ROUND(H80/F80,3)</f>
        <v>0.33</v>
      </c>
      <c r="E94" t="s">
        <v>318</v>
      </c>
      <c r="I94" s="380"/>
      <c r="J94" s="382"/>
    </row>
    <row r="95" spans="2:11">
      <c r="B95" t="s">
        <v>196</v>
      </c>
      <c r="C95" s="88"/>
      <c r="D95" s="62"/>
      <c r="E95" s="62" t="s">
        <v>91</v>
      </c>
      <c r="I95" s="380"/>
      <c r="J95" s="382"/>
    </row>
    <row r="96" spans="2:11">
      <c r="C96" s="46"/>
      <c r="D96" s="323">
        <v>5.6147516544049472</v>
      </c>
      <c r="E96" s="62" t="s">
        <v>323</v>
      </c>
      <c r="F96" s="387"/>
      <c r="I96" s="380"/>
      <c r="J96" s="382"/>
    </row>
    <row r="97" spans="4:5">
      <c r="D97" s="46">
        <f>(D96/1000000)*1000*C90</f>
        <v>53.903839323942641</v>
      </c>
      <c r="E97" s="62" t="s">
        <v>324</v>
      </c>
    </row>
    <row r="98" spans="4:5">
      <c r="D98" s="388"/>
    </row>
    <row r="100" spans="4:5">
      <c r="D100" s="389"/>
    </row>
    <row r="101" spans="4:5">
      <c r="D101" s="38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8" ma:contentTypeDescription="Create a new document." ma:contentTypeScope="" ma:versionID="05ef3c0d3df07872c58ff70afcba4304">
  <xsd:schema xmlns:xsd="http://www.w3.org/2001/XMLSchema" xmlns:xs="http://www.w3.org/2001/XMLSchema" xmlns:p="http://schemas.microsoft.com/office/2006/metadata/properties" xmlns:ns2="8d2ccb4a-2d3f-46ea-a8a7-18f2e8db3b7b" xmlns:ns3="dd95e425-d589-47f0-8d5d-becc6564e3ac" targetNamespace="http://schemas.microsoft.com/office/2006/metadata/properties" ma:root="true" ma:fieldsID="22da6206cf967850f9a0e84d6e686f32" ns2:_="" ns3:_=""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A44C7B5-ADBD-4F8E-B3AB-53094884312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CBFFE0-1B58-4783-8EFB-365C3D3605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23BC97-63BF-4F9A-9B43-68D4B320BC4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7</vt:i4>
      </vt:variant>
    </vt:vector>
  </HeadingPairs>
  <TitlesOfParts>
    <vt:vector size="24" baseType="lpstr">
      <vt:lpstr>Appendix B.2</vt:lpstr>
      <vt:lpstr>Table 1</vt:lpstr>
      <vt:lpstr>Table 2</vt:lpstr>
      <vt:lpstr>Table 4</vt:lpstr>
      <vt:lpstr>Table 5</vt:lpstr>
      <vt:lpstr>Table3Compare</vt:lpstr>
      <vt:lpstr>BAT.PX.UTS._.ITC.Li_4hr.2027</vt:lpstr>
      <vt:lpstr>BAT.PX.WSF.ITC.IronAir100hr2030</vt:lpstr>
      <vt:lpstr>GSC.PX.BDG._.___.Frame 2030</vt:lpstr>
      <vt:lpstr>WD_.PX.DJW._.PTC.2028</vt:lpstr>
      <vt:lpstr>WD_.PX.DJW._.PTC.2029</vt:lpstr>
      <vt:lpstr>2025 IRP Assumptions</vt:lpstr>
      <vt:lpstr>PV_.PX.WMV._.PTC.2032</vt:lpstr>
      <vt:lpstr>Table 3 TransCost</vt:lpstr>
      <vt:lpstr>WD_.PX.WMV._.PTC.2032</vt:lpstr>
      <vt:lpstr>PV_.PX.WMV._.PTC.2036</vt:lpstr>
      <vt:lpstr>PV_.PX.YAK._.PTC.2032</vt:lpstr>
      <vt:lpstr>Discount_Rate</vt:lpstr>
      <vt:lpstr>Inflation</vt:lpstr>
      <vt:lpstr>PV_.PX.WMV._.PTC.2032!Print_Area</vt:lpstr>
      <vt:lpstr>'Table 1'!Print_Area</vt:lpstr>
      <vt:lpstr>'Table 5'!Print_Area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2024-04-30T20:43:04Z</cp:lastPrinted>
  <dcterms:created xsi:type="dcterms:W3CDTF">2001-03-19T15:45:46Z</dcterms:created>
  <dcterms:modified xsi:type="dcterms:W3CDTF">2025-09-30T19:29:54Z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