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A2D27E85-D9FB-4270-B1D5-0BD7BE686217}" xr6:coauthVersionLast="47" xr6:coauthVersionMax="47" xr10:uidLastSave="{00000000-0000-0000-0000-000000000000}"/>
  <bookViews>
    <workbookView xWindow="30" yWindow="1005" windowWidth="24315" windowHeight="19875" xr2:uid="{11162701-9D55-420E-BB41-83989B1E3105}"/>
  </bookViews>
  <sheets>
    <sheet name="Appendix D.3" sheetId="204" r:id="rId1"/>
    <sheet name="Table 1" sheetId="25" r:id="rId2"/>
    <sheet name="Table 2" sheetId="66" r:id="rId3"/>
    <sheet name="Table 4" sheetId="28" r:id="rId4"/>
    <sheet name="Table 5" sheetId="31" r:id="rId5"/>
    <sheet name="Table3Compare" sheetId="131" state="hidden" r:id="rId6"/>
    <sheet name="2025 IRP Assumptions" sheetId="167" state="hidden" r:id="rId7"/>
    <sheet name="WD_.PX.BDG._.PTC.2029" sheetId="139" state="hidden" r:id="rId8"/>
    <sheet name="WD_.PX.BDG._.PTC.2030" sheetId="195" state="hidden" r:id="rId9"/>
    <sheet name="WD_.PX.BDG._.PTC.2031" sheetId="196" state="hidden" r:id="rId10"/>
    <sheet name="WD_.PX.NUT._.PTC.2029" sheetId="203" state="hidden" r:id="rId11"/>
    <sheet name="Table 3 WD_.PX.DJW._.PTC.2029" sheetId="176" r:id="rId12"/>
    <sheet name="WD_.PX.DJW._.PTC.2030" sheetId="197" state="hidden" r:id="rId13"/>
    <sheet name="WD_.PX.DJW._.PTC.2031" sheetId="198" state="hidden" r:id="rId14"/>
    <sheet name="PV_.PX.BDG._.PTC.2031" sheetId="199" state="hidden" r:id="rId15"/>
    <sheet name="PV_.PX.HTG._.PTC.2031" sheetId="200" state="hidden" r:id="rId16"/>
    <sheet name="PV_.PX.NTN._.PTC.2031" sheetId="201" state="hidden" r:id="rId17"/>
    <sheet name="PV_.PX.UTS._.PTC.2031" sheetId="202" state="hidden" r:id="rId18"/>
    <sheet name="GSC.PX.BDG._.___.Frame 2030" sheetId="194" state="hidden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xlnm._FilterDatabase" localSheetId="5" hidden="1">Table3Compare!$A$65:$Y$69</definedName>
    <definedName name="_j1" localSheetId="0" hidden="1">{"PRINT",#N/A,TRUE,"APPA";"PRINT",#N/A,TRUE,"APS";"PRINT",#N/A,TRUE,"BHPL";"PRINT",#N/A,TRUE,"BHPL2";"PRINT",#N/A,TRUE,"CDWR";"PRINT",#N/A,TRUE,"EWEB";"PRINT",#N/A,TRUE,"LADWP";"PRINT",#N/A,TRUE,"NEVBASE"}</definedName>
    <definedName name="_j1" localSheetId="18" hidden="1">{"PRINT",#N/A,TRUE,"APPA";"PRINT",#N/A,TRUE,"APS";"PRINT",#N/A,TRUE,"BHPL";"PRINT",#N/A,TRUE,"BHPL2";"PRINT",#N/A,TRUE,"CDWR";"PRINT",#N/A,TRUE,"EWEB";"PRINT",#N/A,TRUE,"LADWP";"PRINT",#N/A,TRUE,"NEVBASE"}</definedName>
    <definedName name="_j1" localSheetId="14" hidden="1">{"PRINT",#N/A,TRUE,"APPA";"PRINT",#N/A,TRUE,"APS";"PRINT",#N/A,TRUE,"BHPL";"PRINT",#N/A,TRUE,"BHPL2";"PRINT",#N/A,TRUE,"CDWR";"PRINT",#N/A,TRUE,"EWEB";"PRINT",#N/A,TRUE,"LADWP";"PRINT",#N/A,TRUE,"NEVBASE"}</definedName>
    <definedName name="_j1" localSheetId="15" hidden="1">{"PRINT",#N/A,TRUE,"APPA";"PRINT",#N/A,TRUE,"APS";"PRINT",#N/A,TRUE,"BHPL";"PRINT",#N/A,TRUE,"BHPL2";"PRINT",#N/A,TRUE,"CDWR";"PRINT",#N/A,TRUE,"EWEB";"PRINT",#N/A,TRUE,"LADWP";"PRINT",#N/A,TRUE,"NEVBASE"}</definedName>
    <definedName name="_j1" localSheetId="16" hidden="1">{"PRINT",#N/A,TRUE,"APPA";"PRINT",#N/A,TRUE,"APS";"PRINT",#N/A,TRUE,"BHPL";"PRINT",#N/A,TRUE,"BHPL2";"PRINT",#N/A,TRUE,"CDWR";"PRINT",#N/A,TRUE,"EWEB";"PRINT",#N/A,TRUE,"LADWP";"PRINT",#N/A,TRUE,"NEVBASE"}</definedName>
    <definedName name="_j1" localSheetId="17" hidden="1">{"PRINT",#N/A,TRUE,"APPA";"PRINT",#N/A,TRUE,"APS";"PRINT",#N/A,TRUE,"BHPL";"PRINT",#N/A,TRUE,"BHPL2";"PRINT",#N/A,TRUE,"CDWR";"PRINT",#N/A,TRUE,"EWEB";"PRINT",#N/A,TRUE,"LADWP";"PRINT",#N/A,TRUE,"NEVBASE"}</definedName>
    <definedName name="_j1" localSheetId="2" hidden="1">{"PRINT",#N/A,TRUE,"APPA";"PRINT",#N/A,TRUE,"APS";"PRINT",#N/A,TRUE,"BHPL";"PRINT",#N/A,TRUE,"BHPL2";"PRINT",#N/A,TRUE,"CDWR";"PRINT",#N/A,TRUE,"EWEB";"PRINT",#N/A,TRUE,"LADWP";"PRINT",#N/A,TRUE,"NEVBASE"}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7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localSheetId="13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0" hidden="1">{"PRINT",#N/A,TRUE,"APPA";"PRINT",#N/A,TRUE,"APS";"PRINT",#N/A,TRUE,"BHPL";"PRINT",#N/A,TRUE,"BHPL2";"PRINT",#N/A,TRUE,"CDWR";"PRINT",#N/A,TRUE,"EWEB";"PRINT",#N/A,TRUE,"LADWP";"PRINT",#N/A,TRUE,"NEVBASE"}</definedName>
    <definedName name="_j2" localSheetId="18" hidden="1">{"PRINT",#N/A,TRUE,"APPA";"PRINT",#N/A,TRUE,"APS";"PRINT",#N/A,TRUE,"BHPL";"PRINT",#N/A,TRUE,"BHPL2";"PRINT",#N/A,TRUE,"CDWR";"PRINT",#N/A,TRUE,"EWEB";"PRINT",#N/A,TRUE,"LADWP";"PRINT",#N/A,TRUE,"NEVBASE"}</definedName>
    <definedName name="_j2" localSheetId="14" hidden="1">{"PRINT",#N/A,TRUE,"APPA";"PRINT",#N/A,TRUE,"APS";"PRINT",#N/A,TRUE,"BHPL";"PRINT",#N/A,TRUE,"BHPL2";"PRINT",#N/A,TRUE,"CDWR";"PRINT",#N/A,TRUE,"EWEB";"PRINT",#N/A,TRUE,"LADWP";"PRINT",#N/A,TRUE,"NEVBASE"}</definedName>
    <definedName name="_j2" localSheetId="15" hidden="1">{"PRINT",#N/A,TRUE,"APPA";"PRINT",#N/A,TRUE,"APS";"PRINT",#N/A,TRUE,"BHPL";"PRINT",#N/A,TRUE,"BHPL2";"PRINT",#N/A,TRUE,"CDWR";"PRINT",#N/A,TRUE,"EWEB";"PRINT",#N/A,TRUE,"LADWP";"PRINT",#N/A,TRUE,"NEVBASE"}</definedName>
    <definedName name="_j2" localSheetId="16" hidden="1">{"PRINT",#N/A,TRUE,"APPA";"PRINT",#N/A,TRUE,"APS";"PRINT",#N/A,TRUE,"BHPL";"PRINT",#N/A,TRUE,"BHPL2";"PRINT",#N/A,TRUE,"CDWR";"PRINT",#N/A,TRUE,"EWEB";"PRINT",#N/A,TRUE,"LADWP";"PRINT",#N/A,TRUE,"NEVBASE"}</definedName>
    <definedName name="_j2" localSheetId="17" hidden="1">{"PRINT",#N/A,TRUE,"APPA";"PRINT",#N/A,TRUE,"APS";"PRINT",#N/A,TRUE,"BHPL";"PRINT",#N/A,TRUE,"BHPL2";"PRINT",#N/A,TRUE,"CDWR";"PRINT",#N/A,TRUE,"EWEB";"PRINT",#N/A,TRUE,"LADWP";"PRINT",#N/A,TRUE,"NEVBASE"}</definedName>
    <definedName name="_j2" localSheetId="2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7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localSheetId="13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0" hidden="1">{"PRINT",#N/A,TRUE,"APPA";"PRINT",#N/A,TRUE,"APS";"PRINT",#N/A,TRUE,"BHPL";"PRINT",#N/A,TRUE,"BHPL2";"PRINT",#N/A,TRUE,"CDWR";"PRINT",#N/A,TRUE,"EWEB";"PRINT",#N/A,TRUE,"LADWP";"PRINT",#N/A,TRUE,"NEVBASE"}</definedName>
    <definedName name="_j3" localSheetId="18" hidden="1">{"PRINT",#N/A,TRUE,"APPA";"PRINT",#N/A,TRUE,"APS";"PRINT",#N/A,TRUE,"BHPL";"PRINT",#N/A,TRUE,"BHPL2";"PRINT",#N/A,TRUE,"CDWR";"PRINT",#N/A,TRUE,"EWEB";"PRINT",#N/A,TRUE,"LADWP";"PRINT",#N/A,TRUE,"NEVBASE"}</definedName>
    <definedName name="_j3" localSheetId="14" hidden="1">{"PRINT",#N/A,TRUE,"APPA";"PRINT",#N/A,TRUE,"APS";"PRINT",#N/A,TRUE,"BHPL";"PRINT",#N/A,TRUE,"BHPL2";"PRINT",#N/A,TRUE,"CDWR";"PRINT",#N/A,TRUE,"EWEB";"PRINT",#N/A,TRUE,"LADWP";"PRINT",#N/A,TRUE,"NEVBASE"}</definedName>
    <definedName name="_j3" localSheetId="15" hidden="1">{"PRINT",#N/A,TRUE,"APPA";"PRINT",#N/A,TRUE,"APS";"PRINT",#N/A,TRUE,"BHPL";"PRINT",#N/A,TRUE,"BHPL2";"PRINT",#N/A,TRUE,"CDWR";"PRINT",#N/A,TRUE,"EWEB";"PRINT",#N/A,TRUE,"LADWP";"PRINT",#N/A,TRUE,"NEVBASE"}</definedName>
    <definedName name="_j3" localSheetId="16" hidden="1">{"PRINT",#N/A,TRUE,"APPA";"PRINT",#N/A,TRUE,"APS";"PRINT",#N/A,TRUE,"BHPL";"PRINT",#N/A,TRUE,"BHPL2";"PRINT",#N/A,TRUE,"CDWR";"PRINT",#N/A,TRUE,"EWEB";"PRINT",#N/A,TRUE,"LADWP";"PRINT",#N/A,TRUE,"NEVBASE"}</definedName>
    <definedName name="_j3" localSheetId="17" hidden="1">{"PRINT",#N/A,TRUE,"APPA";"PRINT",#N/A,TRUE,"APS";"PRINT",#N/A,TRUE,"BHPL";"PRINT",#N/A,TRUE,"BHPL2";"PRINT",#N/A,TRUE,"CDWR";"PRINT",#N/A,TRUE,"EWEB";"PRINT",#N/A,TRUE,"LADWP";"PRINT",#N/A,TRUE,"NEVBASE"}</definedName>
    <definedName name="_j3" localSheetId="2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7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localSheetId="13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0" hidden="1">{"PRINT",#N/A,TRUE,"APPA";"PRINT",#N/A,TRUE,"APS";"PRINT",#N/A,TRUE,"BHPL";"PRINT",#N/A,TRUE,"BHPL2";"PRINT",#N/A,TRUE,"CDWR";"PRINT",#N/A,TRUE,"EWEB";"PRINT",#N/A,TRUE,"LADWP";"PRINT",#N/A,TRUE,"NEVBASE"}</definedName>
    <definedName name="_j4" localSheetId="18" hidden="1">{"PRINT",#N/A,TRUE,"APPA";"PRINT",#N/A,TRUE,"APS";"PRINT",#N/A,TRUE,"BHPL";"PRINT",#N/A,TRUE,"BHPL2";"PRINT",#N/A,TRUE,"CDWR";"PRINT",#N/A,TRUE,"EWEB";"PRINT",#N/A,TRUE,"LADWP";"PRINT",#N/A,TRUE,"NEVBASE"}</definedName>
    <definedName name="_j4" localSheetId="14" hidden="1">{"PRINT",#N/A,TRUE,"APPA";"PRINT",#N/A,TRUE,"APS";"PRINT",#N/A,TRUE,"BHPL";"PRINT",#N/A,TRUE,"BHPL2";"PRINT",#N/A,TRUE,"CDWR";"PRINT",#N/A,TRUE,"EWEB";"PRINT",#N/A,TRUE,"LADWP";"PRINT",#N/A,TRUE,"NEVBASE"}</definedName>
    <definedName name="_j4" localSheetId="15" hidden="1">{"PRINT",#N/A,TRUE,"APPA";"PRINT",#N/A,TRUE,"APS";"PRINT",#N/A,TRUE,"BHPL";"PRINT",#N/A,TRUE,"BHPL2";"PRINT",#N/A,TRUE,"CDWR";"PRINT",#N/A,TRUE,"EWEB";"PRINT",#N/A,TRUE,"LADWP";"PRINT",#N/A,TRUE,"NEVBASE"}</definedName>
    <definedName name="_j4" localSheetId="16" hidden="1">{"PRINT",#N/A,TRUE,"APPA";"PRINT",#N/A,TRUE,"APS";"PRINT",#N/A,TRUE,"BHPL";"PRINT",#N/A,TRUE,"BHPL2";"PRINT",#N/A,TRUE,"CDWR";"PRINT",#N/A,TRUE,"EWEB";"PRINT",#N/A,TRUE,"LADWP";"PRINT",#N/A,TRUE,"NEVBASE"}</definedName>
    <definedName name="_j4" localSheetId="17" hidden="1">{"PRINT",#N/A,TRUE,"APPA";"PRINT",#N/A,TRUE,"APS";"PRINT",#N/A,TRUE,"BHPL";"PRINT",#N/A,TRUE,"BHPL2";"PRINT",#N/A,TRUE,"CDWR";"PRINT",#N/A,TRUE,"EWEB";"PRINT",#N/A,TRUE,"LADWP";"PRINT",#N/A,TRUE,"NEVBASE"}</definedName>
    <definedName name="_j4" localSheetId="2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7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localSheetId="13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0" hidden="1">{"PRINT",#N/A,TRUE,"APPA";"PRINT",#N/A,TRUE,"APS";"PRINT",#N/A,TRUE,"BHPL";"PRINT",#N/A,TRUE,"BHPL2";"PRINT",#N/A,TRUE,"CDWR";"PRINT",#N/A,TRUE,"EWEB";"PRINT",#N/A,TRUE,"LADWP";"PRINT",#N/A,TRUE,"NEVBASE"}</definedName>
    <definedName name="_j5" localSheetId="18" hidden="1">{"PRINT",#N/A,TRUE,"APPA";"PRINT",#N/A,TRUE,"APS";"PRINT",#N/A,TRUE,"BHPL";"PRINT",#N/A,TRUE,"BHPL2";"PRINT",#N/A,TRUE,"CDWR";"PRINT",#N/A,TRUE,"EWEB";"PRINT",#N/A,TRUE,"LADWP";"PRINT",#N/A,TRUE,"NEVBASE"}</definedName>
    <definedName name="_j5" localSheetId="14" hidden="1">{"PRINT",#N/A,TRUE,"APPA";"PRINT",#N/A,TRUE,"APS";"PRINT",#N/A,TRUE,"BHPL";"PRINT",#N/A,TRUE,"BHPL2";"PRINT",#N/A,TRUE,"CDWR";"PRINT",#N/A,TRUE,"EWEB";"PRINT",#N/A,TRUE,"LADWP";"PRINT",#N/A,TRUE,"NEVBASE"}</definedName>
    <definedName name="_j5" localSheetId="15" hidden="1">{"PRINT",#N/A,TRUE,"APPA";"PRINT",#N/A,TRUE,"APS";"PRINT",#N/A,TRUE,"BHPL";"PRINT",#N/A,TRUE,"BHPL2";"PRINT",#N/A,TRUE,"CDWR";"PRINT",#N/A,TRUE,"EWEB";"PRINT",#N/A,TRUE,"LADWP";"PRINT",#N/A,TRUE,"NEVBASE"}</definedName>
    <definedName name="_j5" localSheetId="16" hidden="1">{"PRINT",#N/A,TRUE,"APPA";"PRINT",#N/A,TRUE,"APS";"PRINT",#N/A,TRUE,"BHPL";"PRINT",#N/A,TRUE,"BHPL2";"PRINT",#N/A,TRUE,"CDWR";"PRINT",#N/A,TRUE,"EWEB";"PRINT",#N/A,TRUE,"LADWP";"PRINT",#N/A,TRUE,"NEVBASE"}</definedName>
    <definedName name="_j5" localSheetId="17" hidden="1">{"PRINT",#N/A,TRUE,"APPA";"PRINT",#N/A,TRUE,"APS";"PRINT",#N/A,TRUE,"BHPL";"PRINT",#N/A,TRUE,"BHPL2";"PRINT",#N/A,TRUE,"CDWR";"PRINT",#N/A,TRUE,"EWEB";"PRINT",#N/A,TRUE,"LADWP";"PRINT",#N/A,TRUE,"NEVBASE"}</definedName>
    <definedName name="_j5" localSheetId="2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7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localSheetId="13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 localSheetId="0">'[1]Table 1'!$I$43</definedName>
    <definedName name="Discount_Rate">'Table 1'!$I$43</definedName>
    <definedName name="Inflation" localSheetId="0">'[1]Table 1'!$J$45</definedName>
    <definedName name="Inflation">'Table 1'!$J$45</definedName>
    <definedName name="IRP23_Infl_Rate" localSheetId="0">'[1]Table 1'!$K$47</definedName>
    <definedName name="OATT">#REF!</definedName>
    <definedName name="_xlnm.Print_Area" localSheetId="14">'PV_.PX.BDG._.PTC.2031'!$A$1:$P$78</definedName>
    <definedName name="_xlnm.Print_Area" localSheetId="15">'PV_.PX.HTG._.PTC.2031'!$A$1:$O$61</definedName>
    <definedName name="_xlnm.Print_Area" localSheetId="16">'PV_.PX.NTN._.PTC.2031'!$A$1:$O$61</definedName>
    <definedName name="_xlnm.Print_Area" localSheetId="17">'PV_.PX.UTS._.PTC.2031'!$A$1:$P$61</definedName>
    <definedName name="_xlnm.Print_Area" localSheetId="1">'Table 1'!$A$1:$H$61</definedName>
    <definedName name="_xlnm.Print_Area" localSheetId="11">'Table 3 WD_.PX.DJW._.PTC.2029'!$A$1:$L$77</definedName>
    <definedName name="_xlnm.Print_Area" localSheetId="4">'Table 5'!$A$1:$H$276</definedName>
    <definedName name="Real_Discount_Rate" localSheetId="0">'[1]Table 1'!$J$47</definedName>
    <definedName name="Real_Discount_Rate">'Table 1'!$J$47</definedName>
    <definedName name="RenewableMarketShape">#REF!</definedName>
    <definedName name="RevenueSum">"GRID Thermal Revenue!R2C1:R4C2"</definedName>
    <definedName name="Study_CF" localSheetId="0">'[1]Table 5'!$M$8</definedName>
    <definedName name="Study_CF">'Table 5'!$M$8</definedName>
    <definedName name="Study_MW" localSheetId="0">'[1]Table 5'!$M$6</definedName>
    <definedName name="Study_MW">'Table 5'!$M$6</definedName>
    <definedName name="TransCapRecovFct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8" i="204" l="1"/>
  <c r="K30" i="204"/>
  <c r="J30" i="204"/>
  <c r="I30" i="204"/>
  <c r="H30" i="204"/>
  <c r="Q30" i="204" s="1"/>
  <c r="Q31" i="204" s="1"/>
  <c r="G30" i="204"/>
  <c r="P30" i="204" s="1"/>
  <c r="P31" i="204" s="1"/>
  <c r="F30" i="204"/>
  <c r="O30" i="204" s="1"/>
  <c r="O31" i="204" s="1"/>
  <c r="D30" i="204"/>
  <c r="M30" i="204" s="1"/>
  <c r="M31" i="204" s="1"/>
  <c r="M28" i="204"/>
  <c r="M29" i="204" s="1"/>
  <c r="K28" i="204"/>
  <c r="J28" i="204"/>
  <c r="P28" i="204" s="1"/>
  <c r="P29" i="204" s="1"/>
  <c r="I28" i="204"/>
  <c r="H28" i="204"/>
  <c r="G28" i="204"/>
  <c r="F28" i="204"/>
  <c r="D28" i="204"/>
  <c r="K10" i="204"/>
  <c r="J10" i="204"/>
  <c r="I10" i="204"/>
  <c r="H10" i="204"/>
  <c r="Q10" i="204" s="1"/>
  <c r="B10" i="204"/>
  <c r="G10" i="204" s="1"/>
  <c r="P10" i="204" s="1"/>
  <c r="M9" i="204"/>
  <c r="K9" i="204"/>
  <c r="J9" i="204"/>
  <c r="P9" i="204" s="1"/>
  <c r="I9" i="204"/>
  <c r="O9" i="204" s="1"/>
  <c r="H9" i="204"/>
  <c r="G9" i="204"/>
  <c r="F9" i="204"/>
  <c r="D9" i="204"/>
  <c r="J6" i="204"/>
  <c r="K6" i="204" s="1"/>
  <c r="H6" i="204"/>
  <c r="G6" i="204"/>
  <c r="E6" i="204"/>
  <c r="D6" i="204"/>
  <c r="E142" i="167"/>
  <c r="B3" i="203"/>
  <c r="J76" i="203"/>
  <c r="H73" i="203"/>
  <c r="H72" i="203"/>
  <c r="H71" i="203"/>
  <c r="H70" i="203"/>
  <c r="H69" i="203"/>
  <c r="H68" i="203"/>
  <c r="H67" i="203"/>
  <c r="H66" i="203"/>
  <c r="H65" i="203"/>
  <c r="H64" i="203"/>
  <c r="D53" i="203"/>
  <c r="D56" i="203"/>
  <c r="C56" i="203"/>
  <c r="D55" i="203"/>
  <c r="C55" i="203"/>
  <c r="C54" i="203"/>
  <c r="C53" i="203"/>
  <c r="C52" i="203"/>
  <c r="B10" i="203"/>
  <c r="B11" i="203" s="1"/>
  <c r="B12" i="203" s="1"/>
  <c r="E9" i="203"/>
  <c r="C9" i="203"/>
  <c r="B2" i="203"/>
  <c r="B58" i="202"/>
  <c r="O28" i="204" l="1"/>
  <c r="O29" i="204" s="1"/>
  <c r="Q9" i="204"/>
  <c r="Q28" i="204"/>
  <c r="Q29" i="204" s="1"/>
  <c r="B11" i="204"/>
  <c r="D10" i="204"/>
  <c r="M10" i="204" s="1"/>
  <c r="F10" i="204"/>
  <c r="O10" i="204" s="1"/>
  <c r="D54" i="203"/>
  <c r="B13" i="203"/>
  <c r="B14" i="203" s="1"/>
  <c r="B15" i="203" s="1"/>
  <c r="B16" i="203" s="1"/>
  <c r="B17" i="203" s="1"/>
  <c r="B18" i="203" s="1"/>
  <c r="B19" i="203" s="1"/>
  <c r="B20" i="203" s="1"/>
  <c r="B21" i="203" s="1"/>
  <c r="E20" i="203" a="1"/>
  <c r="E20" i="203" s="1"/>
  <c r="E19" i="203" a="1"/>
  <c r="E19" i="203" s="1"/>
  <c r="E11" i="203" a="1"/>
  <c r="E11" i="203" s="1"/>
  <c r="E16" i="203" a="1"/>
  <c r="E16" i="203" s="1"/>
  <c r="E12" i="203" a="1"/>
  <c r="E12" i="203" s="1"/>
  <c r="E18" i="203" a="1"/>
  <c r="E18" i="203" s="1"/>
  <c r="E15" i="203" a="1"/>
  <c r="E15" i="203" s="1"/>
  <c r="E14" i="203" a="1"/>
  <c r="E14" i="203" s="1"/>
  <c r="E13" i="203" a="1"/>
  <c r="E13" i="203" s="1"/>
  <c r="E17" i="203" a="1"/>
  <c r="E17" i="203" s="1"/>
  <c r="E10" i="203" a="1"/>
  <c r="E10" i="203" s="1"/>
  <c r="B58" i="199"/>
  <c r="I473" i="167"/>
  <c r="I480" i="167"/>
  <c r="I475" i="167"/>
  <c r="I472" i="167"/>
  <c r="D58" i="202" s="1"/>
  <c r="I469" i="167"/>
  <c r="I466" i="167"/>
  <c r="I474" i="167"/>
  <c r="I467" i="167"/>
  <c r="I478" i="167"/>
  <c r="I468" i="167"/>
  <c r="I470" i="167"/>
  <c r="I479" i="167"/>
  <c r="I471" i="167"/>
  <c r="I476" i="167"/>
  <c r="I477" i="167"/>
  <c r="G11" i="204" l="1"/>
  <c r="H11" i="204"/>
  <c r="F11" i="204"/>
  <c r="K11" i="204"/>
  <c r="J11" i="204"/>
  <c r="D11" i="204"/>
  <c r="I11" i="204"/>
  <c r="B12" i="204"/>
  <c r="B22" i="203"/>
  <c r="E21" i="203" a="1"/>
  <c r="E21" i="203" s="1"/>
  <c r="FE33" i="25"/>
  <c r="ET33" i="25"/>
  <c r="ES33" i="25"/>
  <c r="ER33" i="25"/>
  <c r="EQ33" i="25"/>
  <c r="EP33" i="25"/>
  <c r="EO33" i="25"/>
  <c r="EN33" i="25"/>
  <c r="EM33" i="25"/>
  <c r="EL33" i="25"/>
  <c r="EK33" i="25"/>
  <c r="EJ33" i="25"/>
  <c r="EI33" i="25"/>
  <c r="EH33" i="25"/>
  <c r="EG33" i="25"/>
  <c r="EF33" i="25"/>
  <c r="EE33" i="25"/>
  <c r="ED33" i="25"/>
  <c r="EC33" i="25"/>
  <c r="EB33" i="25"/>
  <c r="P11" i="204" l="1"/>
  <c r="G12" i="204"/>
  <c r="I12" i="204"/>
  <c r="F12" i="204"/>
  <c r="J12" i="204"/>
  <c r="D12" i="204"/>
  <c r="M12" i="204" s="1"/>
  <c r="H12" i="204"/>
  <c r="B13" i="204"/>
  <c r="K12" i="204"/>
  <c r="O11" i="204"/>
  <c r="M11" i="204"/>
  <c r="Q11" i="204"/>
  <c r="B23" i="203"/>
  <c r="E22" i="203" a="1"/>
  <c r="E22" i="203" s="1"/>
  <c r="I73" i="202"/>
  <c r="I72" i="202"/>
  <c r="I71" i="202"/>
  <c r="I70" i="202"/>
  <c r="I69" i="202"/>
  <c r="I68" i="202"/>
  <c r="I67" i="202"/>
  <c r="I66" i="202"/>
  <c r="I65" i="202"/>
  <c r="I64" i="202"/>
  <c r="B15" i="201"/>
  <c r="B16" i="201"/>
  <c r="B17" i="201" s="1"/>
  <c r="B18" i="201" s="1"/>
  <c r="B19" i="201" s="1"/>
  <c r="B20" i="201" s="1"/>
  <c r="B21" i="201" s="1"/>
  <c r="B22" i="201" s="1"/>
  <c r="B23" i="201" s="1"/>
  <c r="B24" i="201" s="1"/>
  <c r="B25" i="201" s="1"/>
  <c r="B26" i="201" s="1"/>
  <c r="B27" i="201" s="1"/>
  <c r="B28" i="201" s="1"/>
  <c r="B29" i="201" s="1"/>
  <c r="B30" i="201" s="1"/>
  <c r="B31" i="201" s="1"/>
  <c r="B32" i="201" s="1"/>
  <c r="B33" i="201" s="1"/>
  <c r="B34" i="201" s="1"/>
  <c r="B35" i="201" s="1"/>
  <c r="B36" i="201" s="1"/>
  <c r="B37" i="201" s="1"/>
  <c r="B38" i="201" s="1"/>
  <c r="B39" i="201" s="1"/>
  <c r="B40" i="201" s="1"/>
  <c r="B41" i="201" s="1"/>
  <c r="B42" i="201" s="1"/>
  <c r="B43" i="201" s="1"/>
  <c r="B44" i="201" s="1"/>
  <c r="B45" i="201" s="1"/>
  <c r="B46" i="201" s="1"/>
  <c r="H73" i="201"/>
  <c r="H72" i="201"/>
  <c r="H71" i="201"/>
  <c r="H70" i="201"/>
  <c r="H69" i="201"/>
  <c r="H68" i="201"/>
  <c r="H67" i="201"/>
  <c r="H66" i="201"/>
  <c r="H65" i="201"/>
  <c r="H64" i="201"/>
  <c r="O12" i="204" l="1"/>
  <c r="G13" i="204"/>
  <c r="F13" i="204"/>
  <c r="D13" i="204"/>
  <c r="K13" i="204"/>
  <c r="J13" i="204"/>
  <c r="I13" i="204"/>
  <c r="H13" i="204"/>
  <c r="B14" i="204"/>
  <c r="Q12" i="204"/>
  <c r="P12" i="204"/>
  <c r="B24" i="203"/>
  <c r="E23" i="203" a="1"/>
  <c r="E23" i="203" s="1"/>
  <c r="H73" i="200"/>
  <c r="H72" i="200"/>
  <c r="H71" i="200"/>
  <c r="H70" i="200"/>
  <c r="H69" i="200"/>
  <c r="H68" i="200"/>
  <c r="H67" i="200"/>
  <c r="H66" i="200"/>
  <c r="H65" i="200"/>
  <c r="H64" i="200"/>
  <c r="H73" i="199"/>
  <c r="H72" i="199"/>
  <c r="H71" i="199"/>
  <c r="H70" i="199"/>
  <c r="H69" i="199"/>
  <c r="H68" i="199"/>
  <c r="H67" i="199"/>
  <c r="H66" i="199"/>
  <c r="H65" i="199"/>
  <c r="H64" i="199"/>
  <c r="H73" i="198"/>
  <c r="H72" i="198"/>
  <c r="H71" i="198"/>
  <c r="H70" i="198"/>
  <c r="H69" i="198"/>
  <c r="H68" i="198"/>
  <c r="H67" i="198"/>
  <c r="H66" i="198"/>
  <c r="H65" i="198"/>
  <c r="H64" i="198"/>
  <c r="H73" i="197"/>
  <c r="H72" i="197"/>
  <c r="H71" i="197"/>
  <c r="H70" i="197"/>
  <c r="H69" i="197"/>
  <c r="H68" i="197"/>
  <c r="H67" i="197"/>
  <c r="H66" i="197"/>
  <c r="H65" i="197"/>
  <c r="H64" i="197"/>
  <c r="P13" i="204" l="1"/>
  <c r="M13" i="204"/>
  <c r="Q13" i="204"/>
  <c r="G14" i="204"/>
  <c r="K14" i="204"/>
  <c r="F14" i="204"/>
  <c r="I14" i="204"/>
  <c r="D14" i="204"/>
  <c r="B15" i="204"/>
  <c r="J14" i="204"/>
  <c r="H14" i="204"/>
  <c r="O13" i="204"/>
  <c r="B25" i="203"/>
  <c r="E24" i="203" a="1"/>
  <c r="E24" i="203" s="1"/>
  <c r="H73" i="176"/>
  <c r="H72" i="176"/>
  <c r="H71" i="176"/>
  <c r="H70" i="176"/>
  <c r="H69" i="176"/>
  <c r="H68" i="176"/>
  <c r="H67" i="176"/>
  <c r="H66" i="176"/>
  <c r="H65" i="176"/>
  <c r="H64" i="176"/>
  <c r="H73" i="196"/>
  <c r="H72" i="196"/>
  <c r="H71" i="196"/>
  <c r="H70" i="196"/>
  <c r="H69" i="196"/>
  <c r="H68" i="196"/>
  <c r="H67" i="196"/>
  <c r="H66" i="196"/>
  <c r="H65" i="196"/>
  <c r="H64" i="196"/>
  <c r="H73" i="195"/>
  <c r="H72" i="195"/>
  <c r="H71" i="195"/>
  <c r="H70" i="195"/>
  <c r="H69" i="195"/>
  <c r="H68" i="195"/>
  <c r="H67" i="195"/>
  <c r="H66" i="195"/>
  <c r="H65" i="195"/>
  <c r="H64" i="195"/>
  <c r="M14" i="204" l="1"/>
  <c r="Q14" i="204"/>
  <c r="O14" i="204"/>
  <c r="G15" i="204"/>
  <c r="H15" i="204"/>
  <c r="F15" i="204"/>
  <c r="J15" i="204"/>
  <c r="D15" i="204"/>
  <c r="M15" i="204" s="1"/>
  <c r="B16" i="204"/>
  <c r="K15" i="204"/>
  <c r="I15" i="204"/>
  <c r="P14" i="204"/>
  <c r="B26" i="203"/>
  <c r="E25" i="203" a="1"/>
  <c r="E25" i="203" s="1"/>
  <c r="S361" i="167"/>
  <c r="S360" i="167"/>
  <c r="S359" i="167"/>
  <c r="S358" i="167"/>
  <c r="S357" i="167"/>
  <c r="S356" i="167"/>
  <c r="S355" i="167"/>
  <c r="S354" i="167"/>
  <c r="S353" i="167"/>
  <c r="S352" i="167"/>
  <c r="S351" i="167"/>
  <c r="S350" i="167"/>
  <c r="S349" i="167"/>
  <c r="S348" i="167"/>
  <c r="S347" i="167"/>
  <c r="S346" i="167"/>
  <c r="S345" i="167"/>
  <c r="S344" i="167"/>
  <c r="S343" i="167"/>
  <c r="S342" i="167"/>
  <c r="S341" i="167"/>
  <c r="G16" i="204" l="1"/>
  <c r="J16" i="204"/>
  <c r="I16" i="204"/>
  <c r="F16" i="204"/>
  <c r="D16" i="204"/>
  <c r="K16" i="204"/>
  <c r="H16" i="204"/>
  <c r="Q16" i="204" s="1"/>
  <c r="B17" i="204"/>
  <c r="O15" i="204"/>
  <c r="Q15" i="204"/>
  <c r="P15" i="204"/>
  <c r="I66" i="203"/>
  <c r="I73" i="203"/>
  <c r="I65" i="203"/>
  <c r="I72" i="203"/>
  <c r="I64" i="203"/>
  <c r="I70" i="203"/>
  <c r="I67" i="203"/>
  <c r="I69" i="203"/>
  <c r="I71" i="203"/>
  <c r="I68" i="203"/>
  <c r="B27" i="203"/>
  <c r="E26" i="203" a="1"/>
  <c r="E26" i="203" s="1"/>
  <c r="J69" i="202"/>
  <c r="I65" i="201"/>
  <c r="J65" i="202"/>
  <c r="I68" i="201"/>
  <c r="J73" i="202"/>
  <c r="I71" i="200"/>
  <c r="I23" i="200" s="1"/>
  <c r="I66" i="176"/>
  <c r="I67" i="201"/>
  <c r="I69" i="200"/>
  <c r="I21" i="200" s="1"/>
  <c r="I67" i="176"/>
  <c r="I70" i="176"/>
  <c r="I71" i="197"/>
  <c r="I64" i="176"/>
  <c r="I69" i="201"/>
  <c r="I69" i="199"/>
  <c r="I65" i="176"/>
  <c r="I71" i="176"/>
  <c r="J64" i="202"/>
  <c r="I68" i="176"/>
  <c r="I69" i="176"/>
  <c r="I70" i="197"/>
  <c r="I71" i="198"/>
  <c r="I71" i="201"/>
  <c r="I64" i="199"/>
  <c r="I73" i="200"/>
  <c r="I25" i="200" s="1"/>
  <c r="I72" i="201"/>
  <c r="I73" i="176"/>
  <c r="I70" i="201"/>
  <c r="I72" i="176"/>
  <c r="J66" i="202"/>
  <c r="I66" i="201"/>
  <c r="J67" i="202"/>
  <c r="I73" i="201"/>
  <c r="J68" i="202"/>
  <c r="J70" i="202"/>
  <c r="J72" i="202"/>
  <c r="I64" i="201"/>
  <c r="I72" i="200"/>
  <c r="I24" i="200" s="1"/>
  <c r="I71" i="199"/>
  <c r="J71" i="202"/>
  <c r="I69" i="198"/>
  <c r="I72" i="198"/>
  <c r="I66" i="198"/>
  <c r="I70" i="200"/>
  <c r="I22" i="200" s="1"/>
  <c r="I69" i="197"/>
  <c r="I73" i="198"/>
  <c r="I67" i="197"/>
  <c r="I72" i="199"/>
  <c r="I67" i="199"/>
  <c r="I68" i="199"/>
  <c r="I70" i="198"/>
  <c r="I65" i="200"/>
  <c r="I17" i="200" s="1"/>
  <c r="I68" i="197"/>
  <c r="I67" i="198"/>
  <c r="I64" i="197"/>
  <c r="I68" i="198"/>
  <c r="I72" i="197"/>
  <c r="I65" i="198"/>
  <c r="I67" i="200"/>
  <c r="I19" i="200" s="1"/>
  <c r="I65" i="197"/>
  <c r="I66" i="199"/>
  <c r="I64" i="198"/>
  <c r="I65" i="199"/>
  <c r="I73" i="199"/>
  <c r="I66" i="197"/>
  <c r="I73" i="197"/>
  <c r="I68" i="200"/>
  <c r="I20" i="200" s="1"/>
  <c r="I66" i="200"/>
  <c r="I18" i="200" s="1"/>
  <c r="I70" i="199"/>
  <c r="I64" i="200"/>
  <c r="I16" i="200" s="1"/>
  <c r="I64" i="195"/>
  <c r="I72" i="195"/>
  <c r="I73" i="196"/>
  <c r="I68" i="196"/>
  <c r="I67" i="195"/>
  <c r="I71" i="196"/>
  <c r="I69" i="195"/>
  <c r="I72" i="196"/>
  <c r="I68" i="195"/>
  <c r="I69" i="196"/>
  <c r="I64" i="196"/>
  <c r="I65" i="196"/>
  <c r="I71" i="195"/>
  <c r="I70" i="196"/>
  <c r="I73" i="195"/>
  <c r="I66" i="196"/>
  <c r="I66" i="195"/>
  <c r="I65" i="195"/>
  <c r="I67" i="196"/>
  <c r="I70" i="195"/>
  <c r="H66" i="139"/>
  <c r="I66" i="139" s="1"/>
  <c r="J66" i="139" s="1"/>
  <c r="H67" i="139"/>
  <c r="I67" i="139" s="1"/>
  <c r="J67" i="139" s="1"/>
  <c r="H68" i="139"/>
  <c r="I68" i="139" s="1"/>
  <c r="J68" i="139" s="1"/>
  <c r="H69" i="139"/>
  <c r="I69" i="139" s="1"/>
  <c r="J69" i="139" s="1"/>
  <c r="H70" i="139"/>
  <c r="I70" i="139" s="1"/>
  <c r="J70" i="139" s="1"/>
  <c r="H71" i="139"/>
  <c r="I71" i="139" s="1"/>
  <c r="J71" i="139" s="1"/>
  <c r="H72" i="139"/>
  <c r="I72" i="139" s="1"/>
  <c r="J72" i="139" s="1"/>
  <c r="H73" i="139"/>
  <c r="I73" i="139" s="1"/>
  <c r="J73" i="139" s="1"/>
  <c r="H65" i="139"/>
  <c r="I65" i="139" s="1"/>
  <c r="J65" i="139" s="1"/>
  <c r="H64" i="139"/>
  <c r="I64" i="139" s="1"/>
  <c r="O16" i="204" l="1"/>
  <c r="G17" i="204"/>
  <c r="F17" i="204"/>
  <c r="D17" i="204"/>
  <c r="K17" i="204"/>
  <c r="J17" i="204"/>
  <c r="I17" i="204"/>
  <c r="B18" i="204"/>
  <c r="H17" i="204"/>
  <c r="Q17" i="204" s="1"/>
  <c r="M16" i="204"/>
  <c r="P16" i="204"/>
  <c r="I18" i="203"/>
  <c r="J68" i="203"/>
  <c r="I21" i="203"/>
  <c r="J71" i="203"/>
  <c r="I19" i="203"/>
  <c r="J69" i="203"/>
  <c r="I17" i="203"/>
  <c r="J67" i="203"/>
  <c r="I20" i="203"/>
  <c r="J70" i="203"/>
  <c r="J64" i="203"/>
  <c r="I14" i="203"/>
  <c r="J72" i="203"/>
  <c r="I22" i="203"/>
  <c r="I15" i="203"/>
  <c r="J65" i="203"/>
  <c r="J73" i="203"/>
  <c r="I23" i="203"/>
  <c r="J66" i="203"/>
  <c r="I16" i="203"/>
  <c r="B28" i="203"/>
  <c r="E27" i="203" a="1"/>
  <c r="E27" i="203" s="1"/>
  <c r="K67" i="202"/>
  <c r="J19" i="202"/>
  <c r="I15" i="176"/>
  <c r="J65" i="176"/>
  <c r="J69" i="196"/>
  <c r="I21" i="196"/>
  <c r="J67" i="197"/>
  <c r="I18" i="197"/>
  <c r="J69" i="199"/>
  <c r="I21" i="199"/>
  <c r="J73" i="199"/>
  <c r="I25" i="199"/>
  <c r="J68" i="195"/>
  <c r="I19" i="195"/>
  <c r="J66" i="201"/>
  <c r="I18" i="201"/>
  <c r="I24" i="196"/>
  <c r="J72" i="196"/>
  <c r="J64" i="198"/>
  <c r="I16" i="198"/>
  <c r="J73" i="198"/>
  <c r="I25" i="198"/>
  <c r="K66" i="202"/>
  <c r="J18" i="202"/>
  <c r="J69" i="201"/>
  <c r="I21" i="201"/>
  <c r="I14" i="176"/>
  <c r="J64" i="176"/>
  <c r="I22" i="176"/>
  <c r="J72" i="176"/>
  <c r="J71" i="196"/>
  <c r="I23" i="196"/>
  <c r="J65" i="197"/>
  <c r="I16" i="197"/>
  <c r="J70" i="201"/>
  <c r="I22" i="201"/>
  <c r="J71" i="197"/>
  <c r="I22" i="197"/>
  <c r="J66" i="199"/>
  <c r="I18" i="199"/>
  <c r="J69" i="197"/>
  <c r="I20" i="197"/>
  <c r="J66" i="198"/>
  <c r="I18" i="198"/>
  <c r="I23" i="176"/>
  <c r="J73" i="176"/>
  <c r="I20" i="176"/>
  <c r="J70" i="176"/>
  <c r="J65" i="199"/>
  <c r="I17" i="199"/>
  <c r="J69" i="195"/>
  <c r="I20" i="195"/>
  <c r="J67" i="195"/>
  <c r="I18" i="195"/>
  <c r="J70" i="195"/>
  <c r="I21" i="195"/>
  <c r="J68" i="196"/>
  <c r="I20" i="196"/>
  <c r="J65" i="198"/>
  <c r="I17" i="198"/>
  <c r="J72" i="198"/>
  <c r="I24" i="198"/>
  <c r="J72" i="201"/>
  <c r="I24" i="201"/>
  <c r="I17" i="176"/>
  <c r="J67" i="176"/>
  <c r="J67" i="196"/>
  <c r="I19" i="196"/>
  <c r="J69" i="198"/>
  <c r="I21" i="198"/>
  <c r="J67" i="201"/>
  <c r="I19" i="201"/>
  <c r="K71" i="202"/>
  <c r="J23" i="202"/>
  <c r="J64" i="199"/>
  <c r="I16" i="199"/>
  <c r="J66" i="195"/>
  <c r="I17" i="195"/>
  <c r="J64" i="197"/>
  <c r="I15" i="197"/>
  <c r="J71" i="199"/>
  <c r="I23" i="199"/>
  <c r="J71" i="201"/>
  <c r="I23" i="201"/>
  <c r="I16" i="176"/>
  <c r="J66" i="176"/>
  <c r="J72" i="199"/>
  <c r="I24" i="199"/>
  <c r="J67" i="198"/>
  <c r="I19" i="198"/>
  <c r="J71" i="198"/>
  <c r="I23" i="198"/>
  <c r="J66" i="196"/>
  <c r="I18" i="196"/>
  <c r="I24" i="195"/>
  <c r="J73" i="195"/>
  <c r="J70" i="199"/>
  <c r="I22" i="199"/>
  <c r="I19" i="197"/>
  <c r="J68" i="197"/>
  <c r="J64" i="201"/>
  <c r="I16" i="201"/>
  <c r="J70" i="197"/>
  <c r="I21" i="197"/>
  <c r="K73" i="202"/>
  <c r="J25" i="202"/>
  <c r="J64" i="196"/>
  <c r="I16" i="196"/>
  <c r="J68" i="198"/>
  <c r="I20" i="198"/>
  <c r="J70" i="196"/>
  <c r="I22" i="196"/>
  <c r="K72" i="202"/>
  <c r="J24" i="202"/>
  <c r="I19" i="176"/>
  <c r="J69" i="176"/>
  <c r="J68" i="201"/>
  <c r="I20" i="201"/>
  <c r="J66" i="197"/>
  <c r="I17" i="197"/>
  <c r="J72" i="197"/>
  <c r="I23" i="197"/>
  <c r="J72" i="195"/>
  <c r="I23" i="195"/>
  <c r="J64" i="195"/>
  <c r="I15" i="195"/>
  <c r="J71" i="195"/>
  <c r="I22" i="195"/>
  <c r="K70" i="202"/>
  <c r="J22" i="202"/>
  <c r="I18" i="176"/>
  <c r="J68" i="176"/>
  <c r="K65" i="202"/>
  <c r="J17" i="202"/>
  <c r="J73" i="196"/>
  <c r="I25" i="196"/>
  <c r="J65" i="195"/>
  <c r="I16" i="195"/>
  <c r="J70" i="198"/>
  <c r="I22" i="198"/>
  <c r="J65" i="196"/>
  <c r="I17" i="196"/>
  <c r="I24" i="197"/>
  <c r="J73" i="197"/>
  <c r="J68" i="199"/>
  <c r="I20" i="199"/>
  <c r="K68" i="202"/>
  <c r="J20" i="202"/>
  <c r="K64" i="202"/>
  <c r="J16" i="202"/>
  <c r="J65" i="201"/>
  <c r="I17" i="201"/>
  <c r="J67" i="199"/>
  <c r="I19" i="199"/>
  <c r="J73" i="201"/>
  <c r="I25" i="201"/>
  <c r="I21" i="176"/>
  <c r="J71" i="176"/>
  <c r="K69" i="202"/>
  <c r="J21" i="202"/>
  <c r="I14" i="139"/>
  <c r="J64" i="139"/>
  <c r="O17" i="204" l="1"/>
  <c r="P17" i="204"/>
  <c r="M17" i="204"/>
  <c r="G18" i="204"/>
  <c r="H18" i="204"/>
  <c r="F18" i="204"/>
  <c r="K18" i="204"/>
  <c r="J18" i="204"/>
  <c r="I18" i="204"/>
  <c r="D18" i="204"/>
  <c r="B19" i="204"/>
  <c r="B29" i="203"/>
  <c r="E28" i="203" a="1"/>
  <c r="E28" i="203" s="1"/>
  <c r="FE20" i="25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AU9" i="25"/>
  <c r="AT9" i="25"/>
  <c r="AS9" i="25"/>
  <c r="AR9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Y9" i="25"/>
  <c r="X9" i="25"/>
  <c r="W9" i="25"/>
  <c r="V9" i="25"/>
  <c r="U9" i="25"/>
  <c r="T9" i="25"/>
  <c r="S9" i="25"/>
  <c r="R9" i="25"/>
  <c r="Q9" i="25"/>
  <c r="AU8" i="25"/>
  <c r="AT8" i="25"/>
  <c r="AS8" i="25"/>
  <c r="AR8" i="25"/>
  <c r="AQ8" i="25"/>
  <c r="AP8" i="25"/>
  <c r="AO8" i="25"/>
  <c r="AN8" i="25"/>
  <c r="AM8" i="25"/>
  <c r="AL8" i="25"/>
  <c r="AK8" i="25"/>
  <c r="AJ8" i="25"/>
  <c r="AI8" i="25"/>
  <c r="AH8" i="25"/>
  <c r="AG8" i="25"/>
  <c r="AF8" i="25"/>
  <c r="AE8" i="25"/>
  <c r="AD8" i="25"/>
  <c r="AC8" i="25"/>
  <c r="AB8" i="25"/>
  <c r="AA8" i="25"/>
  <c r="Z8" i="25"/>
  <c r="Y8" i="25"/>
  <c r="X8" i="25"/>
  <c r="W8" i="25"/>
  <c r="V8" i="25"/>
  <c r="U8" i="25"/>
  <c r="T8" i="25"/>
  <c r="S8" i="25"/>
  <c r="R8" i="25"/>
  <c r="Q8" i="25"/>
  <c r="AU7" i="25"/>
  <c r="AT7" i="25"/>
  <c r="AS7" i="25"/>
  <c r="AR7" i="25"/>
  <c r="AQ7" i="25"/>
  <c r="AP7" i="25"/>
  <c r="AO7" i="25"/>
  <c r="AN7" i="25"/>
  <c r="AM7" i="25"/>
  <c r="AL7" i="25"/>
  <c r="AK7" i="25"/>
  <c r="AJ7" i="25"/>
  <c r="AI7" i="25"/>
  <c r="AH7" i="25"/>
  <c r="AG7" i="25"/>
  <c r="AF7" i="25"/>
  <c r="AE7" i="25"/>
  <c r="AD7" i="25"/>
  <c r="AC7" i="25"/>
  <c r="AB7" i="25"/>
  <c r="AA7" i="25"/>
  <c r="Z7" i="25"/>
  <c r="Y7" i="25"/>
  <c r="W7" i="25"/>
  <c r="V7" i="25"/>
  <c r="R7" i="25"/>
  <c r="Q7" i="25"/>
  <c r="BG9" i="25"/>
  <c r="BF9" i="25"/>
  <c r="BE9" i="25"/>
  <c r="BD9" i="25"/>
  <c r="BC9" i="25"/>
  <c r="BB9" i="25"/>
  <c r="BA9" i="25"/>
  <c r="AZ9" i="25"/>
  <c r="AY9" i="25"/>
  <c r="BG8" i="25"/>
  <c r="BF8" i="25"/>
  <c r="BE8" i="25"/>
  <c r="BD8" i="25"/>
  <c r="BC8" i="25"/>
  <c r="BB8" i="25"/>
  <c r="BA8" i="25"/>
  <c r="AZ8" i="25"/>
  <c r="AY8" i="25"/>
  <c r="BG7" i="25"/>
  <c r="BF7" i="25"/>
  <c r="BE7" i="25"/>
  <c r="BD7" i="25"/>
  <c r="BC7" i="25"/>
  <c r="BB7" i="25"/>
  <c r="BA7" i="25"/>
  <c r="AZ7" i="25"/>
  <c r="AY7" i="25"/>
  <c r="M18" i="204" l="1"/>
  <c r="G19" i="204"/>
  <c r="F19" i="204"/>
  <c r="D19" i="204"/>
  <c r="M19" i="204" s="1"/>
  <c r="I19" i="204"/>
  <c r="H19" i="204"/>
  <c r="B20" i="204"/>
  <c r="K19" i="204"/>
  <c r="J19" i="204"/>
  <c r="O18" i="204"/>
  <c r="P18" i="204"/>
  <c r="Q18" i="204"/>
  <c r="B30" i="203"/>
  <c r="E29" i="203" a="1"/>
  <c r="E29" i="203" s="1"/>
  <c r="K36" i="131"/>
  <c r="J36" i="131"/>
  <c r="I36" i="131"/>
  <c r="H36" i="131"/>
  <c r="G36" i="131"/>
  <c r="F36" i="131"/>
  <c r="E36" i="131"/>
  <c r="D36" i="131"/>
  <c r="C36" i="131"/>
  <c r="B36" i="131"/>
  <c r="K6" i="131"/>
  <c r="K3" i="131"/>
  <c r="J6" i="131"/>
  <c r="J3" i="131"/>
  <c r="I6" i="131"/>
  <c r="H3" i="131"/>
  <c r="I3" i="131"/>
  <c r="H6" i="131"/>
  <c r="G6" i="131"/>
  <c r="G3" i="131"/>
  <c r="F6" i="131"/>
  <c r="F3" i="131"/>
  <c r="B3" i="131"/>
  <c r="C3" i="131"/>
  <c r="D3" i="131"/>
  <c r="E3" i="131"/>
  <c r="D6" i="131"/>
  <c r="C6" i="131"/>
  <c r="G20" i="204" l="1"/>
  <c r="K20" i="204"/>
  <c r="F20" i="204"/>
  <c r="J20" i="204"/>
  <c r="I20" i="204"/>
  <c r="D20" i="204"/>
  <c r="H20" i="204"/>
  <c r="B21" i="204"/>
  <c r="Q19" i="204"/>
  <c r="O19" i="204"/>
  <c r="P19" i="204"/>
  <c r="B31" i="203"/>
  <c r="E30" i="203" a="1"/>
  <c r="E30" i="203" s="1"/>
  <c r="B3" i="202"/>
  <c r="D53" i="202"/>
  <c r="D56" i="202"/>
  <c r="C56" i="202"/>
  <c r="D55" i="202"/>
  <c r="C55" i="202"/>
  <c r="D54" i="202"/>
  <c r="C54" i="202"/>
  <c r="C53" i="202"/>
  <c r="C52" i="202"/>
  <c r="B10" i="202"/>
  <c r="B11" i="202" s="1"/>
  <c r="B12" i="202" s="1"/>
  <c r="B13" i="202" s="1"/>
  <c r="B14" i="202" s="1"/>
  <c r="B15" i="202" s="1"/>
  <c r="E9" i="202"/>
  <c r="C9" i="202"/>
  <c r="B2" i="202"/>
  <c r="K2" i="131" s="1"/>
  <c r="K5" i="131" s="1"/>
  <c r="D54" i="201"/>
  <c r="D53" i="201"/>
  <c r="D56" i="201"/>
  <c r="C56" i="201"/>
  <c r="D55" i="201"/>
  <c r="C55" i="201"/>
  <c r="C54" i="201"/>
  <c r="C53" i="201"/>
  <c r="C52" i="201"/>
  <c r="B10" i="201"/>
  <c r="B11" i="201" s="1"/>
  <c r="B12" i="201" s="1"/>
  <c r="B13" i="201" s="1"/>
  <c r="B14" i="201" s="1"/>
  <c r="E9" i="201"/>
  <c r="C9" i="201"/>
  <c r="B2" i="201"/>
  <c r="J2" i="131" s="1"/>
  <c r="J5" i="131" s="1"/>
  <c r="P20" i="204" l="1"/>
  <c r="G21" i="204"/>
  <c r="H21" i="204"/>
  <c r="F21" i="204"/>
  <c r="J21" i="204"/>
  <c r="I21" i="204"/>
  <c r="D21" i="204"/>
  <c r="M21" i="204" s="1"/>
  <c r="K21" i="204"/>
  <c r="B22" i="204"/>
  <c r="Q20" i="204"/>
  <c r="M20" i="204"/>
  <c r="O20" i="204"/>
  <c r="B32" i="203"/>
  <c r="E31" i="203" a="1"/>
  <c r="E31" i="203" s="1"/>
  <c r="E11" i="202" a="1"/>
  <c r="E11" i="202" s="1"/>
  <c r="J64" i="200"/>
  <c r="J65" i="200"/>
  <c r="J71" i="200"/>
  <c r="J67" i="200"/>
  <c r="J66" i="200"/>
  <c r="J68" i="200"/>
  <c r="J73" i="200"/>
  <c r="J72" i="200"/>
  <c r="J70" i="200"/>
  <c r="J69" i="200"/>
  <c r="B3" i="201"/>
  <c r="E15" i="202" a="1"/>
  <c r="E15" i="202" s="1"/>
  <c r="B16" i="202"/>
  <c r="E13" i="202" a="1"/>
  <c r="E13" i="202" s="1"/>
  <c r="E12" i="202" a="1"/>
  <c r="E12" i="202" s="1"/>
  <c r="E10" i="202" a="1"/>
  <c r="E10" i="202" s="1"/>
  <c r="E14" i="202" a="1"/>
  <c r="E14" i="202" s="1"/>
  <c r="E15" i="201" a="1"/>
  <c r="E15" i="201" s="1"/>
  <c r="E17" i="201" a="1"/>
  <c r="E17" i="201" s="1"/>
  <c r="E11" i="201" a="1"/>
  <c r="E11" i="201" s="1"/>
  <c r="E14" i="201" a="1"/>
  <c r="E14" i="201" s="1"/>
  <c r="E12" i="201" a="1"/>
  <c r="E12" i="201" s="1"/>
  <c r="E10" i="201" a="1"/>
  <c r="E10" i="201" s="1"/>
  <c r="E13" i="201" a="1"/>
  <c r="E13" i="201" s="1"/>
  <c r="E16" i="201" a="1"/>
  <c r="E16" i="201" s="1"/>
  <c r="G22" i="204" l="1"/>
  <c r="F22" i="204"/>
  <c r="I22" i="204"/>
  <c r="D22" i="204"/>
  <c r="M22" i="204" s="1"/>
  <c r="H22" i="204"/>
  <c r="B23" i="204"/>
  <c r="K22" i="204"/>
  <c r="J22" i="204"/>
  <c r="O21" i="204"/>
  <c r="Q21" i="204"/>
  <c r="P21" i="204"/>
  <c r="B33" i="203"/>
  <c r="B34" i="203" s="1"/>
  <c r="B35" i="203" s="1"/>
  <c r="B36" i="203" s="1"/>
  <c r="B37" i="203" s="1"/>
  <c r="B38" i="203" s="1"/>
  <c r="B39" i="203" s="1"/>
  <c r="B40" i="203" s="1"/>
  <c r="B41" i="203" s="1"/>
  <c r="B42" i="203" s="1"/>
  <c r="B43" i="203" s="1"/>
  <c r="B44" i="203" s="1"/>
  <c r="B45" i="203" s="1"/>
  <c r="B46" i="203" s="1"/>
  <c r="E32" i="203" a="1"/>
  <c r="E32" i="203" s="1"/>
  <c r="E33" i="203" s="1"/>
  <c r="E34" i="203" s="1"/>
  <c r="E35" i="203" s="1"/>
  <c r="E36" i="203" s="1"/>
  <c r="E37" i="203" s="1"/>
  <c r="E38" i="203" s="1"/>
  <c r="E39" i="203" s="1"/>
  <c r="E40" i="203" s="1"/>
  <c r="E41" i="203" s="1"/>
  <c r="E42" i="203" s="1"/>
  <c r="E43" i="203" s="1"/>
  <c r="E44" i="203" s="1"/>
  <c r="E45" i="203" s="1"/>
  <c r="E46" i="203" s="1"/>
  <c r="B17" i="202"/>
  <c r="E16" i="202" a="1"/>
  <c r="E16" i="202" s="1"/>
  <c r="G23" i="204" l="1"/>
  <c r="B39" i="204"/>
  <c r="H23" i="204"/>
  <c r="F23" i="204"/>
  <c r="J23" i="204"/>
  <c r="D23" i="204"/>
  <c r="M23" i="204" s="1"/>
  <c r="I23" i="204"/>
  <c r="K23" i="204"/>
  <c r="B24" i="204"/>
  <c r="Q22" i="204"/>
  <c r="O22" i="204"/>
  <c r="P22" i="204"/>
  <c r="B18" i="202"/>
  <c r="E17" i="202" a="1"/>
  <c r="E17" i="202" s="1"/>
  <c r="E18" i="201" a="1"/>
  <c r="E18" i="201" s="1"/>
  <c r="G24" i="204" l="1"/>
  <c r="F24" i="204"/>
  <c r="K24" i="204"/>
  <c r="I24" i="204"/>
  <c r="D24" i="204"/>
  <c r="M24" i="204" s="1"/>
  <c r="H24" i="204"/>
  <c r="Q24" i="204" s="1"/>
  <c r="B25" i="204"/>
  <c r="J24" i="204"/>
  <c r="O23" i="204"/>
  <c r="Q23" i="204"/>
  <c r="P23" i="204"/>
  <c r="B19" i="202"/>
  <c r="E18" i="202" a="1"/>
  <c r="E18" i="202" s="1"/>
  <c r="E19" i="201" a="1"/>
  <c r="E19" i="201" s="1"/>
  <c r="G25" i="204" l="1"/>
  <c r="F25" i="204"/>
  <c r="J25" i="204"/>
  <c r="D25" i="204"/>
  <c r="M25" i="204" s="1"/>
  <c r="I25" i="204"/>
  <c r="H25" i="204"/>
  <c r="K25" i="204"/>
  <c r="O24" i="204"/>
  <c r="P24" i="204"/>
  <c r="B20" i="202"/>
  <c r="E19" i="202" a="1"/>
  <c r="E19" i="202" s="1"/>
  <c r="E20" i="201" a="1"/>
  <c r="E20" i="201" s="1"/>
  <c r="Q25" i="204" l="1"/>
  <c r="O25" i="204"/>
  <c r="P25" i="204"/>
  <c r="B21" i="202"/>
  <c r="E20" i="202" a="1"/>
  <c r="E20" i="202" s="1"/>
  <c r="E21" i="201" a="1"/>
  <c r="E21" i="201" s="1"/>
  <c r="B22" i="202" l="1"/>
  <c r="E21" i="202" a="1"/>
  <c r="E21" i="202" s="1"/>
  <c r="E22" i="201" a="1"/>
  <c r="E22" i="201" s="1"/>
  <c r="B23" i="202" l="1"/>
  <c r="E22" i="202" a="1"/>
  <c r="E22" i="202" s="1"/>
  <c r="E23" i="201" a="1"/>
  <c r="E23" i="201" s="1"/>
  <c r="B24" i="202" l="1"/>
  <c r="E23" i="202" a="1"/>
  <c r="E23" i="202" s="1"/>
  <c r="E24" i="201" a="1"/>
  <c r="E24" i="201" s="1"/>
  <c r="B25" i="202" l="1"/>
  <c r="E24" i="202" a="1"/>
  <c r="E24" i="202" s="1"/>
  <c r="E25" i="201" a="1"/>
  <c r="E25" i="201" s="1"/>
  <c r="B26" i="202" l="1"/>
  <c r="E25" i="202" a="1"/>
  <c r="E25" i="202" s="1"/>
  <c r="E26" i="201" a="1"/>
  <c r="E26" i="201" s="1"/>
  <c r="B27" i="202" l="1"/>
  <c r="E26" i="202" a="1"/>
  <c r="E26" i="202" s="1"/>
  <c r="E27" i="201" a="1"/>
  <c r="E27" i="201" s="1"/>
  <c r="B28" i="202" l="1"/>
  <c r="E27" i="202" a="1"/>
  <c r="E27" i="202" s="1"/>
  <c r="E28" i="201" a="1"/>
  <c r="E28" i="201" s="1"/>
  <c r="B29" i="202" l="1"/>
  <c r="E28" i="202" a="1"/>
  <c r="E28" i="202" s="1"/>
  <c r="E29" i="201" a="1"/>
  <c r="E29" i="201" s="1"/>
  <c r="B30" i="202" l="1"/>
  <c r="E29" i="202" a="1"/>
  <c r="E29" i="202" s="1"/>
  <c r="E30" i="201" a="1"/>
  <c r="E30" i="201" s="1"/>
  <c r="B31" i="202" l="1"/>
  <c r="E30" i="202" a="1"/>
  <c r="E30" i="202" s="1"/>
  <c r="E31" i="201" a="1"/>
  <c r="E31" i="201" s="1"/>
  <c r="B32" i="202" l="1"/>
  <c r="E31" i="202" a="1"/>
  <c r="E31" i="202" s="1"/>
  <c r="E32" i="201" a="1"/>
  <c r="E32" i="201" s="1"/>
  <c r="E33" i="201" s="1"/>
  <c r="E34" i="201" s="1"/>
  <c r="E35" i="201" s="1"/>
  <c r="E36" i="201" s="1"/>
  <c r="E37" i="201" s="1"/>
  <c r="E38" i="201" s="1"/>
  <c r="E39" i="201" s="1"/>
  <c r="E40" i="201" s="1"/>
  <c r="E41" i="201" s="1"/>
  <c r="E42" i="201" s="1"/>
  <c r="E43" i="201" s="1"/>
  <c r="E44" i="201" s="1"/>
  <c r="E45" i="201" s="1"/>
  <c r="E46" i="201" s="1"/>
  <c r="B33" i="202" l="1"/>
  <c r="B34" i="202" s="1"/>
  <c r="B35" i="202" s="1"/>
  <c r="B36" i="202" s="1"/>
  <c r="B37" i="202" s="1"/>
  <c r="B38" i="202" s="1"/>
  <c r="B39" i="202" s="1"/>
  <c r="B40" i="202" s="1"/>
  <c r="B41" i="202" s="1"/>
  <c r="B42" i="202" s="1"/>
  <c r="B43" i="202" s="1"/>
  <c r="B44" i="202" s="1"/>
  <c r="B45" i="202" s="1"/>
  <c r="B46" i="202" s="1"/>
  <c r="E32" i="202" a="1"/>
  <c r="E32" i="202" s="1"/>
  <c r="E33" i="202" s="1"/>
  <c r="E34" i="202" s="1"/>
  <c r="E35" i="202" s="1"/>
  <c r="E36" i="202" s="1"/>
  <c r="E37" i="202" s="1"/>
  <c r="E38" i="202" s="1"/>
  <c r="E39" i="202" s="1"/>
  <c r="E40" i="202" s="1"/>
  <c r="E41" i="202" s="1"/>
  <c r="E42" i="202" s="1"/>
  <c r="E43" i="202" s="1"/>
  <c r="E44" i="202" s="1"/>
  <c r="E45" i="202" s="1"/>
  <c r="E46" i="202" s="1"/>
  <c r="B3" i="200" l="1"/>
  <c r="D56" i="200"/>
  <c r="C56" i="200"/>
  <c r="D55" i="200"/>
  <c r="C55" i="200"/>
  <c r="C54" i="200"/>
  <c r="C53" i="200"/>
  <c r="C52" i="200"/>
  <c r="B10" i="200"/>
  <c r="B11" i="200" s="1"/>
  <c r="B12" i="200" s="1"/>
  <c r="B13" i="200" s="1"/>
  <c r="B14" i="200" s="1"/>
  <c r="B15" i="200" s="1"/>
  <c r="B16" i="200" s="1"/>
  <c r="B17" i="200" s="1"/>
  <c r="E9" i="200"/>
  <c r="C9" i="200"/>
  <c r="B2" i="200"/>
  <c r="I2" i="131" s="1"/>
  <c r="I5" i="131" s="1"/>
  <c r="D53" i="200" l="1"/>
  <c r="D54" i="200"/>
  <c r="B18" i="200"/>
  <c r="E12" i="200" a="1"/>
  <c r="E12" i="200" s="1"/>
  <c r="E16" i="200" a="1"/>
  <c r="E16" i="200" s="1"/>
  <c r="E13" i="200" a="1"/>
  <c r="E13" i="200" s="1"/>
  <c r="E17" i="200" a="1"/>
  <c r="E17" i="200" s="1"/>
  <c r="E10" i="200" a="1"/>
  <c r="E10" i="200" s="1"/>
  <c r="E15" i="200" a="1"/>
  <c r="E15" i="200" s="1"/>
  <c r="E11" i="200" a="1"/>
  <c r="E11" i="200" s="1"/>
  <c r="E18" i="200" a="1"/>
  <c r="E18" i="200" s="1"/>
  <c r="E14" i="200" a="1"/>
  <c r="E14" i="200" s="1"/>
  <c r="B19" i="200" l="1"/>
  <c r="B20" i="200" l="1"/>
  <c r="E19" i="200" a="1"/>
  <c r="E19" i="200" s="1"/>
  <c r="B21" i="200" l="1"/>
  <c r="E20" i="200" a="1"/>
  <c r="E20" i="200" s="1"/>
  <c r="B22" i="200" l="1"/>
  <c r="E21" i="200" a="1"/>
  <c r="E21" i="200" s="1"/>
  <c r="B23" i="200" l="1"/>
  <c r="E22" i="200" a="1"/>
  <c r="E22" i="200" s="1"/>
  <c r="B24" i="200" l="1"/>
  <c r="E23" i="200" a="1"/>
  <c r="E23" i="200" s="1"/>
  <c r="B25" i="200" l="1"/>
  <c r="E24" i="200" a="1"/>
  <c r="E24" i="200" s="1"/>
  <c r="B26" i="200" l="1"/>
  <c r="E25" i="200" a="1"/>
  <c r="E25" i="200" s="1"/>
  <c r="B27" i="200" l="1"/>
  <c r="E26" i="200" a="1"/>
  <c r="E26" i="200" s="1"/>
  <c r="B28" i="200" l="1"/>
  <c r="E27" i="200" a="1"/>
  <c r="E27" i="200" s="1"/>
  <c r="B29" i="200" l="1"/>
  <c r="E28" i="200" a="1"/>
  <c r="E28" i="200" s="1"/>
  <c r="B30" i="200" l="1"/>
  <c r="E29" i="200" a="1"/>
  <c r="E29" i="200" s="1"/>
  <c r="B31" i="200" l="1"/>
  <c r="E30" i="200" a="1"/>
  <c r="E30" i="200" s="1"/>
  <c r="B32" i="200" l="1"/>
  <c r="E31" i="200" a="1"/>
  <c r="E31" i="200" s="1"/>
  <c r="B33" i="200" l="1"/>
  <c r="B34" i="200" s="1"/>
  <c r="B35" i="200" s="1"/>
  <c r="B36" i="200" s="1"/>
  <c r="B37" i="200" s="1"/>
  <c r="B38" i="200" s="1"/>
  <c r="B39" i="200" s="1"/>
  <c r="B40" i="200" s="1"/>
  <c r="B41" i="200" s="1"/>
  <c r="B42" i="200" s="1"/>
  <c r="B43" i="200" s="1"/>
  <c r="B44" i="200" s="1"/>
  <c r="B45" i="200" s="1"/>
  <c r="B46" i="200" s="1"/>
  <c r="E32" i="200" a="1"/>
  <c r="E32" i="200" s="1"/>
  <c r="E33" i="200" s="1"/>
  <c r="E34" i="200" s="1"/>
  <c r="E35" i="200" s="1"/>
  <c r="E36" i="200" s="1"/>
  <c r="E37" i="200" s="1"/>
  <c r="E38" i="200" s="1"/>
  <c r="E39" i="200" s="1"/>
  <c r="E40" i="200" s="1"/>
  <c r="E41" i="200" s="1"/>
  <c r="E42" i="200" s="1"/>
  <c r="E43" i="200" s="1"/>
  <c r="E44" i="200" s="1"/>
  <c r="E45" i="200" s="1"/>
  <c r="E46" i="200" s="1"/>
  <c r="E9" i="199" l="1"/>
  <c r="E9" i="198"/>
  <c r="E9" i="197"/>
  <c r="E9" i="176"/>
  <c r="E9" i="196"/>
  <c r="E9" i="195"/>
  <c r="E9" i="139"/>
  <c r="E135" i="167"/>
  <c r="J76" i="201" s="1"/>
  <c r="E134" i="167"/>
  <c r="J76" i="200" s="1"/>
  <c r="E133" i="167"/>
  <c r="J76" i="199" s="1"/>
  <c r="C9" i="199"/>
  <c r="C9" i="198"/>
  <c r="C9" i="197"/>
  <c r="C9" i="176"/>
  <c r="C9" i="196"/>
  <c r="C9" i="195"/>
  <c r="C9" i="139"/>
  <c r="D56" i="199"/>
  <c r="C56" i="199"/>
  <c r="D55" i="199"/>
  <c r="C55" i="199"/>
  <c r="D54" i="199"/>
  <c r="C54" i="199"/>
  <c r="C53" i="199"/>
  <c r="C52" i="199"/>
  <c r="B10" i="199"/>
  <c r="B11" i="199" s="1"/>
  <c r="B3" i="199"/>
  <c r="B2" i="199"/>
  <c r="H2" i="131" s="1"/>
  <c r="H5" i="131" s="1"/>
  <c r="D54" i="198"/>
  <c r="D53" i="198"/>
  <c r="D56" i="198"/>
  <c r="C56" i="198"/>
  <c r="D55" i="198"/>
  <c r="C55" i="198"/>
  <c r="C54" i="198"/>
  <c r="C53" i="198"/>
  <c r="C52" i="198"/>
  <c r="B10" i="198"/>
  <c r="B11" i="198" s="1"/>
  <c r="B12" i="198" s="1"/>
  <c r="B2" i="198"/>
  <c r="G2" i="131" s="1"/>
  <c r="G5" i="131" s="1"/>
  <c r="B3" i="197"/>
  <c r="D53" i="197"/>
  <c r="D56" i="197"/>
  <c r="C56" i="197"/>
  <c r="D55" i="197"/>
  <c r="C55" i="197"/>
  <c r="C54" i="197"/>
  <c r="C53" i="197"/>
  <c r="C52" i="197"/>
  <c r="B10" i="197"/>
  <c r="B11" i="197" s="1"/>
  <c r="B12" i="197" s="1"/>
  <c r="B13" i="197" s="1"/>
  <c r="B14" i="197" s="1"/>
  <c r="B2" i="197"/>
  <c r="F2" i="131" s="1"/>
  <c r="F5" i="131" s="1"/>
  <c r="B3" i="196"/>
  <c r="D53" i="196"/>
  <c r="D56" i="196"/>
  <c r="C56" i="196"/>
  <c r="D55" i="196"/>
  <c r="C55" i="196"/>
  <c r="C54" i="196"/>
  <c r="C53" i="196"/>
  <c r="C52" i="196"/>
  <c r="B10" i="196"/>
  <c r="B11" i="196" s="1"/>
  <c r="B2" i="196"/>
  <c r="D2" i="131" s="1"/>
  <c r="D5" i="131" s="1"/>
  <c r="D54" i="195"/>
  <c r="D53" i="195"/>
  <c r="D56" i="195"/>
  <c r="C56" i="195"/>
  <c r="D55" i="195"/>
  <c r="C55" i="195"/>
  <c r="C54" i="195"/>
  <c r="C53" i="195"/>
  <c r="C52" i="195"/>
  <c r="B10" i="195"/>
  <c r="B11" i="195" s="1"/>
  <c r="B12" i="195" s="1"/>
  <c r="B13" i="195" s="1"/>
  <c r="B14" i="195" s="1"/>
  <c r="B2" i="195"/>
  <c r="C2" i="131" s="1"/>
  <c r="C5" i="131" s="1"/>
  <c r="E10" i="198" l="1" a="1"/>
  <c r="E10" i="198" s="1"/>
  <c r="E10" i="199" a="1"/>
  <c r="E10" i="199" s="1"/>
  <c r="B3" i="198"/>
  <c r="D53" i="199"/>
  <c r="D54" i="197"/>
  <c r="D54" i="196"/>
  <c r="B3" i="195"/>
  <c r="B12" i="199"/>
  <c r="B13" i="199" s="1"/>
  <c r="B14" i="199" s="1"/>
  <c r="E11" i="199" a="1"/>
  <c r="E11" i="199" s="1"/>
  <c r="B13" i="198"/>
  <c r="E12" i="198" a="1"/>
  <c r="E12" i="198" s="1"/>
  <c r="E11" i="198" a="1"/>
  <c r="E11" i="198" s="1"/>
  <c r="B15" i="197"/>
  <c r="E15" i="197" s="1" a="1"/>
  <c r="E15" i="197" s="1"/>
  <c r="E11" i="197" a="1"/>
  <c r="E11" i="197" s="1"/>
  <c r="E12" i="197" a="1"/>
  <c r="E12" i="197" s="1"/>
  <c r="E10" i="197" a="1"/>
  <c r="E10" i="197" s="1"/>
  <c r="E13" i="197" a="1"/>
  <c r="E13" i="197" s="1"/>
  <c r="E14" i="197" a="1"/>
  <c r="E14" i="197" s="1"/>
  <c r="B12" i="196"/>
  <c r="E11" i="196" a="1"/>
  <c r="E11" i="196" s="1"/>
  <c r="E10" i="196" a="1"/>
  <c r="E10" i="196" s="1"/>
  <c r="B15" i="195"/>
  <c r="E11" i="195" a="1"/>
  <c r="E11" i="195" s="1"/>
  <c r="E15" i="195" a="1"/>
  <c r="E15" i="195" s="1"/>
  <c r="E13" i="195" a="1"/>
  <c r="E13" i="195" s="1"/>
  <c r="E10" i="195" a="1"/>
  <c r="E10" i="195" s="1"/>
  <c r="E12" i="195" a="1"/>
  <c r="E12" i="195" s="1"/>
  <c r="E14" i="195" a="1"/>
  <c r="E14" i="195" s="1"/>
  <c r="E13" i="199" l="1" a="1"/>
  <c r="E13" i="199" s="1"/>
  <c r="B15" i="199"/>
  <c r="E14" i="199" a="1"/>
  <c r="E14" i="199" s="1"/>
  <c r="E12" i="199" a="1"/>
  <c r="E12" i="199" s="1"/>
  <c r="E13" i="198" a="1"/>
  <c r="E13" i="198" s="1"/>
  <c r="B14" i="198"/>
  <c r="B16" i="197"/>
  <c r="E12" i="196" a="1"/>
  <c r="E12" i="196" s="1"/>
  <c r="B13" i="196"/>
  <c r="B16" i="195"/>
  <c r="B16" i="199" l="1"/>
  <c r="E15" i="199" a="1"/>
  <c r="E15" i="199" s="1"/>
  <c r="B15" i="198"/>
  <c r="E14" i="198" a="1"/>
  <c r="E14" i="198" s="1"/>
  <c r="B17" i="197"/>
  <c r="E16" i="197" a="1"/>
  <c r="E16" i="197" s="1"/>
  <c r="B14" i="196"/>
  <c r="E13" i="196" a="1"/>
  <c r="E13" i="196" s="1"/>
  <c r="B17" i="195"/>
  <c r="E16" i="195" a="1"/>
  <c r="E16" i="195" s="1"/>
  <c r="B17" i="199" l="1"/>
  <c r="E16" i="199" a="1"/>
  <c r="E16" i="199" s="1"/>
  <c r="B16" i="198"/>
  <c r="E15" i="198" a="1"/>
  <c r="E15" i="198" s="1"/>
  <c r="B18" i="197"/>
  <c r="E17" i="197" a="1"/>
  <c r="E17" i="197" s="1"/>
  <c r="B15" i="196"/>
  <c r="E14" i="196" a="1"/>
  <c r="E14" i="196" s="1"/>
  <c r="B18" i="195"/>
  <c r="E17" i="195" a="1"/>
  <c r="E17" i="195" s="1"/>
  <c r="B18" i="199" l="1"/>
  <c r="E17" i="199" a="1"/>
  <c r="E17" i="199" s="1"/>
  <c r="B17" i="198"/>
  <c r="E16" i="198" a="1"/>
  <c r="E16" i="198" s="1"/>
  <c r="B19" i="197"/>
  <c r="E18" i="197" a="1"/>
  <c r="E18" i="197" s="1"/>
  <c r="B16" i="196"/>
  <c r="E15" i="196" a="1"/>
  <c r="E15" i="196" s="1"/>
  <c r="B19" i="195"/>
  <c r="E18" i="195" a="1"/>
  <c r="E18" i="195" s="1"/>
  <c r="B19" i="199" l="1"/>
  <c r="E18" i="199" a="1"/>
  <c r="E18" i="199" s="1"/>
  <c r="E17" i="198" a="1"/>
  <c r="E17" i="198" s="1"/>
  <c r="B18" i="198"/>
  <c r="B20" i="197"/>
  <c r="E19" i="197" a="1"/>
  <c r="E19" i="197" s="1"/>
  <c r="B17" i="196"/>
  <c r="E16" i="196" a="1"/>
  <c r="E16" i="196" s="1"/>
  <c r="B20" i="195"/>
  <c r="E19" i="195" a="1"/>
  <c r="E19" i="195" s="1"/>
  <c r="B20" i="199" l="1"/>
  <c r="E19" i="199" a="1"/>
  <c r="E19" i="199" s="1"/>
  <c r="B19" i="198"/>
  <c r="E18" i="198" a="1"/>
  <c r="E18" i="198" s="1"/>
  <c r="B21" i="197"/>
  <c r="E20" i="197" a="1"/>
  <c r="E20" i="197" s="1"/>
  <c r="B18" i="196"/>
  <c r="E17" i="196" a="1"/>
  <c r="E17" i="196" s="1"/>
  <c r="B21" i="195"/>
  <c r="E20" i="195" a="1"/>
  <c r="E20" i="195" s="1"/>
  <c r="B21" i="199" l="1"/>
  <c r="E20" i="199" a="1"/>
  <c r="E20" i="199" s="1"/>
  <c r="E19" i="198" a="1"/>
  <c r="E19" i="198" s="1"/>
  <c r="B20" i="198"/>
  <c r="B22" i="197"/>
  <c r="E21" i="197" a="1"/>
  <c r="E21" i="197" s="1"/>
  <c r="B19" i="196"/>
  <c r="E18" i="196" a="1"/>
  <c r="E18" i="196" s="1"/>
  <c r="B22" i="195"/>
  <c r="E21" i="195" a="1"/>
  <c r="E21" i="195" s="1"/>
  <c r="B22" i="199" l="1"/>
  <c r="E21" i="199" a="1"/>
  <c r="E21" i="199" s="1"/>
  <c r="E20" i="198" a="1"/>
  <c r="E20" i="198" s="1"/>
  <c r="B21" i="198"/>
  <c r="B23" i="197"/>
  <c r="E22" i="197" a="1"/>
  <c r="E22" i="197" s="1"/>
  <c r="B20" i="196"/>
  <c r="E19" i="196" a="1"/>
  <c r="E19" i="196" s="1"/>
  <c r="B23" i="195"/>
  <c r="E22" i="195" a="1"/>
  <c r="E22" i="195" s="1"/>
  <c r="B23" i="199" l="1"/>
  <c r="E22" i="199" a="1"/>
  <c r="E22" i="199" s="1"/>
  <c r="B22" i="198"/>
  <c r="E21" i="198" a="1"/>
  <c r="E21" i="198" s="1"/>
  <c r="B24" i="197"/>
  <c r="E23" i="197" a="1"/>
  <c r="E23" i="197" s="1"/>
  <c r="E20" i="196" a="1"/>
  <c r="E20" i="196" s="1"/>
  <c r="B21" i="196"/>
  <c r="B24" i="195"/>
  <c r="E23" i="195" a="1"/>
  <c r="E23" i="195" s="1"/>
  <c r="B24" i="199" l="1"/>
  <c r="E23" i="199" a="1"/>
  <c r="E23" i="199" s="1"/>
  <c r="E22" i="198" a="1"/>
  <c r="E22" i="198" s="1"/>
  <c r="B23" i="198"/>
  <c r="B25" i="197"/>
  <c r="E24" i="197" a="1"/>
  <c r="E24" i="197" s="1"/>
  <c r="B22" i="196"/>
  <c r="E21" i="196" a="1"/>
  <c r="E21" i="196" s="1"/>
  <c r="B25" i="195"/>
  <c r="E24" i="195" a="1"/>
  <c r="E24" i="195" s="1"/>
  <c r="B25" i="199" l="1"/>
  <c r="E24" i="199" a="1"/>
  <c r="E24" i="199" s="1"/>
  <c r="E23" i="198" a="1"/>
  <c r="E23" i="198" s="1"/>
  <c r="B24" i="198"/>
  <c r="B26" i="197"/>
  <c r="E25" i="197" a="1"/>
  <c r="E25" i="197" s="1"/>
  <c r="B23" i="196"/>
  <c r="E22" i="196" a="1"/>
  <c r="E22" i="196" s="1"/>
  <c r="B26" i="195"/>
  <c r="E25" i="195" a="1"/>
  <c r="E25" i="195" s="1"/>
  <c r="B26" i="199" l="1"/>
  <c r="E25" i="199" a="1"/>
  <c r="E25" i="199" s="1"/>
  <c r="B25" i="198"/>
  <c r="E24" i="198" a="1"/>
  <c r="E24" i="198" s="1"/>
  <c r="B27" i="197"/>
  <c r="E26" i="197" a="1"/>
  <c r="E26" i="197" s="1"/>
  <c r="E23" i="196" a="1"/>
  <c r="E23" i="196" s="1"/>
  <c r="B24" i="196"/>
  <c r="B27" i="195"/>
  <c r="E26" i="195" a="1"/>
  <c r="E26" i="195" s="1"/>
  <c r="B27" i="199" l="1"/>
  <c r="E26" i="199" a="1"/>
  <c r="E26" i="199" s="1"/>
  <c r="E25" i="198" a="1"/>
  <c r="E25" i="198" s="1"/>
  <c r="B26" i="198"/>
  <c r="B28" i="197"/>
  <c r="E27" i="197" a="1"/>
  <c r="E27" i="197" s="1"/>
  <c r="B25" i="196"/>
  <c r="E24" i="196" a="1"/>
  <c r="E24" i="196" s="1"/>
  <c r="B28" i="195"/>
  <c r="E27" i="195" a="1"/>
  <c r="E27" i="195" s="1"/>
  <c r="B28" i="199" l="1"/>
  <c r="E27" i="199" a="1"/>
  <c r="E27" i="199" s="1"/>
  <c r="B27" i="198"/>
  <c r="E26" i="198" a="1"/>
  <c r="E26" i="198" s="1"/>
  <c r="B29" i="197"/>
  <c r="E28" i="197" a="1"/>
  <c r="E28" i="197" s="1"/>
  <c r="B26" i="196"/>
  <c r="E25" i="196" a="1"/>
  <c r="E25" i="196" s="1"/>
  <c r="B29" i="195"/>
  <c r="E28" i="195" a="1"/>
  <c r="E28" i="195" s="1"/>
  <c r="B29" i="199" l="1"/>
  <c r="E28" i="199" a="1"/>
  <c r="E28" i="199" s="1"/>
  <c r="E27" i="198" a="1"/>
  <c r="E27" i="198" s="1"/>
  <c r="B28" i="198"/>
  <c r="B30" i="197"/>
  <c r="E29" i="197" a="1"/>
  <c r="E29" i="197" s="1"/>
  <c r="B27" i="196"/>
  <c r="E26" i="196" a="1"/>
  <c r="E26" i="196" s="1"/>
  <c r="B30" i="195"/>
  <c r="E29" i="195" a="1"/>
  <c r="E29" i="195" s="1"/>
  <c r="B30" i="199" l="1"/>
  <c r="E29" i="199" a="1"/>
  <c r="E29" i="199" s="1"/>
  <c r="B29" i="198"/>
  <c r="E28" i="198" a="1"/>
  <c r="E28" i="198" s="1"/>
  <c r="B31" i="197"/>
  <c r="E30" i="197" a="1"/>
  <c r="E30" i="197" s="1"/>
  <c r="B28" i="196"/>
  <c r="E27" i="196" a="1"/>
  <c r="E27" i="196" s="1"/>
  <c r="B31" i="195"/>
  <c r="E30" i="195" a="1"/>
  <c r="E30" i="195" s="1"/>
  <c r="B31" i="199" l="1"/>
  <c r="E30" i="199" a="1"/>
  <c r="E30" i="199" s="1"/>
  <c r="E29" i="198" a="1"/>
  <c r="E29" i="198" s="1"/>
  <c r="B30" i="198"/>
  <c r="B32" i="197"/>
  <c r="E31" i="197" a="1"/>
  <c r="E31" i="197" s="1"/>
  <c r="B29" i="196"/>
  <c r="E28" i="196" a="1"/>
  <c r="E28" i="196" s="1"/>
  <c r="B32" i="195"/>
  <c r="E31" i="195" a="1"/>
  <c r="E31" i="195" s="1"/>
  <c r="B32" i="199" l="1"/>
  <c r="E31" i="199" a="1"/>
  <c r="E31" i="199" s="1"/>
  <c r="B31" i="198"/>
  <c r="E30" i="198" a="1"/>
  <c r="E30" i="198" s="1"/>
  <c r="B33" i="197"/>
  <c r="B34" i="197" s="1"/>
  <c r="B35" i="197" s="1"/>
  <c r="B36" i="197" s="1"/>
  <c r="B37" i="197" s="1"/>
  <c r="B38" i="197" s="1"/>
  <c r="B39" i="197" s="1"/>
  <c r="B40" i="197" s="1"/>
  <c r="B41" i="197" s="1"/>
  <c r="B42" i="197" s="1"/>
  <c r="B43" i="197" s="1"/>
  <c r="B44" i="197" s="1"/>
  <c r="B45" i="197" s="1"/>
  <c r="B46" i="197" s="1"/>
  <c r="E32" i="197" a="1"/>
  <c r="E32" i="197" s="1"/>
  <c r="E33" i="197" s="1"/>
  <c r="E34" i="197" s="1"/>
  <c r="E35" i="197" s="1"/>
  <c r="E36" i="197" s="1"/>
  <c r="E37" i="197" s="1"/>
  <c r="E38" i="197" s="1"/>
  <c r="E39" i="197" s="1"/>
  <c r="E40" i="197" s="1"/>
  <c r="E41" i="197" s="1"/>
  <c r="E42" i="197" s="1"/>
  <c r="E43" i="197" s="1"/>
  <c r="E44" i="197" s="1"/>
  <c r="E45" i="197" s="1"/>
  <c r="E46" i="197" s="1"/>
  <c r="B30" i="196"/>
  <c r="E29" i="196" a="1"/>
  <c r="E29" i="196" s="1"/>
  <c r="B33" i="195"/>
  <c r="E32" i="195" a="1"/>
  <c r="E32" i="195" s="1"/>
  <c r="E33" i="195" s="1"/>
  <c r="E34" i="195" s="1"/>
  <c r="E35" i="195" s="1"/>
  <c r="E36" i="195" s="1"/>
  <c r="E37" i="195" s="1"/>
  <c r="E38" i="195" s="1"/>
  <c r="E39" i="195" s="1"/>
  <c r="E40" i="195" s="1"/>
  <c r="E41" i="195" s="1"/>
  <c r="E42" i="195" s="1"/>
  <c r="E43" i="195" s="1"/>
  <c r="E44" i="195" s="1"/>
  <c r="E45" i="195" s="1"/>
  <c r="E46" i="195" s="1"/>
  <c r="B34" i="195" l="1"/>
  <c r="B33" i="199"/>
  <c r="B34" i="199" s="1"/>
  <c r="B35" i="199" s="1"/>
  <c r="B36" i="199" s="1"/>
  <c r="B37" i="199" s="1"/>
  <c r="B38" i="199" s="1"/>
  <c r="B39" i="199" s="1"/>
  <c r="B40" i="199" s="1"/>
  <c r="B41" i="199" s="1"/>
  <c r="B42" i="199" s="1"/>
  <c r="B43" i="199" s="1"/>
  <c r="B44" i="199" s="1"/>
  <c r="B45" i="199" s="1"/>
  <c r="B46" i="199" s="1"/>
  <c r="E32" i="199" a="1"/>
  <c r="E32" i="199" s="1"/>
  <c r="E33" i="199" s="1"/>
  <c r="E34" i="199" s="1"/>
  <c r="E35" i="199" s="1"/>
  <c r="E36" i="199" s="1"/>
  <c r="E37" i="199" s="1"/>
  <c r="E38" i="199" s="1"/>
  <c r="E39" i="199" s="1"/>
  <c r="E40" i="199" s="1"/>
  <c r="E41" i="199" s="1"/>
  <c r="E42" i="199" s="1"/>
  <c r="E43" i="199" s="1"/>
  <c r="E44" i="199" s="1"/>
  <c r="E45" i="199" s="1"/>
  <c r="E46" i="199" s="1"/>
  <c r="B32" i="198"/>
  <c r="E31" i="198" a="1"/>
  <c r="E31" i="198" s="1"/>
  <c r="B31" i="196"/>
  <c r="E30" i="196" a="1"/>
  <c r="E30" i="196" s="1"/>
  <c r="B35" i="195" l="1"/>
  <c r="E32" i="198" a="1"/>
  <c r="E32" i="198" s="1"/>
  <c r="E33" i="198" s="1"/>
  <c r="E34" i="198" s="1"/>
  <c r="E35" i="198" s="1"/>
  <c r="E36" i="198" s="1"/>
  <c r="E37" i="198" s="1"/>
  <c r="E38" i="198" s="1"/>
  <c r="E39" i="198" s="1"/>
  <c r="E40" i="198" s="1"/>
  <c r="E41" i="198" s="1"/>
  <c r="E42" i="198" s="1"/>
  <c r="E43" i="198" s="1"/>
  <c r="E44" i="198" s="1"/>
  <c r="E45" i="198" s="1"/>
  <c r="E46" i="198" s="1"/>
  <c r="B33" i="198"/>
  <c r="B32" i="196"/>
  <c r="E31" i="196" a="1"/>
  <c r="E31" i="196" s="1"/>
  <c r="B34" i="198" l="1"/>
  <c r="B36" i="195"/>
  <c r="B33" i="196"/>
  <c r="E32" i="196" a="1"/>
  <c r="E32" i="196" s="1"/>
  <c r="E33" i="196" s="1"/>
  <c r="E34" i="196" s="1"/>
  <c r="E35" i="196" s="1"/>
  <c r="E36" i="196" s="1"/>
  <c r="E37" i="196" s="1"/>
  <c r="E38" i="196" s="1"/>
  <c r="E39" i="196" s="1"/>
  <c r="E40" i="196" s="1"/>
  <c r="E41" i="196" s="1"/>
  <c r="E42" i="196" s="1"/>
  <c r="E43" i="196" s="1"/>
  <c r="E44" i="196" s="1"/>
  <c r="E45" i="196" s="1"/>
  <c r="E46" i="196" s="1"/>
  <c r="B35" i="198" l="1"/>
  <c r="B34" i="196"/>
  <c r="B37" i="195"/>
  <c r="FE9" i="25"/>
  <c r="B36" i="198" l="1"/>
  <c r="B35" i="196"/>
  <c r="B38" i="195"/>
  <c r="B37" i="198" l="1"/>
  <c r="B36" i="196"/>
  <c r="B39" i="195"/>
  <c r="B6" i="131"/>
  <c r="B38" i="198" l="1"/>
  <c r="B37" i="196"/>
  <c r="B40" i="195"/>
  <c r="B39" i="198" l="1"/>
  <c r="B38" i="196"/>
  <c r="B41" i="195"/>
  <c r="P7" i="25"/>
  <c r="AX7" i="25"/>
  <c r="B40" i="198" l="1"/>
  <c r="B39" i="196"/>
  <c r="B42" i="195"/>
  <c r="B41" i="198" l="1"/>
  <c r="B40" i="196"/>
  <c r="B43" i="195"/>
  <c r="M17" i="28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B42" i="198" l="1"/>
  <c r="B41" i="196"/>
  <c r="B44" i="195"/>
  <c r="M364" i="28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B43" i="198" l="1"/>
  <c r="B42" i="196"/>
  <c r="B45" i="195"/>
  <c r="B44" i="198" l="1"/>
  <c r="B43" i="196"/>
  <c r="B46" i="195"/>
  <c r="I13" i="31"/>
  <c r="B45" i="198" l="1"/>
  <c r="B44" i="196"/>
  <c r="D67" i="194"/>
  <c r="C66" i="194"/>
  <c r="C67" i="194"/>
  <c r="C64" i="194"/>
  <c r="E83" i="194"/>
  <c r="E92" i="194"/>
  <c r="H10" i="194"/>
  <c r="I10" i="194"/>
  <c r="C10" i="194"/>
  <c r="B46" i="198" l="1"/>
  <c r="B45" i="196"/>
  <c r="H73" i="194"/>
  <c r="D97" i="194"/>
  <c r="B46" i="196" l="1"/>
  <c r="K78" i="194"/>
  <c r="I11" i="194"/>
  <c r="I12" i="194" s="1"/>
  <c r="I13" i="194" s="1"/>
  <c r="I14" i="194" s="1"/>
  <c r="I15" i="194" s="1"/>
  <c r="I16" i="194" s="1"/>
  <c r="I17" i="194" s="1"/>
  <c r="I18" i="194" s="1"/>
  <c r="I19" i="194" s="1"/>
  <c r="I20" i="194" s="1"/>
  <c r="I21" i="194" s="1"/>
  <c r="I22" i="194" s="1"/>
  <c r="I23" i="194" s="1"/>
  <c r="I24" i="194" s="1"/>
  <c r="I25" i="194" s="1"/>
  <c r="I26" i="194" s="1"/>
  <c r="I27" i="194" s="1"/>
  <c r="I28" i="194" s="1"/>
  <c r="I29" i="194" s="1"/>
  <c r="I30" i="194" s="1"/>
  <c r="I31" i="194" s="1"/>
  <c r="I32" i="194" s="1"/>
  <c r="I33" i="194" s="1"/>
  <c r="I34" i="194" s="1"/>
  <c r="I35" i="194" s="1"/>
  <c r="I36" i="194" s="1"/>
  <c r="I37" i="194" s="1"/>
  <c r="I38" i="194" s="1"/>
  <c r="I39" i="194" s="1"/>
  <c r="I40" i="194" s="1"/>
  <c r="I41" i="194" s="1"/>
  <c r="I42" i="194" s="1"/>
  <c r="I43" i="194" s="1"/>
  <c r="I44" i="194" s="1"/>
  <c r="I45" i="194" s="1"/>
  <c r="I46" i="194" s="1"/>
  <c r="I47" i="194" s="1"/>
  <c r="I48" i="194" s="1"/>
  <c r="I49" i="194" s="1"/>
  <c r="I50" i="194" s="1"/>
  <c r="I51" i="194" s="1"/>
  <c r="I52" i="194" s="1"/>
  <c r="I53" i="194" s="1"/>
  <c r="I54" i="194" s="1"/>
  <c r="I55" i="194" s="1"/>
  <c r="I56" i="194" s="1"/>
  <c r="C88" i="194"/>
  <c r="F78" i="194"/>
  <c r="K79" i="194"/>
  <c r="J79" i="194"/>
  <c r="G79" i="194"/>
  <c r="F79" i="194"/>
  <c r="C79" i="194"/>
  <c r="G78" i="194"/>
  <c r="C78" i="194"/>
  <c r="F73" i="194"/>
  <c r="C65" i="194"/>
  <c r="B11" i="194"/>
  <c r="B12" i="194" s="1"/>
  <c r="B13" i="194" s="1"/>
  <c r="B14" i="194" s="1"/>
  <c r="B15" i="194" s="1"/>
  <c r="B8" i="194"/>
  <c r="F75" i="194" l="1"/>
  <c r="H75" i="194" s="1"/>
  <c r="H79" i="194"/>
  <c r="F80" i="194"/>
  <c r="I73" i="194"/>
  <c r="I75" i="194" s="1"/>
  <c r="F10" i="194"/>
  <c r="B16" i="194"/>
  <c r="H78" i="194"/>
  <c r="J78" i="194"/>
  <c r="G73" i="194" l="1"/>
  <c r="G75" i="194" s="1"/>
  <c r="H80" i="194"/>
  <c r="I78" i="194" s="1"/>
  <c r="B17" i="194"/>
  <c r="B18" i="194" l="1"/>
  <c r="I79" i="194"/>
  <c r="K80" i="194" s="1"/>
  <c r="D94" i="194"/>
  <c r="G80" i="194"/>
  <c r="I80" i="194" l="1"/>
  <c r="J80" i="194"/>
  <c r="B19" i="194"/>
  <c r="B20" i="194" l="1"/>
  <c r="B21" i="194" l="1"/>
  <c r="B22" i="194" l="1"/>
  <c r="B23" i="194" l="1"/>
  <c r="B24" i="194" l="1"/>
  <c r="B25" i="194" l="1"/>
  <c r="B26" i="194" l="1"/>
  <c r="B27" i="194" l="1"/>
  <c r="B28" i="194" l="1"/>
  <c r="B29" i="194" l="1"/>
  <c r="B30" i="194" l="1"/>
  <c r="B31" i="194" l="1"/>
  <c r="B32" i="194" s="1"/>
  <c r="B33" i="194" s="1"/>
  <c r="B34" i="194" s="1"/>
  <c r="B35" i="194" s="1"/>
  <c r="B36" i="194" s="1"/>
  <c r="B37" i="194" s="1"/>
  <c r="B38" i="194" s="1"/>
  <c r="B39" i="194" s="1"/>
  <c r="B40" i="194" s="1"/>
  <c r="B41" i="194" s="1"/>
  <c r="B42" i="194" s="1"/>
  <c r="B43" i="194" s="1"/>
  <c r="B44" i="194" s="1"/>
  <c r="B45" i="194" s="1"/>
  <c r="B46" i="194" s="1"/>
  <c r="B47" i="194" s="1"/>
  <c r="B48" i="194" s="1"/>
  <c r="B49" i="194" s="1"/>
  <c r="B50" i="194" s="1"/>
  <c r="B51" i="194" s="1"/>
  <c r="B52" i="194" s="1"/>
  <c r="B53" i="194" s="1"/>
  <c r="B54" i="194" s="1"/>
  <c r="B55" i="194" s="1"/>
  <c r="B56" i="194" s="1"/>
  <c r="G10" i="194" l="1"/>
  <c r="D65" i="194"/>
  <c r="V374" i="167" l="1"/>
  <c r="V376" i="167"/>
  <c r="V377" i="167"/>
  <c r="V378" i="167"/>
  <c r="V379" i="167"/>
  <c r="V380" i="167"/>
  <c r="V381" i="167"/>
  <c r="V382" i="167"/>
  <c r="V383" i="167"/>
  <c r="V384" i="167"/>
  <c r="V385" i="167"/>
  <c r="V386" i="167"/>
  <c r="V387" i="167"/>
  <c r="V388" i="167"/>
  <c r="V389" i="167"/>
  <c r="V390" i="167"/>
  <c r="V391" i="167"/>
  <c r="V392" i="167"/>
  <c r="V393" i="167"/>
  <c r="V394" i="167"/>
  <c r="V395" i="167"/>
  <c r="V396" i="167"/>
  <c r="V375" i="167"/>
  <c r="AX8" i="25" l="1"/>
  <c r="P8" i="25" s="1"/>
  <c r="I43" i="25" l="1"/>
  <c r="F48" i="203" l="1"/>
  <c r="F16" i="202"/>
  <c r="F17" i="202"/>
  <c r="F18" i="202"/>
  <c r="F19" i="202"/>
  <c r="F20" i="202"/>
  <c r="F21" i="202"/>
  <c r="F22" i="202"/>
  <c r="F23" i="202"/>
  <c r="F24" i="202"/>
  <c r="F25" i="202"/>
  <c r="F26" i="202"/>
  <c r="F27" i="202"/>
  <c r="F28" i="202"/>
  <c r="F29" i="202"/>
  <c r="F30" i="202"/>
  <c r="F31" i="202"/>
  <c r="F32" i="202"/>
  <c r="J47" i="25"/>
  <c r="J77" i="203" s="1"/>
  <c r="M253" i="31"/>
  <c r="M269" i="31"/>
  <c r="M265" i="31"/>
  <c r="M268" i="31"/>
  <c r="M254" i="31"/>
  <c r="M270" i="31"/>
  <c r="M272" i="31"/>
  <c r="M257" i="31"/>
  <c r="M258" i="31"/>
  <c r="M260" i="31"/>
  <c r="M276" i="31"/>
  <c r="M262" i="31"/>
  <c r="M263" i="31"/>
  <c r="M264" i="31"/>
  <c r="M255" i="31"/>
  <c r="M271" i="31"/>
  <c r="M256" i="31"/>
  <c r="M273" i="31"/>
  <c r="M274" i="31"/>
  <c r="M259" i="31"/>
  <c r="M267" i="31"/>
  <c r="M261" i="31"/>
  <c r="M266" i="31"/>
  <c r="M275" i="31"/>
  <c r="C11" i="194"/>
  <c r="C12" i="194" s="1"/>
  <c r="C13" i="194" s="1"/>
  <c r="C14" i="194" s="1"/>
  <c r="C15" i="194" s="1"/>
  <c r="C16" i="194" s="1"/>
  <c r="D16" i="194" s="1"/>
  <c r="H11" i="194"/>
  <c r="H12" i="194" s="1"/>
  <c r="H13" i="194" s="1"/>
  <c r="H14" i="194" s="1"/>
  <c r="H15" i="194" s="1"/>
  <c r="H16" i="194" s="1"/>
  <c r="F11" i="194"/>
  <c r="F33" i="202" l="1"/>
  <c r="F34" i="202" s="1"/>
  <c r="F35" i="202" s="1"/>
  <c r="F36" i="202" s="1"/>
  <c r="F37" i="202" s="1"/>
  <c r="F38" i="202" s="1"/>
  <c r="F39" i="202" s="1"/>
  <c r="F40" i="202" s="1"/>
  <c r="F41" i="202" s="1"/>
  <c r="F42" i="202" s="1"/>
  <c r="F43" i="202" s="1"/>
  <c r="F44" i="202" s="1"/>
  <c r="F45" i="202" s="1"/>
  <c r="F46" i="202" s="1"/>
  <c r="J77" i="201"/>
  <c r="J77" i="199"/>
  <c r="J77" i="200"/>
  <c r="F12" i="194"/>
  <c r="G11" i="194"/>
  <c r="H17" i="194"/>
  <c r="J16" i="194"/>
  <c r="D17" i="194"/>
  <c r="D18" i="194" l="1"/>
  <c r="H18" i="194"/>
  <c r="J17" i="194"/>
  <c r="F13" i="194"/>
  <c r="G12" i="194"/>
  <c r="F48" i="199" l="1"/>
  <c r="F48" i="200"/>
  <c r="G13" i="194"/>
  <c r="F14" i="194"/>
  <c r="H19" i="194"/>
  <c r="J18" i="194"/>
  <c r="D19" i="194"/>
  <c r="D20" i="194" l="1"/>
  <c r="F15" i="194"/>
  <c r="G14" i="194"/>
  <c r="H20" i="194"/>
  <c r="J19" i="194"/>
  <c r="H21" i="194" l="1"/>
  <c r="J20" i="194"/>
  <c r="F16" i="194"/>
  <c r="G15" i="194"/>
  <c r="D21" i="194"/>
  <c r="D22" i="194" l="1"/>
  <c r="F17" i="194"/>
  <c r="G16" i="194"/>
  <c r="H22" i="194"/>
  <c r="J21" i="194"/>
  <c r="H23" i="194" l="1"/>
  <c r="J22" i="194"/>
  <c r="K16" i="194"/>
  <c r="F18" i="194"/>
  <c r="G17" i="194"/>
  <c r="K17" i="194" s="1"/>
  <c r="D23" i="194"/>
  <c r="D24" i="194" l="1"/>
  <c r="F19" i="194"/>
  <c r="G18" i="194"/>
  <c r="H24" i="194"/>
  <c r="J23" i="194"/>
  <c r="F20" i="194" l="1"/>
  <c r="G19" i="194"/>
  <c r="K19" i="194" s="1"/>
  <c r="H25" i="194"/>
  <c r="J24" i="194"/>
  <c r="K18" i="194"/>
  <c r="D25" i="194"/>
  <c r="D26" i="194" l="1"/>
  <c r="H26" i="194"/>
  <c r="J25" i="194"/>
  <c r="F21" i="194"/>
  <c r="G20" i="194"/>
  <c r="F22" i="194" l="1"/>
  <c r="G21" i="194"/>
  <c r="K21" i="194" s="1"/>
  <c r="K20" i="194"/>
  <c r="H27" i="194"/>
  <c r="J26" i="194"/>
  <c r="D27" i="194"/>
  <c r="D28" i="194" l="1"/>
  <c r="H28" i="194"/>
  <c r="J27" i="194"/>
  <c r="F23" i="194"/>
  <c r="G22" i="194"/>
  <c r="K22" i="194" l="1"/>
  <c r="F24" i="194"/>
  <c r="G23" i="194"/>
  <c r="K23" i="194" s="1"/>
  <c r="H29" i="194"/>
  <c r="J28" i="194"/>
  <c r="D29" i="194"/>
  <c r="D30" i="194" l="1"/>
  <c r="H30" i="194"/>
  <c r="J29" i="194"/>
  <c r="F25" i="194"/>
  <c r="G24" i="194"/>
  <c r="K24" i="194" s="1"/>
  <c r="F26" i="194" l="1"/>
  <c r="G25" i="194"/>
  <c r="K25" i="194" s="1"/>
  <c r="H31" i="194"/>
  <c r="J30" i="194"/>
  <c r="D31" i="194"/>
  <c r="D32" i="194" l="1"/>
  <c r="H32" i="194"/>
  <c r="J31" i="194"/>
  <c r="F27" i="194"/>
  <c r="G26" i="194"/>
  <c r="K26" i="194" s="1"/>
  <c r="D33" i="194" l="1"/>
  <c r="F28" i="194"/>
  <c r="G27" i="194"/>
  <c r="K27" i="194" s="1"/>
  <c r="H33" i="194"/>
  <c r="J32" i="194"/>
  <c r="H34" i="194" l="1"/>
  <c r="J33" i="194"/>
  <c r="F29" i="194"/>
  <c r="G28" i="194"/>
  <c r="K28" i="194" s="1"/>
  <c r="D34" i="194"/>
  <c r="D35" i="194" l="1"/>
  <c r="F30" i="194"/>
  <c r="G29" i="194"/>
  <c r="K29" i="194" s="1"/>
  <c r="H35" i="194"/>
  <c r="J34" i="194"/>
  <c r="H36" i="194" l="1"/>
  <c r="J35" i="194"/>
  <c r="F31" i="194"/>
  <c r="G30" i="194"/>
  <c r="K30" i="194" s="1"/>
  <c r="D36" i="194"/>
  <c r="D37" i="194" l="1"/>
  <c r="F32" i="194"/>
  <c r="G31" i="194"/>
  <c r="K31" i="194" s="1"/>
  <c r="H37" i="194"/>
  <c r="J36" i="194"/>
  <c r="H38" i="194" l="1"/>
  <c r="J37" i="194"/>
  <c r="F33" i="194"/>
  <c r="G32" i="194"/>
  <c r="K32" i="194" s="1"/>
  <c r="D38" i="194"/>
  <c r="D39" i="194" l="1"/>
  <c r="F34" i="194"/>
  <c r="G33" i="194"/>
  <c r="K33" i="194" s="1"/>
  <c r="H39" i="194"/>
  <c r="J38" i="194"/>
  <c r="H40" i="194" l="1"/>
  <c r="J39" i="194"/>
  <c r="D40" i="194"/>
  <c r="F35" i="194"/>
  <c r="G34" i="194"/>
  <c r="K34" i="194" s="1"/>
  <c r="F36" i="194" l="1"/>
  <c r="G35" i="194"/>
  <c r="K35" i="194" s="1"/>
  <c r="D41" i="194"/>
  <c r="H41" i="194"/>
  <c r="J40" i="194"/>
  <c r="H42" i="194" l="1"/>
  <c r="J41" i="194"/>
  <c r="D42" i="194"/>
  <c r="F37" i="194"/>
  <c r="G36" i="194"/>
  <c r="K36" i="194" s="1"/>
  <c r="F38" i="194" l="1"/>
  <c r="G37" i="194"/>
  <c r="K37" i="194" s="1"/>
  <c r="D43" i="194"/>
  <c r="H43" i="194"/>
  <c r="J42" i="194"/>
  <c r="H44" i="194" l="1"/>
  <c r="J43" i="194"/>
  <c r="D44" i="194"/>
  <c r="F39" i="194"/>
  <c r="G38" i="194"/>
  <c r="K38" i="194" s="1"/>
  <c r="F40" i="194" l="1"/>
  <c r="G39" i="194"/>
  <c r="K39" i="194" s="1"/>
  <c r="D45" i="194"/>
  <c r="H45" i="194"/>
  <c r="J44" i="194"/>
  <c r="H46" i="194" l="1"/>
  <c r="J45" i="194"/>
  <c r="D46" i="194"/>
  <c r="F41" i="194"/>
  <c r="G40" i="194"/>
  <c r="K40" i="194" s="1"/>
  <c r="F42" i="194" l="1"/>
  <c r="G41" i="194"/>
  <c r="K41" i="194" s="1"/>
  <c r="D47" i="194"/>
  <c r="H47" i="194"/>
  <c r="J46" i="194"/>
  <c r="H48" i="194" l="1"/>
  <c r="J47" i="194"/>
  <c r="D48" i="194"/>
  <c r="F43" i="194"/>
  <c r="G42" i="194"/>
  <c r="K42" i="194" s="1"/>
  <c r="F44" i="194" l="1"/>
  <c r="G43" i="194"/>
  <c r="K43" i="194" s="1"/>
  <c r="D49" i="194"/>
  <c r="H49" i="194"/>
  <c r="J48" i="194"/>
  <c r="H50" i="194" l="1"/>
  <c r="J49" i="194"/>
  <c r="D50" i="194"/>
  <c r="F45" i="194"/>
  <c r="G44" i="194"/>
  <c r="K44" i="194" s="1"/>
  <c r="F46" i="194" l="1"/>
  <c r="G45" i="194"/>
  <c r="K45" i="194" s="1"/>
  <c r="D51" i="194"/>
  <c r="H51" i="194"/>
  <c r="J50" i="194"/>
  <c r="H52" i="194" l="1"/>
  <c r="J51" i="194"/>
  <c r="D52" i="194"/>
  <c r="F47" i="194"/>
  <c r="G46" i="194"/>
  <c r="K46" i="194" s="1"/>
  <c r="D53" i="194" l="1"/>
  <c r="F48" i="194"/>
  <c r="G47" i="194"/>
  <c r="K47" i="194" s="1"/>
  <c r="H53" i="194"/>
  <c r="J52" i="194"/>
  <c r="H54" i="194" l="1"/>
  <c r="J53" i="194"/>
  <c r="F49" i="194"/>
  <c r="G48" i="194"/>
  <c r="K48" i="194" s="1"/>
  <c r="D54" i="194"/>
  <c r="F50" i="194" l="1"/>
  <c r="G49" i="194"/>
  <c r="K49" i="194" s="1"/>
  <c r="D55" i="194"/>
  <c r="H55" i="194"/>
  <c r="J54" i="194"/>
  <c r="H56" i="194" l="1"/>
  <c r="J56" i="194" s="1"/>
  <c r="J55" i="194"/>
  <c r="D56" i="194"/>
  <c r="F51" i="194"/>
  <c r="G50" i="194"/>
  <c r="K50" i="194" s="1"/>
  <c r="F52" i="194" l="1"/>
  <c r="G51" i="194"/>
  <c r="K51" i="194" s="1"/>
  <c r="F53" i="194" l="1"/>
  <c r="G52" i="194"/>
  <c r="K52" i="194" s="1"/>
  <c r="F54" i="194" l="1"/>
  <c r="G53" i="194"/>
  <c r="K53" i="194" s="1"/>
  <c r="F55" i="194" l="1"/>
  <c r="G54" i="194"/>
  <c r="K54" i="194" s="1"/>
  <c r="F56" i="194" l="1"/>
  <c r="G56" i="194" s="1"/>
  <c r="K56" i="194" s="1"/>
  <c r="G55" i="194"/>
  <c r="K55" i="194" l="1"/>
  <c r="K59" i="194" s="1"/>
  <c r="L59" i="194" s="1"/>
  <c r="G59" i="194"/>
  <c r="D53" i="176"/>
  <c r="D56" i="176"/>
  <c r="C56" i="176"/>
  <c r="D55" i="176"/>
  <c r="C55" i="176"/>
  <c r="C54" i="176"/>
  <c r="C53" i="176"/>
  <c r="C52" i="176"/>
  <c r="B10" i="176"/>
  <c r="B11" i="176" s="1"/>
  <c r="B12" i="176" s="1"/>
  <c r="B2" i="176"/>
  <c r="E2" i="131" s="1"/>
  <c r="E5" i="131" s="1"/>
  <c r="B13" i="176" l="1"/>
  <c r="E13" i="176" s="1" a="1"/>
  <c r="E13" i="176" s="1"/>
  <c r="E12" i="176" a="1"/>
  <c r="E12" i="176" s="1"/>
  <c r="E10" i="176" a="1"/>
  <c r="E10" i="176" s="1"/>
  <c r="D54" i="176"/>
  <c r="E11" i="176" a="1"/>
  <c r="E11" i="176" s="1"/>
  <c r="B3" i="176"/>
  <c r="B14" i="176" l="1"/>
  <c r="B15" i="176" l="1"/>
  <c r="E14" i="176" a="1"/>
  <c r="E14" i="176" s="1"/>
  <c r="B16" i="176" l="1"/>
  <c r="E15" i="176" a="1"/>
  <c r="E15" i="176" s="1"/>
  <c r="B17" i="176" l="1"/>
  <c r="E16" i="176" a="1"/>
  <c r="E16" i="176" s="1"/>
  <c r="B18" i="176" l="1"/>
  <c r="E17" i="176" a="1"/>
  <c r="E17" i="176" s="1"/>
  <c r="B19" i="176" l="1"/>
  <c r="E18" i="176" a="1"/>
  <c r="E18" i="176" s="1"/>
  <c r="B20" i="176" l="1"/>
  <c r="E19" i="176" a="1"/>
  <c r="E19" i="176" s="1"/>
  <c r="B21" i="176" l="1"/>
  <c r="E20" i="176" a="1"/>
  <c r="E20" i="176" s="1"/>
  <c r="B22" i="176" l="1"/>
  <c r="E21" i="176" a="1"/>
  <c r="E21" i="176" s="1"/>
  <c r="B23" i="176" l="1"/>
  <c r="E22" i="176" a="1"/>
  <c r="E22" i="176" s="1"/>
  <c r="B24" i="176" l="1"/>
  <c r="E23" i="176" a="1"/>
  <c r="E23" i="176" s="1"/>
  <c r="B25" i="176" l="1"/>
  <c r="E24" i="176" a="1"/>
  <c r="E24" i="176" s="1"/>
  <c r="B26" i="176" l="1"/>
  <c r="E25" i="176" a="1"/>
  <c r="E25" i="176" s="1"/>
  <c r="B27" i="176" l="1"/>
  <c r="E26" i="176" a="1"/>
  <c r="E26" i="176" s="1"/>
  <c r="B28" i="176" l="1"/>
  <c r="E27" i="176" a="1"/>
  <c r="E27" i="176" s="1"/>
  <c r="B29" i="176" l="1"/>
  <c r="E28" i="176" a="1"/>
  <c r="E28" i="176" s="1"/>
  <c r="B30" i="176" l="1"/>
  <c r="E29" i="176" a="1"/>
  <c r="E29" i="176" s="1"/>
  <c r="B31" i="176" l="1"/>
  <c r="E30" i="176" a="1"/>
  <c r="E30" i="176" s="1"/>
  <c r="E31" i="176" l="1" a="1"/>
  <c r="E31" i="176" s="1"/>
  <c r="B32" i="176"/>
  <c r="B33" i="176" l="1"/>
  <c r="E32" i="176" a="1"/>
  <c r="E32" i="176" s="1"/>
  <c r="E33" i="176" s="1"/>
  <c r="E34" i="176" s="1"/>
  <c r="E35" i="176" s="1"/>
  <c r="E36" i="176" s="1"/>
  <c r="E37" i="176" s="1"/>
  <c r="E38" i="176" s="1"/>
  <c r="E39" i="176" s="1"/>
  <c r="E40" i="176" s="1"/>
  <c r="E41" i="176" s="1"/>
  <c r="E42" i="176" s="1"/>
  <c r="E43" i="176" s="1"/>
  <c r="E44" i="176" s="1"/>
  <c r="E45" i="176" s="1"/>
  <c r="E46" i="176" s="1"/>
  <c r="B34" i="176" l="1"/>
  <c r="E131" i="167"/>
  <c r="B35" i="176" l="1"/>
  <c r="S212" i="167"/>
  <c r="S211" i="167"/>
  <c r="S210" i="167"/>
  <c r="S209" i="167"/>
  <c r="S208" i="167"/>
  <c r="S207" i="167"/>
  <c r="S206" i="167"/>
  <c r="S205" i="167"/>
  <c r="S204" i="167"/>
  <c r="S203" i="167"/>
  <c r="S202" i="167"/>
  <c r="S201" i="167"/>
  <c r="S200" i="167"/>
  <c r="S199" i="167"/>
  <c r="S198" i="167"/>
  <c r="S197" i="167"/>
  <c r="S196" i="167"/>
  <c r="S195" i="167"/>
  <c r="S194" i="167"/>
  <c r="S193" i="167"/>
  <c r="S192" i="167"/>
  <c r="S235" i="167"/>
  <c r="S234" i="167"/>
  <c r="S233" i="167"/>
  <c r="S232" i="167"/>
  <c r="S231" i="167"/>
  <c r="S230" i="167"/>
  <c r="S229" i="167"/>
  <c r="S228" i="167"/>
  <c r="S227" i="167"/>
  <c r="S226" i="167"/>
  <c r="S225" i="167"/>
  <c r="S224" i="167"/>
  <c r="S223" i="167"/>
  <c r="S222" i="167"/>
  <c r="S221" i="167"/>
  <c r="S220" i="167"/>
  <c r="S219" i="167"/>
  <c r="S218" i="167"/>
  <c r="S217" i="167"/>
  <c r="S216" i="167"/>
  <c r="S215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99" i="167"/>
  <c r="S300" i="167"/>
  <c r="S301" i="167"/>
  <c r="S302" i="167"/>
  <c r="S303" i="167"/>
  <c r="S304" i="167"/>
  <c r="S305" i="167"/>
  <c r="S306" i="167"/>
  <c r="S286" i="167"/>
  <c r="S281" i="167"/>
  <c r="S280" i="167"/>
  <c r="S279" i="167"/>
  <c r="S278" i="167"/>
  <c r="S277" i="167"/>
  <c r="S276" i="167"/>
  <c r="S275" i="167"/>
  <c r="S274" i="167"/>
  <c r="S273" i="167"/>
  <c r="S262" i="167"/>
  <c r="S263" i="167"/>
  <c r="S264" i="167"/>
  <c r="S265" i="167"/>
  <c r="S266" i="167"/>
  <c r="S267" i="167"/>
  <c r="S268" i="167"/>
  <c r="S269" i="167"/>
  <c r="S270" i="167"/>
  <c r="S271" i="167"/>
  <c r="S272" i="167"/>
  <c r="S261" i="167"/>
  <c r="S374" i="167"/>
  <c r="S375" i="167"/>
  <c r="S376" i="167"/>
  <c r="S377" i="167"/>
  <c r="S378" i="167"/>
  <c r="S379" i="167"/>
  <c r="S380" i="167"/>
  <c r="S381" i="167"/>
  <c r="S382" i="167"/>
  <c r="S383" i="167"/>
  <c r="S384" i="167"/>
  <c r="S385" i="167"/>
  <c r="S386" i="167"/>
  <c r="S387" i="167"/>
  <c r="S388" i="167"/>
  <c r="S389" i="167"/>
  <c r="S390" i="167"/>
  <c r="S391" i="167"/>
  <c r="S392" i="167"/>
  <c r="S393" i="167"/>
  <c r="S394" i="167"/>
  <c r="S395" i="167"/>
  <c r="S396" i="167"/>
  <c r="S373" i="167"/>
  <c r="S330" i="167"/>
  <c r="S331" i="167"/>
  <c r="S332" i="167"/>
  <c r="S333" i="167"/>
  <c r="S334" i="167"/>
  <c r="S335" i="167"/>
  <c r="S336" i="167"/>
  <c r="S337" i="167"/>
  <c r="S338" i="167"/>
  <c r="S329" i="167"/>
  <c r="S328" i="167"/>
  <c r="S327" i="167"/>
  <c r="S326" i="167"/>
  <c r="S325" i="167"/>
  <c r="S324" i="167"/>
  <c r="S323" i="167"/>
  <c r="S322" i="167"/>
  <c r="S321" i="167"/>
  <c r="S320" i="167"/>
  <c r="S319" i="167"/>
  <c r="S318" i="167"/>
  <c r="S317" i="167"/>
  <c r="S316" i="167"/>
  <c r="S315" i="167"/>
  <c r="S314" i="167"/>
  <c r="S313" i="167"/>
  <c r="S312" i="167"/>
  <c r="S311" i="167"/>
  <c r="S310" i="167"/>
  <c r="S309" i="167"/>
  <c r="S258" i="167"/>
  <c r="S25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242" i="167"/>
  <c r="S241" i="167"/>
  <c r="S240" i="167"/>
  <c r="S239" i="167"/>
  <c r="S238" i="167"/>
  <c r="C12" i="203" l="1"/>
  <c r="C13" i="203"/>
  <c r="C11" i="203"/>
  <c r="C10" i="203"/>
  <c r="C14" i="203"/>
  <c r="D14" i="203" s="1"/>
  <c r="B36" i="176"/>
  <c r="C11" i="202"/>
  <c r="C15" i="201"/>
  <c r="C11" i="201"/>
  <c r="C12" i="202"/>
  <c r="C10" i="201"/>
  <c r="C13" i="201"/>
  <c r="C15" i="202"/>
  <c r="C13" i="202"/>
  <c r="C16" i="201"/>
  <c r="D16" i="201" s="1"/>
  <c r="C14" i="201"/>
  <c r="C10" i="202"/>
  <c r="C12" i="201"/>
  <c r="C14" i="202"/>
  <c r="C16" i="202"/>
  <c r="D16" i="202" s="1"/>
  <c r="C14" i="200"/>
  <c r="C13" i="200"/>
  <c r="C10" i="200"/>
  <c r="C15" i="200"/>
  <c r="C11" i="200"/>
  <c r="C16" i="200"/>
  <c r="D16" i="200" s="1"/>
  <c r="C12" i="200"/>
  <c r="C11" i="199"/>
  <c r="C13" i="199"/>
  <c r="C10" i="199"/>
  <c r="C14" i="199"/>
  <c r="C12" i="199"/>
  <c r="C15" i="199"/>
  <c r="C16" i="199"/>
  <c r="D16" i="199" s="1"/>
  <c r="C15" i="195"/>
  <c r="D15" i="195" s="1"/>
  <c r="C13" i="197"/>
  <c r="C10" i="195"/>
  <c r="C15" i="197"/>
  <c r="D15" i="197" s="1"/>
  <c r="C16" i="198"/>
  <c r="D16" i="198" s="1"/>
  <c r="C10" i="197"/>
  <c r="C13" i="195"/>
  <c r="C14" i="197"/>
  <c r="C14" i="195"/>
  <c r="C10" i="196"/>
  <c r="C11" i="198"/>
  <c r="C11" i="197"/>
  <c r="C16" i="196"/>
  <c r="D16" i="196" s="1"/>
  <c r="C12" i="197"/>
  <c r="C12" i="195"/>
  <c r="C11" i="196"/>
  <c r="C10" i="198"/>
  <c r="C11" i="195"/>
  <c r="C12" i="198"/>
  <c r="C12" i="196"/>
  <c r="C13" i="198"/>
  <c r="C13" i="196"/>
  <c r="C14" i="198"/>
  <c r="C14" i="196"/>
  <c r="C15" i="198"/>
  <c r="C15" i="196"/>
  <c r="C14" i="176"/>
  <c r="D14" i="176" s="1"/>
  <c r="C12" i="176"/>
  <c r="C10" i="176"/>
  <c r="C11" i="176"/>
  <c r="C13" i="176"/>
  <c r="D15" i="203" l="1" a="1"/>
  <c r="D15" i="203" s="1"/>
  <c r="G14" i="203"/>
  <c r="J14" i="203" s="1"/>
  <c r="L14" i="203"/>
  <c r="B37" i="176"/>
  <c r="D17" i="201" a="1"/>
  <c r="D17" i="201" s="1"/>
  <c r="L16" i="200"/>
  <c r="G16" i="200"/>
  <c r="D17" i="200" a="1"/>
  <c r="D17" i="200" s="1"/>
  <c r="I15" i="139"/>
  <c r="I22" i="139"/>
  <c r="I19" i="139"/>
  <c r="I18" i="139"/>
  <c r="I20" i="139"/>
  <c r="I23" i="139"/>
  <c r="I17" i="139"/>
  <c r="L16" i="199"/>
  <c r="D17" i="199" a="1"/>
  <c r="D17" i="199" s="1"/>
  <c r="D18" i="199" s="1" a="1"/>
  <c r="D18" i="199" s="1"/>
  <c r="G16" i="199"/>
  <c r="D17" i="202" a="1"/>
  <c r="D17" i="202" s="1"/>
  <c r="I16" i="139"/>
  <c r="I21" i="139"/>
  <c r="D16" i="195" a="1"/>
  <c r="D16" i="195" s="1"/>
  <c r="D16" i="197" a="1"/>
  <c r="D16" i="197" s="1"/>
  <c r="D17" i="196" a="1"/>
  <c r="D17" i="196" s="1"/>
  <c r="D17" i="198" a="1"/>
  <c r="D17" i="198" s="1"/>
  <c r="D15" i="176" a="1"/>
  <c r="D15" i="176" s="1"/>
  <c r="K14" i="203" l="1"/>
  <c r="L15" i="203"/>
  <c r="G15" i="203"/>
  <c r="J15" i="203" s="1"/>
  <c r="K15" i="203" s="1"/>
  <c r="D16" i="203" a="1"/>
  <c r="D16" i="203" s="1"/>
  <c r="G17" i="201"/>
  <c r="B38" i="176"/>
  <c r="D18" i="202" a="1"/>
  <c r="D18" i="202" s="1"/>
  <c r="G17" i="199"/>
  <c r="L17" i="200"/>
  <c r="D18" i="200" a="1"/>
  <c r="D18" i="200" s="1"/>
  <c r="G17" i="200"/>
  <c r="D18" i="201" a="1"/>
  <c r="D18" i="201" s="1"/>
  <c r="L17" i="199"/>
  <c r="D18" i="196" a="1"/>
  <c r="D18" i="196" s="1"/>
  <c r="D18" i="198" a="1"/>
  <c r="D18" i="198" s="1"/>
  <c r="D17" i="197" a="1"/>
  <c r="D17" i="197" s="1"/>
  <c r="G18" i="199"/>
  <c r="D19" i="199" a="1"/>
  <c r="D19" i="199" s="1"/>
  <c r="L18" i="199"/>
  <c r="D17" i="195" a="1"/>
  <c r="D17" i="195" s="1"/>
  <c r="D16" i="176" a="1"/>
  <c r="D16" i="176" s="1"/>
  <c r="L16" i="203" l="1"/>
  <c r="D17" i="203" a="1"/>
  <c r="D17" i="203" s="1"/>
  <c r="G16" i="203"/>
  <c r="J16" i="203" s="1"/>
  <c r="K16" i="203" s="1"/>
  <c r="F48" i="201"/>
  <c r="L17" i="201"/>
  <c r="L16" i="201"/>
  <c r="G16" i="201"/>
  <c r="B39" i="176"/>
  <c r="D19" i="200" a="1"/>
  <c r="D19" i="200" s="1"/>
  <c r="G18" i="200"/>
  <c r="L18" i="200"/>
  <c r="G18" i="201"/>
  <c r="L18" i="201"/>
  <c r="D19" i="201" a="1"/>
  <c r="D19" i="201" s="1"/>
  <c r="D19" i="202" a="1"/>
  <c r="D19" i="202" s="1"/>
  <c r="D18" i="195" a="1"/>
  <c r="D18" i="195" s="1"/>
  <c r="D18" i="197" a="1"/>
  <c r="D18" i="197" s="1"/>
  <c r="D19" i="196" a="1"/>
  <c r="D19" i="196" s="1"/>
  <c r="G19" i="199"/>
  <c r="L19" i="199"/>
  <c r="D20" i="199" a="1"/>
  <c r="D20" i="199" s="1"/>
  <c r="D19" i="198" a="1"/>
  <c r="D19" i="198" s="1"/>
  <c r="D17" i="176" a="1"/>
  <c r="D17" i="176" s="1"/>
  <c r="G17" i="203" l="1"/>
  <c r="J17" i="203" s="1"/>
  <c r="D18" i="203" a="1"/>
  <c r="D18" i="203" s="1"/>
  <c r="L17" i="203"/>
  <c r="B40" i="176"/>
  <c r="D20" i="202" a="1"/>
  <c r="D20" i="202" s="1"/>
  <c r="L19" i="201"/>
  <c r="G19" i="201"/>
  <c r="D20" i="201" a="1"/>
  <c r="D20" i="201" s="1"/>
  <c r="D20" i="200" a="1"/>
  <c r="D20" i="200" s="1"/>
  <c r="G19" i="200"/>
  <c r="L19" i="200"/>
  <c r="D20" i="198" a="1"/>
  <c r="D20" i="198" s="1"/>
  <c r="L20" i="199"/>
  <c r="G20" i="199"/>
  <c r="D21" i="199" a="1"/>
  <c r="D21" i="199" s="1"/>
  <c r="D19" i="197" a="1"/>
  <c r="D19" i="197" s="1"/>
  <c r="D20" i="196" a="1"/>
  <c r="D20" i="196" s="1"/>
  <c r="D19" i="195" a="1"/>
  <c r="D19" i="195" s="1"/>
  <c r="D18" i="176" a="1"/>
  <c r="D18" i="176" s="1"/>
  <c r="L18" i="203" l="1"/>
  <c r="D19" i="203" a="1"/>
  <c r="D19" i="203" s="1"/>
  <c r="G18" i="203"/>
  <c r="J18" i="203" s="1"/>
  <c r="K18" i="203" s="1"/>
  <c r="K17" i="203"/>
  <c r="B41" i="176"/>
  <c r="D21" i="200" a="1"/>
  <c r="D21" i="200" s="1"/>
  <c r="L20" i="200"/>
  <c r="G20" i="200"/>
  <c r="D21" i="201" a="1"/>
  <c r="D21" i="201" s="1"/>
  <c r="L20" i="201"/>
  <c r="G20" i="201"/>
  <c r="D21" i="202" a="1"/>
  <c r="D21" i="202" s="1"/>
  <c r="D21" i="196" a="1"/>
  <c r="D21" i="196" s="1"/>
  <c r="D20" i="195" a="1"/>
  <c r="D20" i="195" s="1"/>
  <c r="D20" i="197" a="1"/>
  <c r="D20" i="197" s="1"/>
  <c r="D22" i="199" a="1"/>
  <c r="D22" i="199" s="1"/>
  <c r="G21" i="199"/>
  <c r="L21" i="199"/>
  <c r="D21" i="198" a="1"/>
  <c r="D21" i="198" s="1"/>
  <c r="D19" i="176" a="1"/>
  <c r="D19" i="176" s="1"/>
  <c r="D20" i="203" l="1" a="1"/>
  <c r="D20" i="203" s="1"/>
  <c r="L19" i="203"/>
  <c r="G19" i="203"/>
  <c r="J19" i="203" s="1"/>
  <c r="B42" i="176"/>
  <c r="G21" i="201"/>
  <c r="L21" i="201"/>
  <c r="D22" i="201" a="1"/>
  <c r="D22" i="201" s="1"/>
  <c r="D22" i="202" a="1"/>
  <c r="D22" i="202" s="1"/>
  <c r="L21" i="200"/>
  <c r="G21" i="200"/>
  <c r="D22" i="200" a="1"/>
  <c r="D22" i="200" s="1"/>
  <c r="D22" i="198" a="1"/>
  <c r="D22" i="198" s="1"/>
  <c r="D23" i="199" a="1"/>
  <c r="D23" i="199" s="1"/>
  <c r="L22" i="199"/>
  <c r="G22" i="199"/>
  <c r="D21" i="197" a="1"/>
  <c r="D21" i="197" s="1"/>
  <c r="D21" i="195" a="1"/>
  <c r="D21" i="195" s="1"/>
  <c r="D22" i="196" a="1"/>
  <c r="D22" i="196" s="1"/>
  <c r="D20" i="176" a="1"/>
  <c r="D20" i="176" s="1"/>
  <c r="K19" i="203" l="1"/>
  <c r="G20" i="203"/>
  <c r="J20" i="203" s="1"/>
  <c r="K20" i="203" s="1"/>
  <c r="D21" i="203" a="1"/>
  <c r="D21" i="203" s="1"/>
  <c r="L20" i="203"/>
  <c r="B43" i="176"/>
  <c r="D23" i="202" a="1"/>
  <c r="D23" i="202" s="1"/>
  <c r="G22" i="200"/>
  <c r="L22" i="200"/>
  <c r="D23" i="200" a="1"/>
  <c r="D23" i="200" s="1"/>
  <c r="L22" i="201"/>
  <c r="D23" i="201" a="1"/>
  <c r="D23" i="201" s="1"/>
  <c r="G22" i="201"/>
  <c r="D22" i="195" a="1"/>
  <c r="D22" i="195" s="1"/>
  <c r="D23" i="196" a="1"/>
  <c r="D23" i="196" s="1"/>
  <c r="D22" i="197" a="1"/>
  <c r="D22" i="197" s="1"/>
  <c r="D23" i="198" a="1"/>
  <c r="D23" i="198" s="1"/>
  <c r="G23" i="199"/>
  <c r="D24" i="199" a="1"/>
  <c r="D24" i="199" s="1"/>
  <c r="L23" i="199"/>
  <c r="D21" i="176" a="1"/>
  <c r="D21" i="176" s="1"/>
  <c r="D22" i="203" l="1" a="1"/>
  <c r="D22" i="203" s="1"/>
  <c r="G21" i="203"/>
  <c r="J21" i="203" s="1"/>
  <c r="K21" i="203" s="1"/>
  <c r="L21" i="203"/>
  <c r="B44" i="176"/>
  <c r="L23" i="200"/>
  <c r="G23" i="200"/>
  <c r="D24" i="200" a="1"/>
  <c r="D24" i="200" s="1"/>
  <c r="D24" i="201" a="1"/>
  <c r="D24" i="201" s="1"/>
  <c r="G23" i="201"/>
  <c r="L23" i="201"/>
  <c r="D24" i="202" a="1"/>
  <c r="D24" i="202" s="1"/>
  <c r="L24" i="199"/>
  <c r="G24" i="199"/>
  <c r="D25" i="199" a="1"/>
  <c r="D25" i="199" s="1"/>
  <c r="D23" i="197" a="1"/>
  <c r="D23" i="197" s="1"/>
  <c r="D24" i="196" a="1"/>
  <c r="D24" i="196" s="1"/>
  <c r="D24" i="198" a="1"/>
  <c r="D24" i="198" s="1"/>
  <c r="D23" i="195" a="1"/>
  <c r="D23" i="195" s="1"/>
  <c r="D22" i="176" a="1"/>
  <c r="D22" i="176" s="1"/>
  <c r="G22" i="203" l="1"/>
  <c r="J22" i="203" s="1"/>
  <c r="K22" i="203" s="1"/>
  <c r="D23" i="203" a="1"/>
  <c r="D23" i="203" s="1"/>
  <c r="L22" i="203"/>
  <c r="B45" i="176"/>
  <c r="D25" i="202" a="1"/>
  <c r="D25" i="202" s="1"/>
  <c r="L24" i="201"/>
  <c r="G24" i="201"/>
  <c r="D25" i="201" a="1"/>
  <c r="D25" i="201" s="1"/>
  <c r="D25" i="200" a="1"/>
  <c r="D25" i="200" s="1"/>
  <c r="L24" i="200"/>
  <c r="G24" i="200"/>
  <c r="D24" i="195" a="1"/>
  <c r="D24" i="195" s="1"/>
  <c r="D24" i="197" a="1"/>
  <c r="D24" i="197" s="1"/>
  <c r="D25" i="196" a="1"/>
  <c r="D25" i="196" s="1"/>
  <c r="D25" i="198" a="1"/>
  <c r="D25" i="198" s="1"/>
  <c r="L25" i="199"/>
  <c r="G25" i="199"/>
  <c r="D26" i="199" a="1"/>
  <c r="D26" i="199" s="1"/>
  <c r="D23" i="176" a="1"/>
  <c r="D23" i="176" s="1"/>
  <c r="L23" i="203" l="1"/>
  <c r="D24" i="203" a="1"/>
  <c r="D24" i="203" s="1"/>
  <c r="G23" i="203"/>
  <c r="J23" i="203" s="1"/>
  <c r="K23" i="203" s="1"/>
  <c r="B46" i="176"/>
  <c r="D26" i="201" a="1"/>
  <c r="D26" i="201" s="1"/>
  <c r="L25" i="201"/>
  <c r="G25" i="201"/>
  <c r="D26" i="202" a="1"/>
  <c r="D26" i="202" s="1"/>
  <c r="D26" i="200" a="1"/>
  <c r="D26" i="200" s="1"/>
  <c r="L25" i="200"/>
  <c r="G25" i="200"/>
  <c r="G26" i="199"/>
  <c r="D27" i="199" a="1"/>
  <c r="D27" i="199" s="1"/>
  <c r="L26" i="199"/>
  <c r="D26" i="198" a="1"/>
  <c r="D26" i="198" s="1"/>
  <c r="D26" i="196" a="1"/>
  <c r="D26" i="196" s="1"/>
  <c r="D25" i="197" a="1"/>
  <c r="D25" i="197" s="1"/>
  <c r="D25" i="195" a="1"/>
  <c r="D25" i="195" s="1"/>
  <c r="D24" i="176" a="1"/>
  <c r="D24" i="176" s="1"/>
  <c r="D25" i="203" l="1" a="1"/>
  <c r="D25" i="203" s="1"/>
  <c r="L24" i="203"/>
  <c r="G24" i="203"/>
  <c r="J24" i="203" s="1"/>
  <c r="K24" i="203" s="1"/>
  <c r="D27" i="200" a="1"/>
  <c r="D27" i="200" s="1"/>
  <c r="G26" i="200"/>
  <c r="L26" i="200"/>
  <c r="D27" i="202" a="1"/>
  <c r="D27" i="202" s="1"/>
  <c r="G26" i="201"/>
  <c r="L26" i="201"/>
  <c r="D27" i="201" a="1"/>
  <c r="D27" i="201" s="1"/>
  <c r="D26" i="197" a="1"/>
  <c r="D26" i="197" s="1"/>
  <c r="D26" i="195" a="1"/>
  <c r="D26" i="195" s="1"/>
  <c r="D27" i="198" a="1"/>
  <c r="D27" i="198" s="1"/>
  <c r="G27" i="199"/>
  <c r="D28" i="199" a="1"/>
  <c r="D28" i="199" s="1"/>
  <c r="L27" i="199"/>
  <c r="D27" i="196" a="1"/>
  <c r="D27" i="196" s="1"/>
  <c r="D25" i="176" a="1"/>
  <c r="D25" i="176" s="1"/>
  <c r="G25" i="203" l="1"/>
  <c r="J25" i="203" s="1"/>
  <c r="K25" i="203" s="1"/>
  <c r="D26" i="203" a="1"/>
  <c r="D26" i="203" s="1"/>
  <c r="L25" i="203"/>
  <c r="L27" i="201"/>
  <c r="G27" i="201"/>
  <c r="D28" i="201" a="1"/>
  <c r="D28" i="201" s="1"/>
  <c r="D28" i="202" a="1"/>
  <c r="D28" i="202" s="1"/>
  <c r="L27" i="200"/>
  <c r="G27" i="200"/>
  <c r="D28" i="200" a="1"/>
  <c r="D28" i="200" s="1"/>
  <c r="D28" i="196" a="1"/>
  <c r="D28" i="196" s="1"/>
  <c r="D29" i="199" a="1"/>
  <c r="D29" i="199" s="1"/>
  <c r="L28" i="199"/>
  <c r="G28" i="199"/>
  <c r="D28" i="198" a="1"/>
  <c r="D28" i="198" s="1"/>
  <c r="D27" i="195" a="1"/>
  <c r="D27" i="195" s="1"/>
  <c r="D27" i="197" a="1"/>
  <c r="D27" i="197" s="1"/>
  <c r="D26" i="176" a="1"/>
  <c r="D26" i="176" s="1"/>
  <c r="L26" i="203" l="1"/>
  <c r="D27" i="203" a="1"/>
  <c r="D27" i="203" s="1"/>
  <c r="G26" i="203"/>
  <c r="J26" i="203" s="1"/>
  <c r="K26" i="203" s="1"/>
  <c r="G28" i="200"/>
  <c r="L28" i="200"/>
  <c r="D29" i="200" a="1"/>
  <c r="D29" i="200" s="1"/>
  <c r="D29" i="202" a="1"/>
  <c r="D29" i="202" s="1"/>
  <c r="G28" i="201"/>
  <c r="L28" i="201"/>
  <c r="D29" i="201" a="1"/>
  <c r="D29" i="201" s="1"/>
  <c r="D28" i="197" a="1"/>
  <c r="D28" i="197" s="1"/>
  <c r="D28" i="195" a="1"/>
  <c r="D28" i="195" s="1"/>
  <c r="D29" i="198" a="1"/>
  <c r="D29" i="198" s="1"/>
  <c r="D30" i="199" a="1"/>
  <c r="D30" i="199" s="1"/>
  <c r="L29" i="199"/>
  <c r="G29" i="199"/>
  <c r="D29" i="196" a="1"/>
  <c r="D29" i="196" s="1"/>
  <c r="D27" i="176" a="1"/>
  <c r="D27" i="176" s="1"/>
  <c r="G27" i="203" l="1"/>
  <c r="J27" i="203" s="1"/>
  <c r="K27" i="203" s="1"/>
  <c r="L27" i="203"/>
  <c r="D28" i="203" a="1"/>
  <c r="D28" i="203" s="1"/>
  <c r="G29" i="201"/>
  <c r="L29" i="201"/>
  <c r="D30" i="201" a="1"/>
  <c r="D30" i="201" s="1"/>
  <c r="D30" i="202" a="1"/>
  <c r="D30" i="202" s="1"/>
  <c r="D30" i="200" a="1"/>
  <c r="D30" i="200" s="1"/>
  <c r="G29" i="200"/>
  <c r="L29" i="200"/>
  <c r="D30" i="198" a="1"/>
  <c r="D30" i="198" s="1"/>
  <c r="D30" i="196" a="1"/>
  <c r="D30" i="196" s="1"/>
  <c r="D29" i="197" a="1"/>
  <c r="D29" i="197" s="1"/>
  <c r="D31" i="199" a="1"/>
  <c r="D31" i="199" s="1"/>
  <c r="L30" i="199"/>
  <c r="G30" i="199"/>
  <c r="D29" i="195" a="1"/>
  <c r="D29" i="195" s="1"/>
  <c r="D28" i="176" a="1"/>
  <c r="D28" i="176" s="1"/>
  <c r="D29" i="203" l="1" a="1"/>
  <c r="D29" i="203" s="1"/>
  <c r="L28" i="203"/>
  <c r="G28" i="203"/>
  <c r="J28" i="203" s="1"/>
  <c r="K28" i="203" s="1"/>
  <c r="D31" i="202" a="1"/>
  <c r="D31" i="202" s="1"/>
  <c r="L30" i="200"/>
  <c r="D31" i="200" a="1"/>
  <c r="D31" i="200" s="1"/>
  <c r="G30" i="200"/>
  <c r="L30" i="201"/>
  <c r="D31" i="201" a="1"/>
  <c r="D31" i="201" s="1"/>
  <c r="G30" i="201"/>
  <c r="D30" i="197" a="1"/>
  <c r="D30" i="197" s="1"/>
  <c r="D31" i="198" a="1"/>
  <c r="D31" i="198" s="1"/>
  <c r="D30" i="195" a="1"/>
  <c r="D30" i="195" s="1"/>
  <c r="D31" i="196" a="1"/>
  <c r="D31" i="196" s="1"/>
  <c r="L31" i="199"/>
  <c r="D32" i="199" a="1"/>
  <c r="D32" i="199" s="1"/>
  <c r="G31" i="199"/>
  <c r="D29" i="176" a="1"/>
  <c r="D29" i="176" s="1"/>
  <c r="D30" i="203" l="1" a="1"/>
  <c r="D30" i="203" s="1"/>
  <c r="G29" i="203"/>
  <c r="J29" i="203" s="1"/>
  <c r="K29" i="203" s="1"/>
  <c r="L29" i="203"/>
  <c r="L31" i="201"/>
  <c r="G31" i="201"/>
  <c r="D32" i="201" a="1"/>
  <c r="D32" i="201" s="1"/>
  <c r="D32" i="200" a="1"/>
  <c r="D32" i="200" s="1"/>
  <c r="L31" i="200"/>
  <c r="G31" i="200"/>
  <c r="D32" i="202" a="1"/>
  <c r="D32" i="202" s="1"/>
  <c r="D33" i="199"/>
  <c r="L32" i="199"/>
  <c r="G32" i="199"/>
  <c r="D32" i="196" a="1"/>
  <c r="D32" i="196" s="1"/>
  <c r="D31" i="195" a="1"/>
  <c r="D31" i="195" s="1"/>
  <c r="D32" i="198" a="1"/>
  <c r="D32" i="198" s="1"/>
  <c r="D31" i="197" a="1"/>
  <c r="D31" i="197" s="1"/>
  <c r="D30" i="176" a="1"/>
  <c r="D30" i="176" s="1"/>
  <c r="D31" i="203" l="1" a="1"/>
  <c r="D31" i="203" s="1"/>
  <c r="L30" i="203"/>
  <c r="G30" i="203"/>
  <c r="J30" i="203" s="1"/>
  <c r="K30" i="203" s="1"/>
  <c r="G32" i="200"/>
  <c r="L32" i="200"/>
  <c r="D33" i="200"/>
  <c r="D33" i="202"/>
  <c r="L32" i="201"/>
  <c r="G32" i="201"/>
  <c r="D33" i="201"/>
  <c r="D33" i="198"/>
  <c r="D32" i="197" a="1"/>
  <c r="D32" i="197" s="1"/>
  <c r="D32" i="195" a="1"/>
  <c r="D32" i="195" s="1"/>
  <c r="D33" i="196"/>
  <c r="G33" i="199"/>
  <c r="D34" i="199"/>
  <c r="L33" i="199"/>
  <c r="D31" i="176" a="1"/>
  <c r="D31" i="176" s="1"/>
  <c r="G31" i="203" l="1"/>
  <c r="J31" i="203" s="1"/>
  <c r="K31" i="203" s="1"/>
  <c r="L31" i="203"/>
  <c r="D32" i="203" a="1"/>
  <c r="D32" i="203" s="1"/>
  <c r="G33" i="201"/>
  <c r="D34" i="201"/>
  <c r="L33" i="201"/>
  <c r="D34" i="202"/>
  <c r="G33" i="200"/>
  <c r="L33" i="200"/>
  <c r="D34" i="200"/>
  <c r="D34" i="196"/>
  <c r="D35" i="199"/>
  <c r="D36" i="199" s="1"/>
  <c r="G34" i="199"/>
  <c r="L34" i="199"/>
  <c r="D33" i="197"/>
  <c r="D33" i="195"/>
  <c r="D34" i="198"/>
  <c r="D32" i="176" a="1"/>
  <c r="D32" i="176" s="1"/>
  <c r="L32" i="203" l="1"/>
  <c r="G32" i="203"/>
  <c r="J32" i="203" s="1"/>
  <c r="K32" i="203" s="1"/>
  <c r="D33" i="203"/>
  <c r="D37" i="199"/>
  <c r="L36" i="199"/>
  <c r="G36" i="199"/>
  <c r="G34" i="200"/>
  <c r="L34" i="200"/>
  <c r="D35" i="200"/>
  <c r="D36" i="200" s="1"/>
  <c r="D35" i="201"/>
  <c r="D36" i="201" s="1"/>
  <c r="G34" i="201"/>
  <c r="L34" i="201"/>
  <c r="D35" i="202"/>
  <c r="D36" i="202" s="1"/>
  <c r="D34" i="197"/>
  <c r="D35" i="198"/>
  <c r="D36" i="198" s="1"/>
  <c r="D35" i="196"/>
  <c r="D36" i="196" s="1"/>
  <c r="D34" i="195"/>
  <c r="G35" i="199"/>
  <c r="L35" i="199"/>
  <c r="D33" i="176"/>
  <c r="D34" i="176" s="1"/>
  <c r="G33" i="203" l="1"/>
  <c r="J33" i="203" s="1"/>
  <c r="K33" i="203" s="1"/>
  <c r="D34" i="203"/>
  <c r="L33" i="203"/>
  <c r="D37" i="202"/>
  <c r="G36" i="201"/>
  <c r="D37" i="201"/>
  <c r="L36" i="201"/>
  <c r="D37" i="200"/>
  <c r="G36" i="200"/>
  <c r="L36" i="200"/>
  <c r="L37" i="199"/>
  <c r="G37" i="199"/>
  <c r="D38" i="199"/>
  <c r="D37" i="198"/>
  <c r="D37" i="196"/>
  <c r="G35" i="201"/>
  <c r="L35" i="201"/>
  <c r="G35" i="200"/>
  <c r="L35" i="200"/>
  <c r="D35" i="176"/>
  <c r="D35" i="195"/>
  <c r="D36" i="195" s="1"/>
  <c r="D35" i="197"/>
  <c r="D36" i="197" s="1"/>
  <c r="D35" i="203" l="1"/>
  <c r="G34" i="203"/>
  <c r="J34" i="203" s="1"/>
  <c r="K34" i="203" s="1"/>
  <c r="L34" i="203"/>
  <c r="D38" i="202"/>
  <c r="G37" i="201"/>
  <c r="D38" i="201"/>
  <c r="L37" i="201"/>
  <c r="L37" i="200"/>
  <c r="G37" i="200"/>
  <c r="D38" i="200"/>
  <c r="D39" i="199"/>
  <c r="L38" i="199"/>
  <c r="G38" i="199"/>
  <c r="D38" i="198"/>
  <c r="D37" i="197"/>
  <c r="D38" i="196"/>
  <c r="D37" i="195"/>
  <c r="D36" i="176"/>
  <c r="D36" i="203" l="1"/>
  <c r="G35" i="203"/>
  <c r="J35" i="203" s="1"/>
  <c r="K35" i="203" s="1"/>
  <c r="L35" i="203"/>
  <c r="D39" i="202"/>
  <c r="D39" i="201"/>
  <c r="G38" i="201"/>
  <c r="L38" i="201"/>
  <c r="D39" i="200"/>
  <c r="G38" i="200"/>
  <c r="L38" i="200"/>
  <c r="L39" i="199"/>
  <c r="G39" i="199"/>
  <c r="D40" i="199"/>
  <c r="D39" i="198"/>
  <c r="D38" i="197"/>
  <c r="D39" i="196"/>
  <c r="D38" i="195"/>
  <c r="D37" i="176"/>
  <c r="E141" i="167"/>
  <c r="E140" i="167"/>
  <c r="E139" i="167"/>
  <c r="E138" i="167"/>
  <c r="E137" i="167"/>
  <c r="E136" i="167"/>
  <c r="E132" i="167"/>
  <c r="E130" i="167"/>
  <c r="E129" i="167"/>
  <c r="K76" i="202" s="1"/>
  <c r="K77" i="202" s="1"/>
  <c r="E128" i="167"/>
  <c r="E127" i="167"/>
  <c r="E126" i="167"/>
  <c r="D37" i="203" l="1"/>
  <c r="L36" i="203"/>
  <c r="G36" i="203"/>
  <c r="J36" i="203" s="1"/>
  <c r="K36" i="203" s="1"/>
  <c r="M39" i="202"/>
  <c r="J76" i="197"/>
  <c r="J77" i="197" s="1"/>
  <c r="J76" i="198"/>
  <c r="J77" i="198" s="1"/>
  <c r="J76" i="176"/>
  <c r="J77" i="176" s="1"/>
  <c r="D40" i="202"/>
  <c r="D40" i="201"/>
  <c r="G39" i="201"/>
  <c r="L39" i="201"/>
  <c r="L39" i="200"/>
  <c r="G39" i="200"/>
  <c r="D40" i="200"/>
  <c r="D41" i="199"/>
  <c r="L40" i="199"/>
  <c r="L48" i="199" s="1"/>
  <c r="G40" i="199"/>
  <c r="D40" i="198"/>
  <c r="D39" i="197"/>
  <c r="D40" i="196"/>
  <c r="D39" i="195"/>
  <c r="J76" i="196"/>
  <c r="J77" i="196" s="1"/>
  <c r="J76" i="195"/>
  <c r="J77" i="195" s="1"/>
  <c r="J76" i="139"/>
  <c r="J77" i="139" s="1"/>
  <c r="D38" i="176"/>
  <c r="E6" i="131"/>
  <c r="A7" i="131"/>
  <c r="G37" i="203" l="1"/>
  <c r="J37" i="203" s="1"/>
  <c r="K37" i="203" s="1"/>
  <c r="L37" i="203"/>
  <c r="D38" i="203"/>
  <c r="L39" i="197"/>
  <c r="M27" i="202"/>
  <c r="H27" i="202"/>
  <c r="H31" i="202"/>
  <c r="M31" i="202"/>
  <c r="H28" i="202"/>
  <c r="M28" i="202"/>
  <c r="M33" i="202"/>
  <c r="H33" i="202"/>
  <c r="H34" i="202"/>
  <c r="M34" i="202"/>
  <c r="M29" i="202"/>
  <c r="H29" i="202"/>
  <c r="M21" i="202"/>
  <c r="H21" i="202"/>
  <c r="H35" i="202"/>
  <c r="M35" i="202"/>
  <c r="H22" i="202"/>
  <c r="M22" i="202"/>
  <c r="H38" i="202"/>
  <c r="M38" i="202"/>
  <c r="M18" i="202"/>
  <c r="H18" i="202"/>
  <c r="H32" i="202"/>
  <c r="M32" i="202"/>
  <c r="M26" i="202"/>
  <c r="H26" i="202"/>
  <c r="M17" i="202"/>
  <c r="H17" i="202"/>
  <c r="G48" i="202"/>
  <c r="H16" i="202"/>
  <c r="M16" i="202"/>
  <c r="M24" i="202"/>
  <c r="H24" i="202"/>
  <c r="H37" i="202"/>
  <c r="M37" i="202"/>
  <c r="H39" i="202"/>
  <c r="H36" i="202"/>
  <c r="M36" i="202"/>
  <c r="M19" i="202"/>
  <c r="H19" i="202"/>
  <c r="H25" i="202"/>
  <c r="M25" i="202"/>
  <c r="G38" i="176"/>
  <c r="M23" i="202"/>
  <c r="H23" i="202"/>
  <c r="G40" i="198"/>
  <c r="H30" i="202"/>
  <c r="M30" i="202"/>
  <c r="H20" i="202"/>
  <c r="M20" i="202"/>
  <c r="H40" i="202"/>
  <c r="D41" i="202"/>
  <c r="M40" i="202"/>
  <c r="D41" i="201"/>
  <c r="L40" i="201"/>
  <c r="L48" i="201" s="1"/>
  <c r="G40" i="201"/>
  <c r="D41" i="200"/>
  <c r="L40" i="200"/>
  <c r="L48" i="200" s="1"/>
  <c r="G40" i="200"/>
  <c r="L41" i="199"/>
  <c r="G41" i="199"/>
  <c r="D42" i="199"/>
  <c r="D41" i="198"/>
  <c r="D40" i="197"/>
  <c r="G40" i="196"/>
  <c r="L39" i="195"/>
  <c r="D41" i="196"/>
  <c r="D40" i="195"/>
  <c r="L38" i="176"/>
  <c r="D39" i="176"/>
  <c r="J7" i="131"/>
  <c r="K7" i="131"/>
  <c r="I7" i="131"/>
  <c r="G7" i="131"/>
  <c r="H7" i="131"/>
  <c r="D7" i="131"/>
  <c r="F7" i="131"/>
  <c r="C7" i="131"/>
  <c r="E7" i="131"/>
  <c r="A8" i="131"/>
  <c r="L38" i="203" l="1"/>
  <c r="G38" i="203"/>
  <c r="J38" i="203" s="1"/>
  <c r="K38" i="203" s="1"/>
  <c r="D39" i="203"/>
  <c r="L40" i="198"/>
  <c r="G25" i="198"/>
  <c r="L25" i="198"/>
  <c r="G18" i="198"/>
  <c r="L18" i="198"/>
  <c r="L25" i="176"/>
  <c r="G25" i="176"/>
  <c r="L37" i="197"/>
  <c r="G37" i="197"/>
  <c r="G23" i="197"/>
  <c r="L23" i="197"/>
  <c r="L33" i="198"/>
  <c r="G33" i="198"/>
  <c r="L24" i="176"/>
  <c r="G24" i="176"/>
  <c r="G28" i="176"/>
  <c r="L28" i="176"/>
  <c r="L17" i="197"/>
  <c r="G17" i="197"/>
  <c r="F48" i="197"/>
  <c r="G15" i="197"/>
  <c r="L15" i="197"/>
  <c r="G17" i="198"/>
  <c r="L17" i="198"/>
  <c r="G21" i="176"/>
  <c r="L21" i="176"/>
  <c r="G26" i="176"/>
  <c r="L26" i="176"/>
  <c r="G21" i="197"/>
  <c r="L21" i="197"/>
  <c r="G26" i="197"/>
  <c r="L26" i="197"/>
  <c r="L24" i="197"/>
  <c r="G24" i="197"/>
  <c r="G31" i="198"/>
  <c r="L31" i="198"/>
  <c r="G20" i="176"/>
  <c r="L20" i="176"/>
  <c r="G29" i="176"/>
  <c r="L29" i="176"/>
  <c r="L36" i="197"/>
  <c r="G36" i="197"/>
  <c r="G23" i="198"/>
  <c r="L23" i="198"/>
  <c r="L38" i="198"/>
  <c r="G38" i="198"/>
  <c r="G18" i="176"/>
  <c r="L18" i="176"/>
  <c r="G38" i="197"/>
  <c r="L38" i="197"/>
  <c r="L39" i="198"/>
  <c r="G39" i="198"/>
  <c r="L30" i="198"/>
  <c r="G30" i="198"/>
  <c r="L22" i="198"/>
  <c r="G22" i="198"/>
  <c r="L30" i="176"/>
  <c r="G30" i="176"/>
  <c r="L19" i="176"/>
  <c r="G19" i="176"/>
  <c r="L32" i="197"/>
  <c r="G32" i="197"/>
  <c r="L23" i="176"/>
  <c r="G23" i="176"/>
  <c r="L29" i="198"/>
  <c r="G29" i="198"/>
  <c r="L21" i="198"/>
  <c r="G21" i="198"/>
  <c r="G33" i="176"/>
  <c r="L33" i="176"/>
  <c r="L22" i="176"/>
  <c r="G22" i="176"/>
  <c r="G20" i="197"/>
  <c r="L20" i="197"/>
  <c r="G25" i="197"/>
  <c r="L25" i="197"/>
  <c r="L37" i="198"/>
  <c r="G37" i="198"/>
  <c r="L32" i="176"/>
  <c r="G32" i="176"/>
  <c r="L31" i="197"/>
  <c r="G31" i="197"/>
  <c r="L16" i="176"/>
  <c r="G16" i="176"/>
  <c r="G29" i="197"/>
  <c r="L29" i="197"/>
  <c r="G20" i="198"/>
  <c r="L20" i="198"/>
  <c r="L14" i="176"/>
  <c r="G14" i="176"/>
  <c r="F48" i="176"/>
  <c r="G36" i="176"/>
  <c r="L36" i="176"/>
  <c r="G16" i="197"/>
  <c r="L16" i="197"/>
  <c r="L22" i="197"/>
  <c r="G22" i="197"/>
  <c r="G24" i="198"/>
  <c r="L24" i="198"/>
  <c r="G36" i="198"/>
  <c r="L36" i="198"/>
  <c r="L15" i="176"/>
  <c r="G15" i="176"/>
  <c r="L27" i="198"/>
  <c r="G27" i="198"/>
  <c r="L32" i="198"/>
  <c r="G32" i="198"/>
  <c r="L34" i="176"/>
  <c r="G34" i="176"/>
  <c r="L31" i="176"/>
  <c r="G31" i="176"/>
  <c r="L35" i="197"/>
  <c r="G35" i="197"/>
  <c r="G30" i="197"/>
  <c r="L30" i="197"/>
  <c r="L35" i="198"/>
  <c r="G35" i="198"/>
  <c r="G17" i="176"/>
  <c r="L17" i="176"/>
  <c r="L33" i="197"/>
  <c r="G33" i="197"/>
  <c r="L18" i="197"/>
  <c r="G18" i="197"/>
  <c r="G28" i="197"/>
  <c r="L28" i="197"/>
  <c r="M48" i="202"/>
  <c r="L19" i="198"/>
  <c r="G19" i="198"/>
  <c r="G39" i="197"/>
  <c r="G26" i="198"/>
  <c r="L26" i="198"/>
  <c r="F48" i="198"/>
  <c r="L16" i="198"/>
  <c r="G16" i="198"/>
  <c r="G27" i="176"/>
  <c r="L27" i="176"/>
  <c r="G35" i="176"/>
  <c r="L35" i="176"/>
  <c r="G19" i="197"/>
  <c r="L19" i="197"/>
  <c r="G28" i="198"/>
  <c r="L28" i="198"/>
  <c r="L34" i="198"/>
  <c r="G34" i="198"/>
  <c r="G37" i="176"/>
  <c r="L37" i="176"/>
  <c r="L27" i="197"/>
  <c r="G27" i="197"/>
  <c r="G34" i="197"/>
  <c r="L34" i="197"/>
  <c r="D42" i="202"/>
  <c r="H41" i="202"/>
  <c r="M41" i="202"/>
  <c r="G41" i="201"/>
  <c r="D42" i="201"/>
  <c r="L41" i="201"/>
  <c r="L41" i="200"/>
  <c r="G41" i="200"/>
  <c r="D42" i="200"/>
  <c r="D43" i="199"/>
  <c r="L42" i="199"/>
  <c r="G42" i="199"/>
  <c r="L41" i="198"/>
  <c r="G41" i="198"/>
  <c r="D42" i="198"/>
  <c r="G40" i="197"/>
  <c r="D41" i="197"/>
  <c r="L40" i="197"/>
  <c r="G29" i="196"/>
  <c r="L29" i="196"/>
  <c r="L31" i="196"/>
  <c r="G31" i="196"/>
  <c r="L30" i="196"/>
  <c r="G30" i="196"/>
  <c r="L28" i="196"/>
  <c r="G28" i="196"/>
  <c r="L39" i="196"/>
  <c r="G39" i="196"/>
  <c r="G22" i="196"/>
  <c r="L22" i="196"/>
  <c r="G20" i="196"/>
  <c r="L20" i="196"/>
  <c r="G18" i="196"/>
  <c r="L18" i="196"/>
  <c r="L40" i="196"/>
  <c r="L26" i="196"/>
  <c r="G26" i="196"/>
  <c r="L24" i="196"/>
  <c r="G24" i="196"/>
  <c r="G38" i="196"/>
  <c r="L38" i="196"/>
  <c r="L21" i="196"/>
  <c r="G21" i="196"/>
  <c r="G35" i="196"/>
  <c r="L35" i="196"/>
  <c r="L34" i="196"/>
  <c r="G34" i="196"/>
  <c r="L33" i="196"/>
  <c r="G33" i="196"/>
  <c r="L17" i="196"/>
  <c r="G17" i="196"/>
  <c r="L27" i="196"/>
  <c r="G27" i="196"/>
  <c r="L25" i="196"/>
  <c r="G25" i="196"/>
  <c r="G23" i="196"/>
  <c r="L23" i="196"/>
  <c r="G37" i="196"/>
  <c r="L37" i="196"/>
  <c r="L36" i="196"/>
  <c r="G36" i="196"/>
  <c r="L19" i="196"/>
  <c r="G19" i="196"/>
  <c r="L32" i="196"/>
  <c r="G32" i="196"/>
  <c r="F48" i="196"/>
  <c r="G16" i="196"/>
  <c r="L16" i="196"/>
  <c r="L20" i="195"/>
  <c r="G20" i="195"/>
  <c r="G29" i="195"/>
  <c r="L29" i="195"/>
  <c r="L25" i="195"/>
  <c r="G25" i="195"/>
  <c r="L23" i="195"/>
  <c r="G23" i="195"/>
  <c r="L38" i="195"/>
  <c r="G38" i="195"/>
  <c r="G39" i="195"/>
  <c r="L17" i="195"/>
  <c r="G17" i="195"/>
  <c r="G16" i="195"/>
  <c r="L16" i="195"/>
  <c r="G30" i="195"/>
  <c r="L30" i="195"/>
  <c r="G26" i="195"/>
  <c r="L26" i="195"/>
  <c r="L21" i="195"/>
  <c r="G21" i="195"/>
  <c r="L36" i="195"/>
  <c r="G36" i="195"/>
  <c r="G18" i="195"/>
  <c r="L18" i="195"/>
  <c r="L33" i="195"/>
  <c r="G33" i="195"/>
  <c r="L32" i="195"/>
  <c r="G32" i="195"/>
  <c r="L15" i="195"/>
  <c r="G15" i="195"/>
  <c r="F48" i="195"/>
  <c r="G27" i="195"/>
  <c r="L27" i="195"/>
  <c r="L24" i="195"/>
  <c r="G24" i="195"/>
  <c r="G22" i="195"/>
  <c r="L22" i="195"/>
  <c r="L37" i="195"/>
  <c r="G37" i="195"/>
  <c r="L19" i="195"/>
  <c r="G19" i="195"/>
  <c r="G35" i="195"/>
  <c r="L35" i="195"/>
  <c r="G34" i="195"/>
  <c r="L34" i="195"/>
  <c r="G31" i="195"/>
  <c r="L31" i="195"/>
  <c r="G28" i="195"/>
  <c r="L28" i="195"/>
  <c r="G41" i="196"/>
  <c r="D42" i="196"/>
  <c r="L41" i="196"/>
  <c r="L40" i="195"/>
  <c r="G40" i="195"/>
  <c r="D41" i="195"/>
  <c r="G39" i="176"/>
  <c r="D40" i="176"/>
  <c r="L39" i="176"/>
  <c r="J8" i="131"/>
  <c r="I8" i="131"/>
  <c r="G8" i="131"/>
  <c r="H8" i="131"/>
  <c r="K8" i="131"/>
  <c r="D8" i="131"/>
  <c r="F8" i="131"/>
  <c r="C8" i="131"/>
  <c r="E8" i="131"/>
  <c r="A9" i="131"/>
  <c r="G39" i="203" l="1"/>
  <c r="J39" i="203" s="1"/>
  <c r="K39" i="203" s="1"/>
  <c r="D40" i="203"/>
  <c r="L39" i="203"/>
  <c r="H42" i="202"/>
  <c r="D43" i="202"/>
  <c r="M42" i="202"/>
  <c r="G42" i="201"/>
  <c r="D43" i="201"/>
  <c r="L42" i="201"/>
  <c r="D43" i="200"/>
  <c r="L42" i="200"/>
  <c r="G42" i="200"/>
  <c r="L43" i="199"/>
  <c r="G43" i="199"/>
  <c r="D44" i="199"/>
  <c r="L42" i="198"/>
  <c r="D43" i="198"/>
  <c r="G42" i="198"/>
  <c r="D42" i="197"/>
  <c r="L41" i="197"/>
  <c r="G41" i="197"/>
  <c r="D43" i="196"/>
  <c r="L42" i="196"/>
  <c r="G42" i="196"/>
  <c r="D42" i="195"/>
  <c r="L41" i="195"/>
  <c r="G41" i="195"/>
  <c r="D41" i="176"/>
  <c r="G40" i="176"/>
  <c r="L40" i="176"/>
  <c r="J9" i="131"/>
  <c r="K9" i="131"/>
  <c r="I9" i="131"/>
  <c r="H9" i="131"/>
  <c r="G9" i="131"/>
  <c r="D9" i="131"/>
  <c r="F9" i="131"/>
  <c r="C9" i="131"/>
  <c r="E9" i="131"/>
  <c r="A10" i="131"/>
  <c r="G40" i="203" l="1"/>
  <c r="J40" i="203" s="1"/>
  <c r="K40" i="203" s="1"/>
  <c r="D41" i="203"/>
  <c r="L40" i="203"/>
  <c r="D44" i="202"/>
  <c r="M43" i="202"/>
  <c r="H43" i="202"/>
  <c r="G43" i="201"/>
  <c r="L43" i="201"/>
  <c r="D44" i="201"/>
  <c r="L43" i="200"/>
  <c r="G43" i="200"/>
  <c r="D44" i="200"/>
  <c r="D45" i="199"/>
  <c r="D46" i="199" s="1"/>
  <c r="L44" i="199"/>
  <c r="G44" i="199"/>
  <c r="L43" i="198"/>
  <c r="G43" i="198"/>
  <c r="D44" i="198"/>
  <c r="G42" i="197"/>
  <c r="D43" i="197"/>
  <c r="L42" i="197"/>
  <c r="L43" i="196"/>
  <c r="G43" i="196"/>
  <c r="D44" i="196"/>
  <c r="L42" i="195"/>
  <c r="G42" i="195"/>
  <c r="D43" i="195"/>
  <c r="G41" i="176"/>
  <c r="L41" i="176"/>
  <c r="D42" i="176"/>
  <c r="J10" i="131"/>
  <c r="H10" i="131"/>
  <c r="K10" i="131"/>
  <c r="I10" i="131"/>
  <c r="G10" i="131"/>
  <c r="D10" i="131"/>
  <c r="F10" i="131"/>
  <c r="C10" i="131"/>
  <c r="E10" i="131"/>
  <c r="A11" i="131"/>
  <c r="L41" i="203" l="1"/>
  <c r="G41" i="203"/>
  <c r="J41" i="203" s="1"/>
  <c r="K41" i="203" s="1"/>
  <c r="D42" i="203"/>
  <c r="H44" i="202"/>
  <c r="D45" i="202"/>
  <c r="M44" i="202"/>
  <c r="G44" i="201"/>
  <c r="D45" i="201"/>
  <c r="D46" i="201" s="1"/>
  <c r="L44" i="201"/>
  <c r="D45" i="200"/>
  <c r="D46" i="200" s="1"/>
  <c r="L44" i="200"/>
  <c r="G44" i="200"/>
  <c r="L46" i="199"/>
  <c r="G46" i="199"/>
  <c r="L45" i="199"/>
  <c r="G45" i="199"/>
  <c r="D45" i="198"/>
  <c r="D46" i="198" s="1"/>
  <c r="L44" i="198"/>
  <c r="G44" i="198"/>
  <c r="D44" i="197"/>
  <c r="L43" i="197"/>
  <c r="G43" i="197"/>
  <c r="D45" i="196"/>
  <c r="D46" i="196" s="1"/>
  <c r="G44" i="196"/>
  <c r="L44" i="196"/>
  <c r="D44" i="195"/>
  <c r="L43" i="195"/>
  <c r="G43" i="195"/>
  <c r="D43" i="176"/>
  <c r="D44" i="176" s="1"/>
  <c r="G42" i="176"/>
  <c r="L42" i="176"/>
  <c r="H11" i="131"/>
  <c r="K11" i="131"/>
  <c r="I11" i="131"/>
  <c r="G11" i="131"/>
  <c r="J11" i="131"/>
  <c r="D11" i="131"/>
  <c r="F11" i="131"/>
  <c r="C11" i="131"/>
  <c r="E11" i="131"/>
  <c r="A12" i="131"/>
  <c r="D43" i="203" l="1"/>
  <c r="G42" i="203"/>
  <c r="J42" i="203" s="1"/>
  <c r="K42" i="203" s="1"/>
  <c r="L42" i="203"/>
  <c r="D46" i="202"/>
  <c r="M45" i="202"/>
  <c r="H45" i="202"/>
  <c r="L46" i="201"/>
  <c r="G46" i="201"/>
  <c r="L45" i="201"/>
  <c r="G45" i="201"/>
  <c r="L46" i="200"/>
  <c r="G46" i="200"/>
  <c r="L45" i="200"/>
  <c r="G45" i="200"/>
  <c r="G46" i="198"/>
  <c r="L46" i="198"/>
  <c r="L45" i="198"/>
  <c r="L48" i="198" s="1"/>
  <c r="G45" i="198"/>
  <c r="G44" i="197"/>
  <c r="D45" i="197"/>
  <c r="L44" i="197"/>
  <c r="L48" i="197" s="1"/>
  <c r="D45" i="176"/>
  <c r="D46" i="176" s="1"/>
  <c r="L44" i="176"/>
  <c r="G44" i="176"/>
  <c r="L46" i="196"/>
  <c r="G46" i="196"/>
  <c r="G45" i="196"/>
  <c r="L45" i="196"/>
  <c r="L48" i="196" s="1"/>
  <c r="L44" i="195"/>
  <c r="L48" i="195" s="1"/>
  <c r="G44" i="195"/>
  <c r="D45" i="195"/>
  <c r="G43" i="176"/>
  <c r="L43" i="176"/>
  <c r="L48" i="176" s="1"/>
  <c r="I12" i="131"/>
  <c r="H12" i="131"/>
  <c r="J12" i="131"/>
  <c r="K12" i="131"/>
  <c r="G12" i="131"/>
  <c r="D12" i="131"/>
  <c r="F12" i="131"/>
  <c r="C12" i="131"/>
  <c r="E12" i="131"/>
  <c r="A13" i="131"/>
  <c r="L43" i="203" l="1"/>
  <c r="L48" i="203" s="1"/>
  <c r="D44" i="203"/>
  <c r="G43" i="203"/>
  <c r="J43" i="203" s="1"/>
  <c r="H46" i="202"/>
  <c r="M46" i="202"/>
  <c r="D46" i="197"/>
  <c r="L45" i="197"/>
  <c r="G45" i="197"/>
  <c r="G46" i="176"/>
  <c r="L46" i="176"/>
  <c r="L45" i="176"/>
  <c r="G45" i="176"/>
  <c r="D46" i="195"/>
  <c r="L45" i="195"/>
  <c r="G45" i="195"/>
  <c r="I13" i="131"/>
  <c r="J13" i="131"/>
  <c r="K13" i="131"/>
  <c r="G13" i="131"/>
  <c r="H13" i="131"/>
  <c r="F13" i="131"/>
  <c r="D13" i="131"/>
  <c r="C13" i="131"/>
  <c r="E13" i="131"/>
  <c r="A14" i="131"/>
  <c r="K43" i="203" l="1"/>
  <c r="K48" i="203" s="1"/>
  <c r="J48" i="203"/>
  <c r="L44" i="203"/>
  <c r="D45" i="203"/>
  <c r="G44" i="203"/>
  <c r="J44" i="203" s="1"/>
  <c r="K44" i="203" s="1"/>
  <c r="G46" i="197"/>
  <c r="L46" i="197"/>
  <c r="L46" i="195"/>
  <c r="G46" i="195"/>
  <c r="G14" i="131"/>
  <c r="I14" i="131"/>
  <c r="J14" i="131"/>
  <c r="H14" i="131"/>
  <c r="K14" i="131"/>
  <c r="F14" i="131"/>
  <c r="D14" i="131"/>
  <c r="C14" i="131"/>
  <c r="E14" i="131"/>
  <c r="A15" i="131"/>
  <c r="L45" i="203" l="1"/>
  <c r="G45" i="203"/>
  <c r="J45" i="203" s="1"/>
  <c r="K45" i="203" s="1"/>
  <c r="D46" i="203"/>
  <c r="I15" i="131"/>
  <c r="G15" i="131"/>
  <c r="H15" i="131"/>
  <c r="J15" i="131"/>
  <c r="K15" i="131"/>
  <c r="F15" i="131"/>
  <c r="D15" i="131"/>
  <c r="C15" i="131"/>
  <c r="E15" i="131"/>
  <c r="A16" i="131"/>
  <c r="G46" i="203" l="1"/>
  <c r="J46" i="203" s="1"/>
  <c r="K46" i="203" s="1"/>
  <c r="L46" i="203"/>
  <c r="G16" i="131"/>
  <c r="H16" i="131"/>
  <c r="J16" i="131"/>
  <c r="I16" i="131"/>
  <c r="K16" i="131"/>
  <c r="F16" i="131"/>
  <c r="D16" i="131"/>
  <c r="C16" i="131"/>
  <c r="E16" i="131"/>
  <c r="A17" i="131"/>
  <c r="G17" i="131" l="1"/>
  <c r="H17" i="131"/>
  <c r="J17" i="131"/>
  <c r="K17" i="131"/>
  <c r="I17" i="131"/>
  <c r="D17" i="131"/>
  <c r="F17" i="131"/>
  <c r="C17" i="131"/>
  <c r="E17" i="131"/>
  <c r="A18" i="131"/>
  <c r="H18" i="131" l="1"/>
  <c r="G18" i="131"/>
  <c r="J18" i="131"/>
  <c r="I18" i="131"/>
  <c r="K18" i="131"/>
  <c r="F18" i="131"/>
  <c r="D18" i="131"/>
  <c r="C18" i="131"/>
  <c r="E18" i="131"/>
  <c r="A19" i="131"/>
  <c r="G19" i="131" l="1"/>
  <c r="H19" i="131"/>
  <c r="I19" i="131"/>
  <c r="J19" i="131"/>
  <c r="K19" i="131"/>
  <c r="D19" i="131"/>
  <c r="F19" i="131"/>
  <c r="C19" i="131"/>
  <c r="E19" i="131"/>
  <c r="A20" i="131"/>
  <c r="K20" i="131" l="1"/>
  <c r="G20" i="131"/>
  <c r="I20" i="131"/>
  <c r="H20" i="131"/>
  <c r="J20" i="131"/>
  <c r="F20" i="131"/>
  <c r="D20" i="131"/>
  <c r="C20" i="131"/>
  <c r="E20" i="131"/>
  <c r="A21" i="131"/>
  <c r="K21" i="131" l="1"/>
  <c r="G21" i="131"/>
  <c r="I21" i="131"/>
  <c r="J21" i="131"/>
  <c r="H21" i="131"/>
  <c r="F21" i="131"/>
  <c r="D21" i="131"/>
  <c r="C21" i="131"/>
  <c r="E21" i="131"/>
  <c r="A22" i="131"/>
  <c r="J22" i="131" l="1"/>
  <c r="K22" i="131"/>
  <c r="G22" i="131"/>
  <c r="I22" i="131"/>
  <c r="H22" i="131"/>
  <c r="F22" i="131"/>
  <c r="D22" i="131"/>
  <c r="C22" i="131"/>
  <c r="E22" i="131"/>
  <c r="A23" i="131"/>
  <c r="J23" i="131" l="1"/>
  <c r="K23" i="131"/>
  <c r="I23" i="131"/>
  <c r="G23" i="131"/>
  <c r="H23" i="131"/>
  <c r="D23" i="131"/>
  <c r="F23" i="131"/>
  <c r="C23" i="131"/>
  <c r="E23" i="131"/>
  <c r="A24" i="131"/>
  <c r="J24" i="131" l="1"/>
  <c r="I24" i="131"/>
  <c r="G24" i="131"/>
  <c r="K24" i="131"/>
  <c r="H24" i="131"/>
  <c r="D24" i="131"/>
  <c r="F24" i="131"/>
  <c r="C24" i="131"/>
  <c r="E24" i="131"/>
  <c r="A25" i="131"/>
  <c r="H25" i="131" l="1"/>
  <c r="J25" i="131"/>
  <c r="K25" i="131"/>
  <c r="I25" i="131"/>
  <c r="G25" i="131"/>
  <c r="D25" i="131"/>
  <c r="F25" i="131"/>
  <c r="C25" i="131"/>
  <c r="E25" i="131"/>
  <c r="A26" i="131"/>
  <c r="E35" i="131" l="1"/>
  <c r="I26" i="131"/>
  <c r="H26" i="131"/>
  <c r="K26" i="131"/>
  <c r="G26" i="131"/>
  <c r="J26" i="131"/>
  <c r="D26" i="131"/>
  <c r="F26" i="131"/>
  <c r="C26" i="131"/>
  <c r="C35" i="131" s="1"/>
  <c r="E26" i="131"/>
  <c r="A27" i="131"/>
  <c r="F35" i="131" l="1"/>
  <c r="H27" i="131"/>
  <c r="K27" i="131"/>
  <c r="I27" i="131"/>
  <c r="J27" i="131"/>
  <c r="G27" i="131"/>
  <c r="D27" i="131"/>
  <c r="F27" i="131"/>
  <c r="C27" i="131"/>
  <c r="E27" i="131"/>
  <c r="A28" i="131"/>
  <c r="G35" i="131" l="1"/>
  <c r="D35" i="131"/>
  <c r="J35" i="131"/>
  <c r="I35" i="131"/>
  <c r="K35" i="131"/>
  <c r="H35" i="131"/>
  <c r="H28" i="131"/>
  <c r="I28" i="131"/>
  <c r="J28" i="131"/>
  <c r="K28" i="131"/>
  <c r="G28" i="131"/>
  <c r="D28" i="131"/>
  <c r="F28" i="131"/>
  <c r="C28" i="131"/>
  <c r="E28" i="131"/>
  <c r="A29" i="131"/>
  <c r="I29" i="131" l="1"/>
  <c r="J29" i="131"/>
  <c r="K29" i="131"/>
  <c r="G29" i="131"/>
  <c r="H29" i="131"/>
  <c r="F29" i="131"/>
  <c r="D29" i="131"/>
  <c r="C29" i="131"/>
  <c r="E29" i="131"/>
  <c r="A30" i="131"/>
  <c r="G30" i="131" l="1"/>
  <c r="I30" i="131"/>
  <c r="H30" i="131"/>
  <c r="J30" i="131"/>
  <c r="K30" i="131"/>
  <c r="F30" i="131"/>
  <c r="D30" i="131"/>
  <c r="C30" i="131"/>
  <c r="A31" i="131"/>
  <c r="E30" i="131"/>
  <c r="G31" i="131" l="1"/>
  <c r="H31" i="131"/>
  <c r="J31" i="131"/>
  <c r="I31" i="131"/>
  <c r="K31" i="131"/>
  <c r="F31" i="131"/>
  <c r="D31" i="131"/>
  <c r="C31" i="131"/>
  <c r="A32" i="131"/>
  <c r="E31" i="131"/>
  <c r="G32" i="131" l="1"/>
  <c r="H32" i="131"/>
  <c r="J32" i="131"/>
  <c r="K32" i="131"/>
  <c r="I32" i="131"/>
  <c r="F32" i="131"/>
  <c r="D32" i="131"/>
  <c r="C32" i="131"/>
  <c r="E32" i="131"/>
  <c r="B58" i="25" l="1"/>
  <c r="B53" i="25"/>
  <c r="A7" i="31"/>
  <c r="A57" i="25" s="1"/>
  <c r="A8" i="31"/>
  <c r="A52" i="25" s="1"/>
  <c r="ER9" i="25" l="1"/>
  <c r="EQ9" i="25"/>
  <c r="EP9" i="25"/>
  <c r="EH9" i="25"/>
  <c r="EG9" i="25"/>
  <c r="EF9" i="25"/>
  <c r="EE9" i="25"/>
  <c r="EN9" i="25" l="1"/>
  <c r="EL9" i="25"/>
  <c r="EJ9" i="25"/>
  <c r="EI9" i="25" l="1"/>
  <c r="ED9" i="25" l="1"/>
  <c r="EB9" i="25" l="1"/>
  <c r="EO9" i="25" l="1"/>
  <c r="D53" i="139" l="1"/>
  <c r="D56" i="139"/>
  <c r="C56" i="139"/>
  <c r="D55" i="139"/>
  <c r="C55" i="139"/>
  <c r="C54" i="139"/>
  <c r="C53" i="139"/>
  <c r="C52" i="139"/>
  <c r="B2" i="139"/>
  <c r="B2" i="131" s="1"/>
  <c r="B5" i="131" l="1"/>
  <c r="D54" i="139"/>
  <c r="B10" i="139"/>
  <c r="B3" i="139"/>
  <c r="B7" i="131" l="1"/>
  <c r="C44" i="131"/>
  <c r="C45" i="131"/>
  <c r="C42" i="131"/>
  <c r="C43" i="131"/>
  <c r="C48" i="131"/>
  <c r="C46" i="131"/>
  <c r="C47" i="131"/>
  <c r="C50" i="131"/>
  <c r="C49" i="131"/>
  <c r="B47" i="131"/>
  <c r="E46" i="131"/>
  <c r="D47" i="131"/>
  <c r="D42" i="131"/>
  <c r="E47" i="131"/>
  <c r="D43" i="131"/>
  <c r="B48" i="131"/>
  <c r="D44" i="131"/>
  <c r="D48" i="131"/>
  <c r="D45" i="131"/>
  <c r="E48" i="131"/>
  <c r="D46" i="131"/>
  <c r="B49" i="131"/>
  <c r="D41" i="131"/>
  <c r="D49" i="131"/>
  <c r="E41" i="131"/>
  <c r="E49" i="131"/>
  <c r="B42" i="131"/>
  <c r="B50" i="131"/>
  <c r="B43" i="131"/>
  <c r="D50" i="131"/>
  <c r="B44" i="131"/>
  <c r="E50" i="131"/>
  <c r="B45" i="131"/>
  <c r="E42" i="131"/>
  <c r="B46" i="131"/>
  <c r="E43" i="131"/>
  <c r="B41" i="131"/>
  <c r="E44" i="131"/>
  <c r="E45" i="131"/>
  <c r="G69" i="131"/>
  <c r="G68" i="131"/>
  <c r="G67" i="131"/>
  <c r="D69" i="131"/>
  <c r="D68" i="131"/>
  <c r="D67" i="131"/>
  <c r="C69" i="131"/>
  <c r="C68" i="131"/>
  <c r="C67" i="131"/>
  <c r="B69" i="131"/>
  <c r="F69" i="131"/>
  <c r="H69" i="131"/>
  <c r="H68" i="131"/>
  <c r="H67" i="131"/>
  <c r="F67" i="131"/>
  <c r="B68" i="131"/>
  <c r="F68" i="131"/>
  <c r="B67" i="131"/>
  <c r="C10" i="139"/>
  <c r="E10" i="139" a="1"/>
  <c r="E10" i="139" s="1"/>
  <c r="B11" i="139"/>
  <c r="E11" i="139" s="1" a="1"/>
  <c r="E11" i="139" s="1"/>
  <c r="EC9" i="25"/>
  <c r="B8" i="131" l="1"/>
  <c r="B12" i="139"/>
  <c r="E12" i="139" s="1" a="1"/>
  <c r="E12" i="139" s="1"/>
  <c r="C11" i="139"/>
  <c r="EK9" i="25"/>
  <c r="B9" i="131" l="1"/>
  <c r="B13" i="139"/>
  <c r="E13" i="139" s="1" a="1"/>
  <c r="E13" i="139" s="1"/>
  <c r="C12" i="139"/>
  <c r="C13" i="139" l="1"/>
  <c r="B14" i="139"/>
  <c r="J14" i="176" l="1"/>
  <c r="C14" i="139"/>
  <c r="D14" i="139" s="1"/>
  <c r="E14" i="139" a="1"/>
  <c r="E14" i="139" s="1"/>
  <c r="B10" i="131"/>
  <c r="B15" i="139"/>
  <c r="K14" i="176" l="1"/>
  <c r="J15" i="197"/>
  <c r="J15" i="195"/>
  <c r="J15" i="176"/>
  <c r="K15" i="176" s="1"/>
  <c r="E15" i="139" a="1"/>
  <c r="E15" i="139" s="1"/>
  <c r="B16" i="139"/>
  <c r="D15" i="139" a="1"/>
  <c r="D15" i="139" s="1"/>
  <c r="J16" i="197" l="1"/>
  <c r="K16" i="197" s="1"/>
  <c r="J16" i="198"/>
  <c r="J16" i="195"/>
  <c r="K16" i="195" s="1"/>
  <c r="J16" i="196"/>
  <c r="J16" i="176"/>
  <c r="K16" i="176" s="1"/>
  <c r="K15" i="195"/>
  <c r="K15" i="197"/>
  <c r="E16" i="139" a="1"/>
  <c r="E16" i="139" s="1"/>
  <c r="D16" i="139" a="1"/>
  <c r="D16" i="139" s="1"/>
  <c r="L15" i="139"/>
  <c r="B17" i="139"/>
  <c r="K16" i="196" l="1"/>
  <c r="J16" i="199"/>
  <c r="K17" i="202"/>
  <c r="L17" i="202" s="1"/>
  <c r="J17" i="200"/>
  <c r="K17" i="200" s="1"/>
  <c r="J17" i="201"/>
  <c r="K17" i="201" s="1"/>
  <c r="J17" i="199"/>
  <c r="K17" i="199" s="1"/>
  <c r="J17" i="197"/>
  <c r="J17" i="198"/>
  <c r="K17" i="198" s="1"/>
  <c r="J17" i="196"/>
  <c r="K17" i="196" s="1"/>
  <c r="J17" i="195"/>
  <c r="J17" i="176"/>
  <c r="K17" i="176" s="1"/>
  <c r="J16" i="201"/>
  <c r="K16" i="198"/>
  <c r="J16" i="200"/>
  <c r="K16" i="202"/>
  <c r="E17" i="139" a="1"/>
  <c r="E17" i="139" s="1"/>
  <c r="B18" i="139"/>
  <c r="D17" i="139" a="1"/>
  <c r="D17" i="139" s="1"/>
  <c r="D18" i="139" s="1" a="1"/>
  <c r="D18" i="139" s="1"/>
  <c r="K17" i="197" l="1"/>
  <c r="K17" i="195"/>
  <c r="K18" i="202"/>
  <c r="L18" i="202" s="1"/>
  <c r="J18" i="200"/>
  <c r="K18" i="200" s="1"/>
  <c r="J18" i="197"/>
  <c r="K18" i="197" s="1"/>
  <c r="J18" i="196"/>
  <c r="J18" i="198"/>
  <c r="K18" i="198" s="1"/>
  <c r="J18" i="199"/>
  <c r="K18" i="199" s="1"/>
  <c r="J18" i="176"/>
  <c r="J18" i="195"/>
  <c r="L16" i="202"/>
  <c r="K16" i="200"/>
  <c r="K16" i="199"/>
  <c r="K16" i="201"/>
  <c r="E18" i="139" a="1"/>
  <c r="E18" i="139" s="1"/>
  <c r="B19" i="139"/>
  <c r="K18" i="195" l="1"/>
  <c r="K18" i="196"/>
  <c r="K18" i="176"/>
  <c r="K19" i="202"/>
  <c r="J19" i="201"/>
  <c r="K19" i="201" s="1"/>
  <c r="J19" i="200"/>
  <c r="J19" i="199"/>
  <c r="J19" i="198"/>
  <c r="K19" i="198" s="1"/>
  <c r="J19" i="197"/>
  <c r="K19" i="197" s="1"/>
  <c r="J19" i="196"/>
  <c r="K19" i="196" s="1"/>
  <c r="J19" i="195"/>
  <c r="K19" i="195" s="1"/>
  <c r="J19" i="176"/>
  <c r="K19" i="176" s="1"/>
  <c r="J18" i="201"/>
  <c r="D19" i="139" a="1"/>
  <c r="D19" i="139" s="1"/>
  <c r="E19" i="139" a="1"/>
  <c r="E19" i="139" s="1"/>
  <c r="B20" i="139"/>
  <c r="L19" i="202" l="1"/>
  <c r="K19" i="200"/>
  <c r="D20" i="139" a="1"/>
  <c r="D20" i="139" s="1"/>
  <c r="D21" i="139" s="1" a="1"/>
  <c r="D21" i="139" s="1"/>
  <c r="K18" i="201"/>
  <c r="K19" i="199"/>
  <c r="J20" i="198"/>
  <c r="J20" i="197"/>
  <c r="K20" i="197" s="1"/>
  <c r="J20" i="199"/>
  <c r="K20" i="199" s="1"/>
  <c r="J20" i="176"/>
  <c r="K20" i="176" s="1"/>
  <c r="J20" i="196"/>
  <c r="J20" i="195"/>
  <c r="E20" i="139" a="1"/>
  <c r="E20" i="139" s="1"/>
  <c r="B21" i="139"/>
  <c r="K20" i="195" l="1"/>
  <c r="K20" i="198"/>
  <c r="K20" i="196"/>
  <c r="J20" i="201"/>
  <c r="J20" i="200"/>
  <c r="K20" i="202"/>
  <c r="K21" i="202"/>
  <c r="L21" i="202" s="1"/>
  <c r="J21" i="201"/>
  <c r="K21" i="201" s="1"/>
  <c r="J21" i="200"/>
  <c r="K21" i="200" s="1"/>
  <c r="J21" i="199"/>
  <c r="K21" i="199" s="1"/>
  <c r="J21" i="198"/>
  <c r="K21" i="198" s="1"/>
  <c r="J21" i="197"/>
  <c r="K21" i="197" s="1"/>
  <c r="J21" i="196"/>
  <c r="K21" i="196" s="1"/>
  <c r="J21" i="176"/>
  <c r="K21" i="176" s="1"/>
  <c r="J21" i="195"/>
  <c r="K21" i="195" s="1"/>
  <c r="E21" i="139" a="1"/>
  <c r="E21" i="139" s="1"/>
  <c r="B22" i="139"/>
  <c r="D22" i="139" l="1" a="1"/>
  <c r="D22" i="139" s="1"/>
  <c r="K22" i="202"/>
  <c r="L22" i="202" s="1"/>
  <c r="J22" i="201"/>
  <c r="K22" i="201" s="1"/>
  <c r="J22" i="200"/>
  <c r="K22" i="200" s="1"/>
  <c r="J22" i="198"/>
  <c r="K22" i="198" s="1"/>
  <c r="J22" i="199"/>
  <c r="K22" i="199" s="1"/>
  <c r="J22" i="197"/>
  <c r="K22" i="197" s="1"/>
  <c r="J22" i="176"/>
  <c r="K22" i="176" s="1"/>
  <c r="J22" i="196"/>
  <c r="K22" i="196" s="1"/>
  <c r="J22" i="195"/>
  <c r="K22" i="195" s="1"/>
  <c r="L20" i="202"/>
  <c r="K20" i="200"/>
  <c r="K20" i="201"/>
  <c r="E22" i="139" a="1"/>
  <c r="E22" i="139" s="1"/>
  <c r="B23" i="139"/>
  <c r="D23" i="139" l="1" a="1"/>
  <c r="D23" i="139" s="1"/>
  <c r="J23" i="200"/>
  <c r="K23" i="200" s="1"/>
  <c r="K23" i="202"/>
  <c r="J23" i="197"/>
  <c r="K23" i="197" s="1"/>
  <c r="J23" i="198"/>
  <c r="K23" i="198" s="1"/>
  <c r="J23" i="199"/>
  <c r="J23" i="176"/>
  <c r="K23" i="176" s="1"/>
  <c r="J23" i="195"/>
  <c r="K23" i="195" s="1"/>
  <c r="J23" i="196"/>
  <c r="K23" i="196" s="1"/>
  <c r="E23" i="139" a="1"/>
  <c r="E23" i="139" s="1"/>
  <c r="B24" i="139"/>
  <c r="K24" i="202" l="1"/>
  <c r="L24" i="202" s="1"/>
  <c r="J24" i="201"/>
  <c r="K24" i="201" s="1"/>
  <c r="J24" i="200"/>
  <c r="J24" i="199"/>
  <c r="K24" i="199" s="1"/>
  <c r="J24" i="198"/>
  <c r="K24" i="198" s="1"/>
  <c r="J24" i="197"/>
  <c r="K24" i="197" s="1"/>
  <c r="J24" i="176"/>
  <c r="K24" i="176" s="1"/>
  <c r="J24" i="196"/>
  <c r="K24" i="196" s="1"/>
  <c r="J24" i="195"/>
  <c r="K24" i="195" s="1"/>
  <c r="K23" i="199"/>
  <c r="J23" i="201"/>
  <c r="L23" i="202"/>
  <c r="B25" i="139"/>
  <c r="E24" i="139" a="1"/>
  <c r="E24" i="139" s="1"/>
  <c r="E35" i="139" s="1"/>
  <c r="D24" i="139" a="1"/>
  <c r="D24" i="139" s="1"/>
  <c r="D25" i="139" l="1" a="1"/>
  <c r="D25" i="139" s="1"/>
  <c r="K23" i="201"/>
  <c r="K24" i="200"/>
  <c r="J25" i="200"/>
  <c r="K25" i="200" s="1"/>
  <c r="J25" i="201"/>
  <c r="K25" i="201" s="1"/>
  <c r="K25" i="202"/>
  <c r="J25" i="199"/>
  <c r="K25" i="199" s="1"/>
  <c r="J25" i="198"/>
  <c r="K25" i="198" s="1"/>
  <c r="J25" i="197"/>
  <c r="K25" i="197" s="1"/>
  <c r="J25" i="195"/>
  <c r="K25" i="195" s="1"/>
  <c r="J25" i="196"/>
  <c r="K25" i="196" s="1"/>
  <c r="J25" i="176"/>
  <c r="K25" i="176" s="1"/>
  <c r="B26" i="139"/>
  <c r="E25" i="139" a="1"/>
  <c r="E25" i="139" s="1"/>
  <c r="E36" i="139" s="1"/>
  <c r="AX9" i="25"/>
  <c r="P9" i="25" s="1"/>
  <c r="EM9" i="25"/>
  <c r="L25" i="202" l="1"/>
  <c r="K26" i="202"/>
  <c r="L26" i="202" s="1"/>
  <c r="J26" i="201"/>
  <c r="K26" i="201" s="1"/>
  <c r="J26" i="200"/>
  <c r="K26" i="200" s="1"/>
  <c r="J26" i="197"/>
  <c r="K26" i="197" s="1"/>
  <c r="J26" i="196"/>
  <c r="K26" i="196" s="1"/>
  <c r="J26" i="199"/>
  <c r="K26" i="199" s="1"/>
  <c r="J26" i="198"/>
  <c r="K26" i="198" s="1"/>
  <c r="J26" i="176"/>
  <c r="K26" i="176" s="1"/>
  <c r="J26" i="195"/>
  <c r="K26" i="195" s="1"/>
  <c r="B27" i="139"/>
  <c r="E26" i="139" a="1"/>
  <c r="E26" i="139" s="1"/>
  <c r="E37" i="139" s="1"/>
  <c r="D26" i="139" a="1"/>
  <c r="D26" i="139" s="1"/>
  <c r="EA9" i="25"/>
  <c r="D27" i="139" l="1" a="1"/>
  <c r="D27" i="139" s="1"/>
  <c r="K27" i="202"/>
  <c r="L27" i="202" s="1"/>
  <c r="J27" i="201"/>
  <c r="K27" i="201" s="1"/>
  <c r="J27" i="200"/>
  <c r="K27" i="200" s="1"/>
  <c r="J27" i="199"/>
  <c r="K27" i="199" s="1"/>
  <c r="J27" i="198"/>
  <c r="K27" i="198" s="1"/>
  <c r="J27" i="197"/>
  <c r="K27" i="197" s="1"/>
  <c r="J27" i="176"/>
  <c r="K27" i="176" s="1"/>
  <c r="J27" i="196"/>
  <c r="K27" i="196" s="1"/>
  <c r="J27" i="195"/>
  <c r="K27" i="195" s="1"/>
  <c r="B28" i="139"/>
  <c r="E27" i="139" a="1"/>
  <c r="E27" i="139" s="1"/>
  <c r="E38" i="139" s="1"/>
  <c r="J28" i="200" l="1"/>
  <c r="K28" i="200" s="1"/>
  <c r="K28" i="202"/>
  <c r="L28" i="202" s="1"/>
  <c r="J28" i="201"/>
  <c r="K28" i="201" s="1"/>
  <c r="J28" i="199"/>
  <c r="K28" i="199" s="1"/>
  <c r="J28" i="198"/>
  <c r="K28" i="198" s="1"/>
  <c r="J28" i="197"/>
  <c r="K28" i="197" s="1"/>
  <c r="J28" i="196"/>
  <c r="K28" i="196" s="1"/>
  <c r="J28" i="176"/>
  <c r="J28" i="195"/>
  <c r="K28" i="195" s="1"/>
  <c r="B29" i="139"/>
  <c r="E28" i="139" a="1"/>
  <c r="E28" i="139" s="1"/>
  <c r="E39" i="139" s="1"/>
  <c r="D28" i="139" a="1"/>
  <c r="D28" i="139" s="1"/>
  <c r="G14" i="139"/>
  <c r="J14" i="139" s="1"/>
  <c r="L14" i="139"/>
  <c r="K28" i="176" l="1"/>
  <c r="J29" i="200"/>
  <c r="K29" i="200" s="1"/>
  <c r="K29" i="202"/>
  <c r="L29" i="202" s="1"/>
  <c r="J29" i="201"/>
  <c r="K29" i="201" s="1"/>
  <c r="J29" i="199"/>
  <c r="K29" i="199" s="1"/>
  <c r="J29" i="198"/>
  <c r="K29" i="198" s="1"/>
  <c r="J29" i="197"/>
  <c r="J29" i="195"/>
  <c r="J29" i="176"/>
  <c r="K29" i="176" s="1"/>
  <c r="J29" i="196"/>
  <c r="K29" i="196" s="1"/>
  <c r="D29" i="139" a="1"/>
  <c r="D29" i="139" s="1"/>
  <c r="B30" i="139"/>
  <c r="E29" i="139" a="1"/>
  <c r="E29" i="139" s="1"/>
  <c r="E40" i="139" s="1"/>
  <c r="B11" i="131"/>
  <c r="G15" i="139"/>
  <c r="J15" i="139" s="1"/>
  <c r="K15" i="139" s="1"/>
  <c r="B12" i="131"/>
  <c r="K14" i="139"/>
  <c r="K29" i="195" l="1"/>
  <c r="J30" i="197"/>
  <c r="K30" i="197" s="1"/>
  <c r="J30" i="198"/>
  <c r="J30" i="196"/>
  <c r="J30" i="176"/>
  <c r="K30" i="176" s="1"/>
  <c r="J30" i="195"/>
  <c r="K30" i="195" s="1"/>
  <c r="K29" i="197"/>
  <c r="B31" i="139"/>
  <c r="E30" i="139" a="1"/>
  <c r="E30" i="139" s="1"/>
  <c r="E41" i="139" s="1"/>
  <c r="D30" i="139" a="1"/>
  <c r="D30" i="139" s="1"/>
  <c r="L16" i="139"/>
  <c r="G16" i="139"/>
  <c r="J16" i="139" s="1"/>
  <c r="K30" i="198" l="1"/>
  <c r="J30" i="200"/>
  <c r="D31" i="139" a="1"/>
  <c r="D31" i="139" s="1"/>
  <c r="J30" i="201"/>
  <c r="J31" i="201"/>
  <c r="K31" i="201" s="1"/>
  <c r="J31" i="200"/>
  <c r="K31" i="200" s="1"/>
  <c r="K31" i="202"/>
  <c r="L31" i="202" s="1"/>
  <c r="J31" i="197"/>
  <c r="K31" i="197" s="1"/>
  <c r="J31" i="198"/>
  <c r="K31" i="198" s="1"/>
  <c r="J31" i="199"/>
  <c r="K31" i="199" s="1"/>
  <c r="J31" i="195"/>
  <c r="K31" i="195" s="1"/>
  <c r="J31" i="196"/>
  <c r="K31" i="196" s="1"/>
  <c r="J31" i="176"/>
  <c r="K31" i="176" s="1"/>
  <c r="K30" i="196"/>
  <c r="J30" i="199"/>
  <c r="K30" i="202"/>
  <c r="B32" i="139"/>
  <c r="E31" i="139" a="1"/>
  <c r="E31" i="139" s="1"/>
  <c r="E42" i="139" s="1"/>
  <c r="B13" i="131"/>
  <c r="L17" i="139"/>
  <c r="B14" i="131" s="1"/>
  <c r="G17" i="139"/>
  <c r="J17" i="139" s="1"/>
  <c r="K17" i="139" s="1"/>
  <c r="K16" i="139"/>
  <c r="K30" i="199" l="1"/>
  <c r="L30" i="202"/>
  <c r="K30" i="201"/>
  <c r="K30" i="200"/>
  <c r="B33" i="139"/>
  <c r="E32" i="139" a="1"/>
  <c r="E32" i="139" s="1"/>
  <c r="D32" i="139" a="1"/>
  <c r="D32" i="139" s="1"/>
  <c r="G18" i="139"/>
  <c r="J18" i="139" s="1"/>
  <c r="K18" i="139" s="1"/>
  <c r="L18" i="139"/>
  <c r="B15" i="131" s="1"/>
  <c r="B34" i="139" l="1"/>
  <c r="J32" i="195"/>
  <c r="K32" i="195" s="1"/>
  <c r="J32" i="196"/>
  <c r="K32" i="196" s="1"/>
  <c r="J32" i="198"/>
  <c r="K32" i="198" s="1"/>
  <c r="J32" i="201"/>
  <c r="K32" i="201" s="1"/>
  <c r="J32" i="176"/>
  <c r="K32" i="176" s="1"/>
  <c r="D33" i="139"/>
  <c r="D34" i="139" s="1"/>
  <c r="D35" i="139" s="1"/>
  <c r="D36" i="139" s="1"/>
  <c r="D37" i="139" s="1"/>
  <c r="D38" i="139" s="1"/>
  <c r="D39" i="139" s="1"/>
  <c r="D40" i="139" s="1"/>
  <c r="D41" i="139" s="1"/>
  <c r="D42" i="139" s="1"/>
  <c r="D43" i="139" s="1"/>
  <c r="D44" i="139" s="1"/>
  <c r="D45" i="139" s="1"/>
  <c r="D46" i="139" s="1"/>
  <c r="E33" i="139"/>
  <c r="E43" i="139"/>
  <c r="J32" i="199"/>
  <c r="K32" i="199" s="1"/>
  <c r="J32" i="197"/>
  <c r="K32" i="197" s="1"/>
  <c r="J32" i="200"/>
  <c r="K32" i="200" s="1"/>
  <c r="K32" i="202"/>
  <c r="L32" i="202" s="1"/>
  <c r="G19" i="139"/>
  <c r="J19" i="139" s="1"/>
  <c r="K19" i="139" s="1"/>
  <c r="L19" i="139"/>
  <c r="B16" i="131" s="1"/>
  <c r="B35" i="139" l="1"/>
  <c r="B36" i="139"/>
  <c r="E34" i="139"/>
  <c r="E44" i="139"/>
  <c r="J33" i="201"/>
  <c r="K33" i="201" s="1"/>
  <c r="K33" i="202"/>
  <c r="L33" i="202" s="1"/>
  <c r="J33" i="200"/>
  <c r="K33" i="200" s="1"/>
  <c r="J33" i="197"/>
  <c r="K33" i="197" s="1"/>
  <c r="J33" i="176"/>
  <c r="K33" i="176" s="1"/>
  <c r="J33" i="198"/>
  <c r="K33" i="198" s="1"/>
  <c r="J33" i="196"/>
  <c r="K33" i="196" s="1"/>
  <c r="J33" i="195"/>
  <c r="K33" i="195" s="1"/>
  <c r="J33" i="199"/>
  <c r="K33" i="199" s="1"/>
  <c r="G20" i="139"/>
  <c r="L20" i="139"/>
  <c r="B17" i="131" s="1"/>
  <c r="J20" i="139" l="1"/>
  <c r="K20" i="139" s="1"/>
  <c r="E45" i="139"/>
  <c r="E46" i="139"/>
  <c r="G35" i="139"/>
  <c r="J35" i="139" s="1"/>
  <c r="K35" i="139" s="1"/>
  <c r="L35" i="139"/>
  <c r="B37" i="139"/>
  <c r="J34" i="197"/>
  <c r="K34" i="197" s="1"/>
  <c r="J34" i="176"/>
  <c r="K34" i="176" s="1"/>
  <c r="J34" i="200"/>
  <c r="K34" i="200" s="1"/>
  <c r="K34" i="202"/>
  <c r="L34" i="202" s="1"/>
  <c r="J34" i="199"/>
  <c r="K34" i="199" s="1"/>
  <c r="J34" i="201"/>
  <c r="K34" i="201" s="1"/>
  <c r="J34" i="195"/>
  <c r="K34" i="195" s="1"/>
  <c r="J34" i="196"/>
  <c r="K34" i="196" s="1"/>
  <c r="J34" i="198"/>
  <c r="K34" i="198" s="1"/>
  <c r="G21" i="139"/>
  <c r="J21" i="139" s="1"/>
  <c r="K21" i="139" s="1"/>
  <c r="L21" i="139"/>
  <c r="B18" i="131" s="1"/>
  <c r="K35" i="202" l="1"/>
  <c r="L35" i="202" s="1"/>
  <c r="J35" i="201"/>
  <c r="K35" i="201" s="1"/>
  <c r="J35" i="200"/>
  <c r="K35" i="200" s="1"/>
  <c r="J35" i="199"/>
  <c r="K35" i="199" s="1"/>
  <c r="J35" i="198"/>
  <c r="K35" i="198" s="1"/>
  <c r="J35" i="197"/>
  <c r="K35" i="197" s="1"/>
  <c r="J35" i="196"/>
  <c r="K35" i="196" s="1"/>
  <c r="J35" i="195"/>
  <c r="K35" i="195" s="1"/>
  <c r="L36" i="139"/>
  <c r="G36" i="139"/>
  <c r="J36" i="139" s="1"/>
  <c r="K36" i="139" s="1"/>
  <c r="B38" i="139"/>
  <c r="J35" i="176"/>
  <c r="K35" i="176" s="1"/>
  <c r="L22" i="139"/>
  <c r="B19" i="131" s="1"/>
  <c r="G22" i="139"/>
  <c r="J22" i="139" s="1"/>
  <c r="K22" i="139" s="1"/>
  <c r="K36" i="202" l="1"/>
  <c r="L36" i="202" s="1"/>
  <c r="J36" i="201"/>
  <c r="K36" i="201" s="1"/>
  <c r="J36" i="200"/>
  <c r="K36" i="200" s="1"/>
  <c r="J36" i="199"/>
  <c r="K36" i="199" s="1"/>
  <c r="J36" i="198"/>
  <c r="K36" i="198" s="1"/>
  <c r="J36" i="197"/>
  <c r="K36" i="197" s="1"/>
  <c r="J36" i="196"/>
  <c r="K36" i="196" s="1"/>
  <c r="J36" i="195"/>
  <c r="K36" i="195" s="1"/>
  <c r="L37" i="139"/>
  <c r="G37" i="139"/>
  <c r="J37" i="139" s="1"/>
  <c r="K37" i="139" s="1"/>
  <c r="B39" i="139"/>
  <c r="J36" i="176"/>
  <c r="K36" i="176" s="1"/>
  <c r="G23" i="139"/>
  <c r="J23" i="139" s="1"/>
  <c r="K23" i="139" s="1"/>
  <c r="L23" i="139"/>
  <c r="B20" i="131" s="1"/>
  <c r="K37" i="202" l="1"/>
  <c r="L37" i="202" s="1"/>
  <c r="J37" i="201"/>
  <c r="K37" i="201" s="1"/>
  <c r="J37" i="200"/>
  <c r="K37" i="200" s="1"/>
  <c r="J37" i="199"/>
  <c r="K37" i="199" s="1"/>
  <c r="J37" i="198"/>
  <c r="K37" i="198" s="1"/>
  <c r="J37" i="197"/>
  <c r="K37" i="197" s="1"/>
  <c r="J37" i="196"/>
  <c r="K37" i="196" s="1"/>
  <c r="J37" i="195"/>
  <c r="K37" i="195" s="1"/>
  <c r="L38" i="139"/>
  <c r="G38" i="139"/>
  <c r="J38" i="139" s="1"/>
  <c r="K38" i="139" s="1"/>
  <c r="B40" i="139"/>
  <c r="J37" i="176"/>
  <c r="K37" i="176" s="1"/>
  <c r="G24" i="139"/>
  <c r="J24" i="139" s="1"/>
  <c r="K24" i="139" s="1"/>
  <c r="L24" i="139"/>
  <c r="B21" i="131" s="1"/>
  <c r="K38" i="202" l="1"/>
  <c r="L38" i="202" s="1"/>
  <c r="J38" i="201"/>
  <c r="K38" i="201" s="1"/>
  <c r="J38" i="200"/>
  <c r="K38" i="200" s="1"/>
  <c r="J38" i="199"/>
  <c r="K38" i="199" s="1"/>
  <c r="J38" i="198"/>
  <c r="K38" i="198" s="1"/>
  <c r="J38" i="197"/>
  <c r="K38" i="197" s="1"/>
  <c r="J38" i="196"/>
  <c r="K38" i="196" s="1"/>
  <c r="J38" i="195"/>
  <c r="K38" i="195" s="1"/>
  <c r="L39" i="139"/>
  <c r="G39" i="139"/>
  <c r="J39" i="139" s="1"/>
  <c r="K39" i="139" s="1"/>
  <c r="B41" i="139"/>
  <c r="J38" i="176"/>
  <c r="K38" i="176" s="1"/>
  <c r="G25" i="139"/>
  <c r="J25" i="139" s="1"/>
  <c r="K25" i="139" s="1"/>
  <c r="L25" i="139"/>
  <c r="B22" i="131" s="1"/>
  <c r="K39" i="202" l="1"/>
  <c r="L39" i="202" s="1"/>
  <c r="J39" i="201"/>
  <c r="K39" i="201" s="1"/>
  <c r="J39" i="200"/>
  <c r="K39" i="200" s="1"/>
  <c r="J39" i="199"/>
  <c r="K39" i="199" s="1"/>
  <c r="J39" i="198"/>
  <c r="K39" i="198" s="1"/>
  <c r="J39" i="197"/>
  <c r="K39" i="197" s="1"/>
  <c r="J39" i="196"/>
  <c r="K39" i="196" s="1"/>
  <c r="J39" i="195"/>
  <c r="K39" i="195" s="1"/>
  <c r="L40" i="139"/>
  <c r="G40" i="139"/>
  <c r="J40" i="139" s="1"/>
  <c r="K40" i="139" s="1"/>
  <c r="B42" i="139"/>
  <c r="J39" i="176"/>
  <c r="K39" i="176" s="1"/>
  <c r="G26" i="139"/>
  <c r="J26" i="139" s="1"/>
  <c r="K26" i="139" s="1"/>
  <c r="L26" i="139"/>
  <c r="B23" i="131" s="1"/>
  <c r="K40" i="202" l="1"/>
  <c r="J40" i="201"/>
  <c r="J40" i="200"/>
  <c r="J40" i="199"/>
  <c r="J40" i="198"/>
  <c r="K40" i="198" s="1"/>
  <c r="J40" i="197"/>
  <c r="K40" i="197" s="1"/>
  <c r="J40" i="196"/>
  <c r="K40" i="196" s="1"/>
  <c r="J40" i="195"/>
  <c r="K40" i="195" s="1"/>
  <c r="G41" i="139"/>
  <c r="J41" i="139" s="1"/>
  <c r="K41" i="139" s="1"/>
  <c r="L41" i="139"/>
  <c r="B43" i="139"/>
  <c r="J40" i="176"/>
  <c r="K40" i="176" s="1"/>
  <c r="G27" i="139"/>
  <c r="J27" i="139" s="1"/>
  <c r="K27" i="139" s="1"/>
  <c r="L27" i="139"/>
  <c r="B24" i="131" s="1"/>
  <c r="K40" i="200" l="1"/>
  <c r="K48" i="200" s="1"/>
  <c r="J48" i="200"/>
  <c r="K40" i="199"/>
  <c r="K48" i="199" s="1"/>
  <c r="J48" i="199"/>
  <c r="K40" i="201"/>
  <c r="K48" i="201" s="1"/>
  <c r="J48" i="201"/>
  <c r="L40" i="202"/>
  <c r="L48" i="202" s="1"/>
  <c r="K48" i="202"/>
  <c r="K41" i="202"/>
  <c r="L41" i="202" s="1"/>
  <c r="J41" i="201"/>
  <c r="K41" i="201" s="1"/>
  <c r="J41" i="200"/>
  <c r="K41" i="200" s="1"/>
  <c r="J41" i="199"/>
  <c r="K41" i="199" s="1"/>
  <c r="J41" i="198"/>
  <c r="K41" i="198" s="1"/>
  <c r="J41" i="197"/>
  <c r="K41" i="197" s="1"/>
  <c r="J41" i="196"/>
  <c r="K41" i="196" s="1"/>
  <c r="J41" i="195"/>
  <c r="K41" i="195" s="1"/>
  <c r="L42" i="139"/>
  <c r="G42" i="139"/>
  <c r="J42" i="139" s="1"/>
  <c r="K42" i="139" s="1"/>
  <c r="B44" i="139"/>
  <c r="J41" i="176"/>
  <c r="K41" i="176" s="1"/>
  <c r="G28" i="139"/>
  <c r="J28" i="139" s="1"/>
  <c r="L28" i="139"/>
  <c r="K42" i="202" l="1"/>
  <c r="L42" i="202" s="1"/>
  <c r="J42" i="201"/>
  <c r="K42" i="201" s="1"/>
  <c r="J42" i="200"/>
  <c r="K42" i="200" s="1"/>
  <c r="J42" i="199"/>
  <c r="K42" i="199" s="1"/>
  <c r="J42" i="198"/>
  <c r="K42" i="198" s="1"/>
  <c r="J42" i="197"/>
  <c r="K42" i="197" s="1"/>
  <c r="J42" i="196"/>
  <c r="K42" i="196" s="1"/>
  <c r="J42" i="195"/>
  <c r="K42" i="195" s="1"/>
  <c r="L43" i="139"/>
  <c r="G43" i="139"/>
  <c r="J43" i="139" s="1"/>
  <c r="B45" i="139"/>
  <c r="J42" i="176"/>
  <c r="K42" i="176" s="1"/>
  <c r="K28" i="139"/>
  <c r="B25" i="131"/>
  <c r="B35" i="131" s="1"/>
  <c r="C41" i="131" s="1"/>
  <c r="G29" i="139"/>
  <c r="J29" i="139" s="1"/>
  <c r="K29" i="139" s="1"/>
  <c r="L29" i="139"/>
  <c r="B26" i="131" s="1"/>
  <c r="K43" i="139" l="1"/>
  <c r="K43" i="202"/>
  <c r="L43" i="202" s="1"/>
  <c r="J43" i="201"/>
  <c r="K43" i="201" s="1"/>
  <c r="J43" i="200"/>
  <c r="K43" i="200" s="1"/>
  <c r="J43" i="199"/>
  <c r="K43" i="199" s="1"/>
  <c r="J43" i="198"/>
  <c r="K43" i="198" s="1"/>
  <c r="J43" i="197"/>
  <c r="K43" i="197" s="1"/>
  <c r="J43" i="176"/>
  <c r="J43" i="196"/>
  <c r="K43" i="196" s="1"/>
  <c r="J43" i="195"/>
  <c r="K43" i="195" s="1"/>
  <c r="B46" i="139"/>
  <c r="G45" i="139"/>
  <c r="J45" i="139" s="1"/>
  <c r="K45" i="139" s="1"/>
  <c r="L45" i="139"/>
  <c r="B32" i="131" s="1"/>
  <c r="L44" i="139"/>
  <c r="G44" i="139"/>
  <c r="J44" i="139" s="1"/>
  <c r="K44" i="139" s="1"/>
  <c r="G31" i="139"/>
  <c r="J31" i="139" s="1"/>
  <c r="K31" i="139" s="1"/>
  <c r="L31" i="139"/>
  <c r="B28" i="131" s="1"/>
  <c r="G30" i="139"/>
  <c r="J30" i="139" s="1"/>
  <c r="L30" i="139"/>
  <c r="B27" i="131" s="1"/>
  <c r="K43" i="176" l="1"/>
  <c r="K48" i="176" s="1"/>
  <c r="J48" i="176"/>
  <c r="K44" i="202"/>
  <c r="L44" i="202" s="1"/>
  <c r="J44" i="201"/>
  <c r="K44" i="201" s="1"/>
  <c r="J44" i="200"/>
  <c r="K44" i="200" s="1"/>
  <c r="J44" i="199"/>
  <c r="K44" i="199" s="1"/>
  <c r="J44" i="198"/>
  <c r="K44" i="198" s="1"/>
  <c r="J44" i="197"/>
  <c r="J44" i="176"/>
  <c r="K44" i="176" s="1"/>
  <c r="J44" i="196"/>
  <c r="K44" i="196" s="1"/>
  <c r="J44" i="195"/>
  <c r="L46" i="139"/>
  <c r="G46" i="139"/>
  <c r="J46" i="139" s="1"/>
  <c r="K46" i="139" s="1"/>
  <c r="L33" i="139"/>
  <c r="B30" i="131" s="1"/>
  <c r="G33" i="139"/>
  <c r="J33" i="139" s="1"/>
  <c r="K33" i="139" s="1"/>
  <c r="L32" i="139"/>
  <c r="B29" i="131" s="1"/>
  <c r="G32" i="139"/>
  <c r="J32" i="139" s="1"/>
  <c r="K32" i="139" s="1"/>
  <c r="K30" i="139"/>
  <c r="K44" i="195" l="1"/>
  <c r="K48" i="195" s="1"/>
  <c r="J48" i="195"/>
  <c r="K44" i="197"/>
  <c r="K48" i="197" s="1"/>
  <c r="J48" i="197"/>
  <c r="K46" i="202"/>
  <c r="L46" i="202" s="1"/>
  <c r="K45" i="202"/>
  <c r="L45" i="202" s="1"/>
  <c r="J45" i="201"/>
  <c r="K45" i="201" s="1"/>
  <c r="J46" i="201"/>
  <c r="K46" i="201" s="1"/>
  <c r="J45" i="200"/>
  <c r="K45" i="200" s="1"/>
  <c r="J46" i="200"/>
  <c r="K46" i="200" s="1"/>
  <c r="J45" i="199"/>
  <c r="K45" i="199" s="1"/>
  <c r="J46" i="199"/>
  <c r="K46" i="199" s="1"/>
  <c r="J45" i="198"/>
  <c r="J46" i="198"/>
  <c r="K46" i="198" s="1"/>
  <c r="J46" i="197"/>
  <c r="K46" i="197" s="1"/>
  <c r="J45" i="197"/>
  <c r="K45" i="197" s="1"/>
  <c r="J45" i="176"/>
  <c r="K45" i="176" s="1"/>
  <c r="J46" i="176"/>
  <c r="K46" i="176" s="1"/>
  <c r="J45" i="196"/>
  <c r="J46" i="196"/>
  <c r="K46" i="196" s="1"/>
  <c r="J46" i="195"/>
  <c r="K46" i="195" s="1"/>
  <c r="J45" i="195"/>
  <c r="K45" i="195" s="1"/>
  <c r="L34" i="139"/>
  <c r="L48" i="139" s="1"/>
  <c r="G34" i="139"/>
  <c r="J34" i="139" s="1"/>
  <c r="K34" i="139" s="1"/>
  <c r="K48" i="139" s="1"/>
  <c r="K45" i="196" l="1"/>
  <c r="K48" i="196" s="1"/>
  <c r="J48" i="196"/>
  <c r="K45" i="198"/>
  <c r="K48" i="198" s="1"/>
  <c r="J48" i="198"/>
  <c r="J48" i="139"/>
  <c r="B31" i="131"/>
  <c r="R5" i="31"/>
  <c r="Q5" i="31" s="1"/>
  <c r="P5" i="31" s="1"/>
  <c r="S6" i="31" l="1"/>
  <c r="A10" i="31" l="1"/>
  <c r="R6" i="31"/>
  <c r="Q6" i="31"/>
  <c r="P6" i="31"/>
  <c r="DS9" i="25" l="1"/>
  <c r="A47" i="25" l="1"/>
  <c r="B48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C10" i="25" l="1"/>
  <c r="E67" i="131" l="1"/>
  <c r="E69" i="131" l="1"/>
  <c r="E68" i="131"/>
  <c r="E9" i="28" l="1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53" i="31"/>
  <c r="I220" i="31"/>
  <c r="I165" i="31"/>
  <c r="I154" i="31"/>
  <c r="I198" i="31"/>
  <c r="I231" i="31"/>
  <c r="I265" i="31"/>
  <c r="I209" i="31"/>
  <c r="I143" i="31"/>
  <c r="I176" i="31"/>
  <c r="I187" i="31"/>
  <c r="I132" i="31"/>
  <c r="I243" i="31" l="1"/>
  <c r="I254" i="31"/>
  <c r="I210" i="31"/>
  <c r="I177" i="31"/>
  <c r="I144" i="31"/>
  <c r="I266" i="31"/>
  <c r="I155" i="31"/>
  <c r="I232" i="31"/>
  <c r="I199" i="31"/>
  <c r="I188" i="31"/>
  <c r="I221" i="31"/>
  <c r="I166" i="31"/>
  <c r="I244" i="31" l="1"/>
  <c r="I255" i="31"/>
  <c r="I267" i="31"/>
  <c r="I200" i="31"/>
  <c r="I189" i="31"/>
  <c r="I233" i="31"/>
  <c r="I178" i="31"/>
  <c r="I211" i="31"/>
  <c r="I167" i="31"/>
  <c r="I156" i="31"/>
  <c r="I222" i="31"/>
  <c r="I245" i="31" l="1"/>
  <c r="I256" i="31"/>
  <c r="I268" i="31" s="1"/>
  <c r="I201" i="31"/>
  <c r="I212" i="31"/>
  <c r="I179" i="31"/>
  <c r="I190" i="31"/>
  <c r="I234" i="31"/>
  <c r="I223" i="31"/>
  <c r="I168" i="31"/>
  <c r="I246" i="31" l="1"/>
  <c r="I257" i="31"/>
  <c r="I269" i="31" s="1"/>
  <c r="I224" i="31"/>
  <c r="I213" i="31"/>
  <c r="I235" i="31"/>
  <c r="I202" i="31"/>
  <c r="I180" i="31"/>
  <c r="I191" i="31"/>
  <c r="I247" i="31" l="1"/>
  <c r="I258" i="31"/>
  <c r="I270" i="31" s="1"/>
  <c r="C32" i="28"/>
  <c r="C28" i="28"/>
  <c r="C33" i="28"/>
  <c r="I192" i="31"/>
  <c r="I225" i="31"/>
  <c r="I203" i="31"/>
  <c r="I214" i="31"/>
  <c r="I236" i="31"/>
  <c r="C9" i="28"/>
  <c r="I248" i="31" l="1"/>
  <c r="I259" i="3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71" i="31"/>
  <c r="I237" i="31"/>
  <c r="I204" i="31"/>
  <c r="I249" i="31" l="1"/>
  <c r="I260" i="31"/>
  <c r="I238" i="31"/>
  <c r="I216" i="31"/>
  <c r="I227" i="31"/>
  <c r="I272" i="31"/>
  <c r="I250" i="31" l="1"/>
  <c r="I261" i="31"/>
  <c r="I273" i="31"/>
  <c r="I228" i="31"/>
  <c r="I239" i="31"/>
  <c r="I251" i="31" l="1"/>
  <c r="I262" i="31"/>
  <c r="I240" i="31"/>
  <c r="I274" i="31"/>
  <c r="I252" i="31" l="1"/>
  <c r="I263" i="31"/>
  <c r="I275" i="31" s="1"/>
  <c r="I264" i="31" l="1"/>
  <c r="I276" i="31"/>
  <c r="J13" i="31" l="1"/>
  <c r="B13" i="25" s="1"/>
  <c r="L16" i="31"/>
  <c r="B14" i="31"/>
  <c r="J14" i="31" l="1"/>
  <c r="B15" i="31"/>
  <c r="L17" i="31"/>
  <c r="O13" i="25"/>
  <c r="B14" i="25"/>
  <c r="O14" i="25" l="1"/>
  <c r="B15" i="25"/>
  <c r="FC13" i="25"/>
  <c r="CG13" i="25"/>
  <c r="L18" i="31"/>
  <c r="B16" i="31"/>
  <c r="J15" i="31"/>
  <c r="CL13" i="25" l="1"/>
  <c r="CM13" i="25"/>
  <c r="CK13" i="25"/>
  <c r="CO13" i="25"/>
  <c r="CP13" i="25"/>
  <c r="CJ13" i="25"/>
  <c r="CN13" i="25"/>
  <c r="CQ13" i="25"/>
  <c r="CI13" i="25"/>
  <c r="CH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CJ14" i="25" l="1"/>
  <c r="CN14" i="25"/>
  <c r="CO14" i="25"/>
  <c r="CM14" i="25"/>
  <c r="CQ14" i="25"/>
  <c r="CP14" i="25"/>
  <c r="CK14" i="25"/>
  <c r="CL14" i="25"/>
  <c r="CH14" i="25"/>
  <c r="CI14" i="25"/>
  <c r="EQ14" i="25"/>
  <c r="EP14" i="25"/>
  <c r="B18" i="31"/>
  <c r="J17" i="31"/>
  <c r="L20" i="31"/>
  <c r="ET15" i="25"/>
  <c r="CG15" i="25"/>
  <c r="FC15" i="25"/>
  <c r="B17" i="25"/>
  <c r="O16" i="25"/>
  <c r="ES15" i="25"/>
  <c r="CL15" i="25" l="1"/>
  <c r="CM15" i="25"/>
  <c r="CK15" i="25"/>
  <c r="CO15" i="25"/>
  <c r="CQ15" i="25"/>
  <c r="CP15" i="25"/>
  <c r="CJ15" i="25"/>
  <c r="CN15" i="25"/>
  <c r="CH15" i="25"/>
  <c r="CI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CO16" i="25" l="1"/>
  <c r="CK16" i="25"/>
  <c r="CN16" i="25"/>
  <c r="CQ16" i="25"/>
  <c r="CP16" i="25"/>
  <c r="CJ16" i="25"/>
  <c r="CM16" i="25"/>
  <c r="CL16" i="25"/>
  <c r="CI16" i="25"/>
  <c r="CH16" i="25"/>
  <c r="ET16" i="25"/>
  <c r="ER16" i="25"/>
  <c r="B20" i="31"/>
  <c r="J19" i="31"/>
  <c r="L22" i="31"/>
  <c r="O18" i="25"/>
  <c r="B19" i="25"/>
  <c r="CG17" i="25"/>
  <c r="FC17" i="25"/>
  <c r="ET17" i="25"/>
  <c r="EQ16" i="25"/>
  <c r="CK17" i="25" l="1"/>
  <c r="CO17" i="25"/>
  <c r="CQ17" i="25"/>
  <c r="CN17" i="25"/>
  <c r="CJ17" i="25"/>
  <c r="CP17" i="25"/>
  <c r="CM17" i="25"/>
  <c r="CL17" i="25"/>
  <c r="CI17" i="25"/>
  <c r="CH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CM18" i="25" l="1"/>
  <c r="CK18" i="25"/>
  <c r="CL18" i="25"/>
  <c r="CJ18" i="25"/>
  <c r="CN18" i="25"/>
  <c r="CP18" i="25"/>
  <c r="CQ18" i="25"/>
  <c r="CO18" i="25"/>
  <c r="CI18" i="25"/>
  <c r="CH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CP19" i="25" l="1"/>
  <c r="CN19" i="25"/>
  <c r="CM19" i="25"/>
  <c r="CO19" i="25"/>
  <c r="CK19" i="25"/>
  <c r="CL19" i="25"/>
  <c r="CJ19" i="25"/>
  <c r="CQ19" i="25"/>
  <c r="CH19" i="25"/>
  <c r="CI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CJ20" i="25" l="1"/>
  <c r="CP20" i="25"/>
  <c r="CK20" i="25"/>
  <c r="CO20" i="25"/>
  <c r="CM20" i="25"/>
  <c r="CN20" i="25"/>
  <c r="CL20" i="25"/>
  <c r="CQ20" i="25"/>
  <c r="CI20" i="25"/>
  <c r="CH20" i="25"/>
  <c r="EQ20" i="25"/>
  <c r="EP20" i="25"/>
  <c r="ER20" i="25"/>
  <c r="B23" i="25"/>
  <c r="O22" i="25"/>
  <c r="CG21" i="25"/>
  <c r="FC21" i="25"/>
  <c r="ES21" i="25"/>
  <c r="J23" i="31"/>
  <c r="B24" i="31"/>
  <c r="L26" i="31"/>
  <c r="CL21" i="25" l="1"/>
  <c r="CN21" i="25"/>
  <c r="CJ21" i="25"/>
  <c r="CP21" i="25"/>
  <c r="CO21" i="25"/>
  <c r="CQ21" i="25"/>
  <c r="CM21" i="25"/>
  <c r="CK21" i="25"/>
  <c r="CI21" i="25"/>
  <c r="CH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CK22" i="25" l="1"/>
  <c r="CL22" i="25"/>
  <c r="CP22" i="25"/>
  <c r="CO22" i="25"/>
  <c r="CN22" i="25"/>
  <c r="CJ22" i="25"/>
  <c r="CM22" i="25"/>
  <c r="CQ22" i="25"/>
  <c r="CI22" i="25"/>
  <c r="CH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CM23" i="25" l="1"/>
  <c r="CQ23" i="25"/>
  <c r="CO23" i="25"/>
  <c r="CL23" i="25"/>
  <c r="CJ23" i="25"/>
  <c r="CP23" i="25"/>
  <c r="CN23" i="25"/>
  <c r="CK23" i="25"/>
  <c r="CI23" i="25"/>
  <c r="CH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CJ24" i="25" l="1"/>
  <c r="CK24" i="25"/>
  <c r="CP24" i="25"/>
  <c r="CL24" i="25"/>
  <c r="CM24" i="25"/>
  <c r="CN24" i="25"/>
  <c r="CQ24" i="25"/>
  <c r="CO24" i="25"/>
  <c r="CI24" i="25"/>
  <c r="CH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CK25" i="25" l="1"/>
  <c r="CL25" i="25"/>
  <c r="CM25" i="25"/>
  <c r="CJ25" i="25"/>
  <c r="CN25" i="25"/>
  <c r="CP25" i="25"/>
  <c r="CO25" i="25"/>
  <c r="CQ25" i="25"/>
  <c r="CH25" i="25"/>
  <c r="CI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CL26" i="25" l="1"/>
  <c r="CP26" i="25"/>
  <c r="CM26" i="25"/>
  <c r="CJ26" i="25"/>
  <c r="CQ26" i="25"/>
  <c r="CK26" i="25"/>
  <c r="CO26" i="25"/>
  <c r="CN26" i="25"/>
  <c r="CH26" i="25"/>
  <c r="CI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CP27" i="25" l="1"/>
  <c r="CO27" i="25"/>
  <c r="CN27" i="25"/>
  <c r="CJ27" i="25"/>
  <c r="CM27" i="25"/>
  <c r="CK27" i="25"/>
  <c r="CL27" i="25"/>
  <c r="CQ27" i="25"/>
  <c r="CH27" i="25"/>
  <c r="CI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CK28" i="25" l="1"/>
  <c r="CP28" i="25"/>
  <c r="CL28" i="25"/>
  <c r="CN28" i="25"/>
  <c r="CM28" i="25"/>
  <c r="CJ28" i="25"/>
  <c r="CO28" i="25"/>
  <c r="CQ28" i="25"/>
  <c r="CH28" i="25"/>
  <c r="CI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CQ29" i="25" l="1"/>
  <c r="CM29" i="25"/>
  <c r="CO29" i="25"/>
  <c r="CK29" i="25"/>
  <c r="CL29" i="25"/>
  <c r="CJ29" i="25"/>
  <c r="CN29" i="25"/>
  <c r="CP29" i="25"/>
  <c r="CI29" i="25"/>
  <c r="CH29" i="25"/>
  <c r="EP29" i="25"/>
  <c r="EQ29" i="25"/>
  <c r="ER29" i="25"/>
  <c r="CG30" i="25"/>
  <c r="ET30" i="25"/>
  <c r="ES30" i="25"/>
  <c r="FC30" i="25"/>
  <c r="B32" i="25"/>
  <c r="B33" i="25" s="1"/>
  <c r="O33" i="25" s="1"/>
  <c r="O31" i="25"/>
  <c r="B33" i="31"/>
  <c r="J32" i="31"/>
  <c r="L35" i="31"/>
  <c r="CN30" i="25" l="1"/>
  <c r="CP30" i="25"/>
  <c r="CM30" i="25"/>
  <c r="CL30" i="25"/>
  <c r="CJ30" i="25"/>
  <c r="CO30" i="25"/>
  <c r="CQ30" i="25"/>
  <c r="CK30" i="25"/>
  <c r="FC33" i="25"/>
  <c r="BC33" i="25"/>
  <c r="BG33" i="25"/>
  <c r="AY33" i="25"/>
  <c r="BA33" i="25"/>
  <c r="BF33" i="25"/>
  <c r="BB33" i="25"/>
  <c r="AX33" i="25"/>
  <c r="CG33" i="25"/>
  <c r="AZ33" i="25"/>
  <c r="BE33" i="25"/>
  <c r="BD33" i="25"/>
  <c r="CI30" i="25"/>
  <c r="CH30" i="25"/>
  <c r="EP30" i="25"/>
  <c r="EQ30" i="25"/>
  <c r="ER30" i="25"/>
  <c r="L36" i="31"/>
  <c r="ES31" i="25"/>
  <c r="CG31" i="25"/>
  <c r="FC31" i="25"/>
  <c r="ET31" i="25"/>
  <c r="O32" i="25"/>
  <c r="J33" i="31"/>
  <c r="B34" i="31"/>
  <c r="CP31" i="25" l="1"/>
  <c r="CM31" i="25"/>
  <c r="CK31" i="25"/>
  <c r="CO31" i="25"/>
  <c r="CQ31" i="25"/>
  <c r="CJ31" i="25"/>
  <c r="CL31" i="25"/>
  <c r="CN31" i="25"/>
  <c r="CO33" i="25"/>
  <c r="CK33" i="25"/>
  <c r="CL33" i="25"/>
  <c r="CM33" i="25"/>
  <c r="CN33" i="25"/>
  <c r="CI33" i="25"/>
  <c r="CJ33" i="25"/>
  <c r="CP33" i="25"/>
  <c r="CQ33" i="25"/>
  <c r="CH33" i="25"/>
  <c r="CI31" i="25"/>
  <c r="CH31" i="25"/>
  <c r="EQ31" i="25"/>
  <c r="EP31" i="25"/>
  <c r="ER31" i="25"/>
  <c r="B35" i="31"/>
  <c r="J34" i="31"/>
  <c r="CG32" i="25"/>
  <c r="ES32" i="25"/>
  <c r="ET32" i="25"/>
  <c r="FC32" i="25"/>
  <c r="L37" i="31"/>
  <c r="CK32" i="25" l="1"/>
  <c r="CL32" i="25"/>
  <c r="CJ32" i="25"/>
  <c r="CP32" i="25"/>
  <c r="CM32" i="25"/>
  <c r="CN32" i="25"/>
  <c r="CO32" i="25"/>
  <c r="CQ32" i="25"/>
  <c r="CI32" i="25"/>
  <c r="CH32" i="25"/>
  <c r="EP32" i="25"/>
  <c r="EQ32" i="25"/>
  <c r="L38" i="31"/>
  <c r="ER32" i="25"/>
  <c r="J35" i="31"/>
  <c r="B36" i="31"/>
  <c r="O34" i="25"/>
  <c r="CG34" i="25" l="1"/>
  <c r="FC34" i="25"/>
  <c r="B37" i="31"/>
  <c r="J36" i="31"/>
  <c r="L39" i="31"/>
  <c r="CK34" i="25" l="1"/>
  <c r="CI34" i="25"/>
  <c r="CM34" i="25"/>
  <c r="CN34" i="25"/>
  <c r="CL34" i="25"/>
  <c r="CJ34" i="25"/>
  <c r="CQ34" i="25"/>
  <c r="CO34" i="25"/>
  <c r="CP34" i="25"/>
  <c r="CH34" i="25"/>
  <c r="ER34" i="25"/>
  <c r="L40" i="31"/>
  <c r="B38" i="31"/>
  <c r="J37" i="31"/>
  <c r="EP34" i="25"/>
  <c r="ES34" i="25"/>
  <c r="EQ34" i="25"/>
  <c r="ET34" i="25"/>
  <c r="B39" i="31" l="1"/>
  <c r="J38" i="31"/>
  <c r="L41" i="31"/>
  <c r="L42" i="31" l="1"/>
  <c r="J39" i="31"/>
  <c r="B40" i="31"/>
  <c r="B41" i="31" l="1"/>
  <c r="J40" i="31"/>
  <c r="J41" i="31" l="1"/>
  <c r="B42" i="31"/>
  <c r="J42" i="31" l="1"/>
  <c r="B43" i="31"/>
  <c r="B44" i="31" l="1"/>
  <c r="J43" i="31"/>
  <c r="J44" i="31" l="1"/>
  <c r="B45" i="31"/>
  <c r="B46" i="31" l="1"/>
  <c r="J45" i="31"/>
  <c r="J46" i="31" l="1"/>
  <c r="B47" i="31"/>
  <c r="J47" i="31" l="1"/>
  <c r="B48" i="31"/>
  <c r="J48" i="31" l="1"/>
  <c r="B49" i="31"/>
  <c r="B50" i="31" l="1"/>
  <c r="J49" i="31"/>
  <c r="B51" i="31" l="1"/>
  <c r="J50" i="31"/>
  <c r="J51" i="31" l="1"/>
  <c r="B52" i="31"/>
  <c r="J52" i="31" l="1"/>
  <c r="B53" i="31"/>
  <c r="B54" i="31" l="1"/>
  <c r="J53" i="31"/>
  <c r="J54" i="31" l="1"/>
  <c r="B55" i="31"/>
  <c r="J55" i="31" l="1"/>
  <c r="B56" i="31"/>
  <c r="B57" i="31" l="1"/>
  <c r="J56" i="31"/>
  <c r="J57" i="31" l="1"/>
  <c r="B58" i="31"/>
  <c r="J58" i="31" l="1"/>
  <c r="B59" i="31"/>
  <c r="J59" i="31" l="1"/>
  <c r="B60" i="31"/>
  <c r="J60" i="31" l="1"/>
  <c r="B61" i="31"/>
  <c r="J61" i="31" l="1"/>
  <c r="B62" i="31"/>
  <c r="J62" i="31" l="1"/>
  <c r="B63" i="31"/>
  <c r="J63" i="31" l="1"/>
  <c r="B64" i="31"/>
  <c r="J64" i="31" l="1"/>
  <c r="B65" i="31"/>
  <c r="J65" i="31" l="1"/>
  <c r="B66" i="31"/>
  <c r="J66" i="31" l="1"/>
  <c r="B67" i="31"/>
  <c r="J67" i="31" l="1"/>
  <c r="B68" i="31"/>
  <c r="J68" i="31" l="1"/>
  <c r="B69" i="31"/>
  <c r="J69" i="31" l="1"/>
  <c r="B70" i="31"/>
  <c r="J70" i="31" l="1"/>
  <c r="B71" i="31"/>
  <c r="J71" i="31" l="1"/>
  <c r="B72" i="31"/>
  <c r="J72" i="31" l="1"/>
  <c r="B73" i="31"/>
  <c r="J73" i="31" l="1"/>
  <c r="B74" i="31"/>
  <c r="B75" i="31" l="1"/>
  <c r="J74" i="31"/>
  <c r="J75" i="31" l="1"/>
  <c r="B76" i="31"/>
  <c r="J76" i="31" l="1"/>
  <c r="B77" i="31"/>
  <c r="J77" i="31" l="1"/>
  <c r="B78" i="31"/>
  <c r="J78" i="31" l="1"/>
  <c r="B79" i="31"/>
  <c r="J79" i="31" l="1"/>
  <c r="B80" i="31"/>
  <c r="J80" i="31" l="1"/>
  <c r="B81" i="31"/>
  <c r="J81" i="31" l="1"/>
  <c r="B82" i="31"/>
  <c r="J82" i="31" l="1"/>
  <c r="B83" i="31"/>
  <c r="J83" i="31" l="1"/>
  <c r="B84" i="31"/>
  <c r="J84" i="31" l="1"/>
  <c r="B85" i="31"/>
  <c r="J85" i="31" l="1"/>
  <c r="B86" i="31"/>
  <c r="J86" i="31" l="1"/>
  <c r="B87" i="31"/>
  <c r="J87" i="31" l="1"/>
  <c r="B88" i="31"/>
  <c r="J88" i="31" l="1"/>
  <c r="B89" i="31"/>
  <c r="J89" i="31" l="1"/>
  <c r="B90" i="31"/>
  <c r="J90" i="31" l="1"/>
  <c r="B91" i="31"/>
  <c r="J91" i="31" l="1"/>
  <c r="B92" i="31"/>
  <c r="J92" i="31" l="1"/>
  <c r="B93" i="31"/>
  <c r="B94" i="31" l="1"/>
  <c r="J93" i="31"/>
  <c r="J94" i="31" l="1"/>
  <c r="B95" i="31"/>
  <c r="J95" i="31" l="1"/>
  <c r="B96" i="31"/>
  <c r="J96" i="31" l="1"/>
  <c r="B97" i="31"/>
  <c r="J97" i="31" l="1"/>
  <c r="B98" i="31"/>
  <c r="J98" i="31" l="1"/>
  <c r="B99" i="31"/>
  <c r="J99" i="31" l="1"/>
  <c r="B100" i="31"/>
  <c r="J100" i="31" l="1"/>
  <c r="B101" i="31"/>
  <c r="J101" i="31" l="1"/>
  <c r="B102" i="31"/>
  <c r="J102" i="31" l="1"/>
  <c r="B103" i="31"/>
  <c r="J103" i="31" l="1"/>
  <c r="B104" i="31"/>
  <c r="J104" i="31" l="1"/>
  <c r="B105" i="31"/>
  <c r="J105" i="31" l="1"/>
  <c r="B106" i="31"/>
  <c r="J106" i="31" l="1"/>
  <c r="B107" i="31"/>
  <c r="J107" i="31" l="1"/>
  <c r="B108" i="31"/>
  <c r="J108" i="31" l="1"/>
  <c r="B109" i="31"/>
  <c r="J109" i="31" l="1"/>
  <c r="B110" i="31"/>
  <c r="J110" i="31" l="1"/>
  <c r="B111" i="31"/>
  <c r="J111" i="31" l="1"/>
  <c r="B112" i="31"/>
  <c r="J112" i="31" l="1"/>
  <c r="B113" i="31"/>
  <c r="J113" i="31" l="1"/>
  <c r="B114" i="31"/>
  <c r="B115" i="31" l="1"/>
  <c r="J114" i="31"/>
  <c r="J115" i="31" l="1"/>
  <c r="B116" i="31"/>
  <c r="J116" i="31" l="1"/>
  <c r="B117" i="31"/>
  <c r="J117" i="31" l="1"/>
  <c r="B118" i="31"/>
  <c r="J118" i="31" l="1"/>
  <c r="B119" i="31"/>
  <c r="J119" i="31" l="1"/>
  <c r="B120" i="31"/>
  <c r="J120" i="31" l="1"/>
  <c r="B121" i="31"/>
  <c r="J121" i="31" l="1"/>
  <c r="B122" i="31"/>
  <c r="J122" i="31" l="1"/>
  <c r="B123" i="31"/>
  <c r="J123" i="31" l="1"/>
  <c r="B124" i="31"/>
  <c r="J124" i="31" l="1"/>
  <c r="B125" i="31"/>
  <c r="J125" i="31" l="1"/>
  <c r="B126" i="31"/>
  <c r="B127" i="31" l="1"/>
  <c r="J126" i="31"/>
  <c r="J127" i="31" l="1"/>
  <c r="B128" i="31"/>
  <c r="B129" i="31" l="1"/>
  <c r="J128" i="31"/>
  <c r="J129" i="31" l="1"/>
  <c r="B130" i="31"/>
  <c r="B131" i="31" l="1"/>
  <c r="J130" i="31"/>
  <c r="J131" i="31" l="1"/>
  <c r="B132" i="31"/>
  <c r="J132" i="31" l="1"/>
  <c r="B133" i="31"/>
  <c r="J133" i="31" l="1"/>
  <c r="B134" i="31"/>
  <c r="B135" i="31" l="1"/>
  <c r="J134" i="31"/>
  <c r="J135" i="31" l="1"/>
  <c r="B136" i="31"/>
  <c r="J136" i="31" l="1"/>
  <c r="B137" i="31"/>
  <c r="J137" i="31" l="1"/>
  <c r="B138" i="31"/>
  <c r="J138" i="31" l="1"/>
  <c r="B139" i="31"/>
  <c r="J139" i="31" l="1"/>
  <c r="B140" i="31"/>
  <c r="J140" i="31" l="1"/>
  <c r="B141" i="31"/>
  <c r="J141" i="31" l="1"/>
  <c r="B142" i="31"/>
  <c r="J142" i="31" l="1"/>
  <c r="B143" i="31"/>
  <c r="J143" i="31" l="1"/>
  <c r="B144" i="31"/>
  <c r="J144" i="31" l="1"/>
  <c r="B145" i="31"/>
  <c r="B146" i="31" l="1"/>
  <c r="J145" i="31"/>
  <c r="J146" i="31" l="1"/>
  <c r="B147" i="31"/>
  <c r="J147" i="31" l="1"/>
  <c r="B148" i="31"/>
  <c r="B149" i="31" l="1"/>
  <c r="J148" i="31"/>
  <c r="B150" i="31" l="1"/>
  <c r="J149" i="31"/>
  <c r="J150" i="31" l="1"/>
  <c r="B151" i="31"/>
  <c r="J151" i="31" l="1"/>
  <c r="B152" i="31"/>
  <c r="J152" i="31" l="1"/>
  <c r="B153" i="31"/>
  <c r="J153" i="31" l="1"/>
  <c r="B154" i="31"/>
  <c r="J154" i="31" l="1"/>
  <c r="B155" i="31"/>
  <c r="J155" i="31" l="1"/>
  <c r="B156" i="31"/>
  <c r="J156" i="31" l="1"/>
  <c r="B157" i="31"/>
  <c r="J157" i="31" l="1"/>
  <c r="B158" i="31"/>
  <c r="J158" i="31" l="1"/>
  <c r="B159" i="31"/>
  <c r="J159" i="31" l="1"/>
  <c r="B160" i="31"/>
  <c r="J160" i="31" l="1"/>
  <c r="B161" i="31"/>
  <c r="B162" i="31" l="1"/>
  <c r="J161" i="31"/>
  <c r="J162" i="31" l="1"/>
  <c r="B163" i="31"/>
  <c r="B164" i="31" l="1"/>
  <c r="J163" i="31"/>
  <c r="J164" i="31" l="1"/>
  <c r="B165" i="31"/>
  <c r="J165" i="31" l="1"/>
  <c r="B166" i="31"/>
  <c r="J166" i="31" l="1"/>
  <c r="B167" i="31"/>
  <c r="B168" i="31" l="1"/>
  <c r="J167" i="31"/>
  <c r="J168" i="31" l="1"/>
  <c r="B169" i="31"/>
  <c r="J169" i="31" l="1"/>
  <c r="B170" i="31"/>
  <c r="B171" i="31" l="1"/>
  <c r="J170" i="31"/>
  <c r="J171" i="31" l="1"/>
  <c r="B172" i="31"/>
  <c r="B173" i="31" l="1"/>
  <c r="J172" i="31"/>
  <c r="J173" i="31" l="1"/>
  <c r="B174" i="31"/>
  <c r="J174" i="31" l="1"/>
  <c r="B175" i="31"/>
  <c r="J175" i="31" l="1"/>
  <c r="B176" i="31"/>
  <c r="J176" i="31" l="1"/>
  <c r="B177" i="31"/>
  <c r="J177" i="31" l="1"/>
  <c r="B178" i="31"/>
  <c r="J178" i="31" l="1"/>
  <c r="B179" i="31"/>
  <c r="J179" i="31" l="1"/>
  <c r="B180" i="31"/>
  <c r="J180" i="31" l="1"/>
  <c r="B181" i="31"/>
  <c r="J181" i="31" l="1"/>
  <c r="B182" i="31"/>
  <c r="J182" i="31" l="1"/>
  <c r="B183" i="31"/>
  <c r="B184" i="31" l="1"/>
  <c r="J183" i="31"/>
  <c r="J184" i="31" l="1"/>
  <c r="B185" i="31"/>
  <c r="B186" i="31" l="1"/>
  <c r="J185" i="31"/>
  <c r="J186" i="31" l="1"/>
  <c r="B187" i="31"/>
  <c r="J187" i="31" l="1"/>
  <c r="B188" i="31"/>
  <c r="B189" i="31" l="1"/>
  <c r="J188" i="31"/>
  <c r="J189" i="31" l="1"/>
  <c r="B190" i="31"/>
  <c r="J190" i="31" l="1"/>
  <c r="B191" i="31"/>
  <c r="B192" i="31" l="1"/>
  <c r="J191" i="31"/>
  <c r="B193" i="31" l="1"/>
  <c r="J192" i="31"/>
  <c r="B194" i="31" l="1"/>
  <c r="J193" i="31"/>
  <c r="B195" i="31" l="1"/>
  <c r="J194" i="31"/>
  <c r="J195" i="31" l="1"/>
  <c r="B196" i="31"/>
  <c r="J196" i="31" l="1"/>
  <c r="B197" i="31"/>
  <c r="J197" i="31" l="1"/>
  <c r="B198" i="31"/>
  <c r="J198" i="31" l="1"/>
  <c r="B199" i="31"/>
  <c r="J199" i="31" l="1"/>
  <c r="B200" i="31"/>
  <c r="J200" i="31" l="1"/>
  <c r="B201" i="31"/>
  <c r="B202" i="31" l="1"/>
  <c r="J201" i="31"/>
  <c r="B203" i="31" l="1"/>
  <c r="J202" i="31"/>
  <c r="B204" i="31" l="1"/>
  <c r="J203" i="31"/>
  <c r="J204" i="31" l="1"/>
  <c r="B205" i="31"/>
  <c r="J205" i="31" l="1"/>
  <c r="B206" i="31"/>
  <c r="J206" i="31" l="1"/>
  <c r="B207" i="31"/>
  <c r="B208" i="31" l="1"/>
  <c r="J207" i="31"/>
  <c r="J208" i="31" l="1"/>
  <c r="B209" i="31"/>
  <c r="J209" i="31" l="1"/>
  <c r="B210" i="31"/>
  <c r="B211" i="31" l="1"/>
  <c r="J210" i="31"/>
  <c r="B212" i="31" l="1"/>
  <c r="J211" i="31"/>
  <c r="J212" i="31" l="1"/>
  <c r="B213" i="31"/>
  <c r="J213" i="31" l="1"/>
  <c r="B214" i="31"/>
  <c r="B215" i="31" l="1"/>
  <c r="J214" i="31"/>
  <c r="B216" i="31" l="1"/>
  <c r="J215" i="31"/>
  <c r="B217" i="31" l="1"/>
  <c r="J216" i="31"/>
  <c r="B218" i="31" l="1"/>
  <c r="J217" i="31"/>
  <c r="B219" i="31" l="1"/>
  <c r="J218" i="31"/>
  <c r="B220" i="31" l="1"/>
  <c r="J219" i="31"/>
  <c r="B221" i="31" l="1"/>
  <c r="J220" i="31"/>
  <c r="B222" i="31" l="1"/>
  <c r="J221" i="31"/>
  <c r="B223" i="31" l="1"/>
  <c r="J222" i="31"/>
  <c r="B224" i="31" l="1"/>
  <c r="J223" i="31"/>
  <c r="B225" i="31" l="1"/>
  <c r="J224" i="31"/>
  <c r="B226" i="31" l="1"/>
  <c r="J225" i="31"/>
  <c r="B227" i="31" l="1"/>
  <c r="J226" i="31"/>
  <c r="B228" i="31" l="1"/>
  <c r="J227" i="31"/>
  <c r="B229" i="31" l="1"/>
  <c r="J228" i="31"/>
  <c r="B230" i="31" l="1"/>
  <c r="J229" i="31"/>
  <c r="B231" i="31" l="1"/>
  <c r="J230" i="31"/>
  <c r="B232" i="31" l="1"/>
  <c r="J231" i="31"/>
  <c r="B233" i="31" l="1"/>
  <c r="J232" i="31"/>
  <c r="B234" i="31" l="1"/>
  <c r="J233" i="31"/>
  <c r="B235" i="31" l="1"/>
  <c r="J234" i="31"/>
  <c r="B236" i="31" l="1"/>
  <c r="J235" i="31"/>
  <c r="B237" i="31" l="1"/>
  <c r="J236" i="31"/>
  <c r="B238" i="31" l="1"/>
  <c r="J237" i="31"/>
  <c r="B239" i="31" l="1"/>
  <c r="J238" i="31"/>
  <c r="B240" i="31" l="1"/>
  <c r="J239" i="31"/>
  <c r="B241" i="31" l="1"/>
  <c r="J240" i="31"/>
  <c r="J241" i="31" l="1"/>
  <c r="B242" i="31"/>
  <c r="J242" i="31" l="1"/>
  <c r="B243" i="31"/>
  <c r="J243" i="31" l="1"/>
  <c r="B244" i="31"/>
  <c r="J244" i="31" l="1"/>
  <c r="B245" i="31"/>
  <c r="J245" i="31" l="1"/>
  <c r="B246" i="31"/>
  <c r="J246" i="31" l="1"/>
  <c r="B247" i="31"/>
  <c r="J247" i="31" l="1"/>
  <c r="B248" i="31"/>
  <c r="J248" i="31" l="1"/>
  <c r="B249" i="31"/>
  <c r="J249" i="31" l="1"/>
  <c r="B250" i="31"/>
  <c r="J250" i="31" l="1"/>
  <c r="B251" i="31"/>
  <c r="J251" i="31" l="1"/>
  <c r="B252" i="31"/>
  <c r="J252" i="31" l="1"/>
  <c r="B253" i="31"/>
  <c r="J253" i="31" l="1"/>
  <c r="B254" i="31"/>
  <c r="J254" i="31" l="1"/>
  <c r="B255" i="31"/>
  <c r="J255" i="31" l="1"/>
  <c r="B256" i="31"/>
  <c r="J256" i="31" l="1"/>
  <c r="B257" i="31"/>
  <c r="J257" i="31" l="1"/>
  <c r="B258" i="31"/>
  <c r="J258" i="31" l="1"/>
  <c r="B259" i="31"/>
  <c r="J259" i="31" l="1"/>
  <c r="B260" i="31"/>
  <c r="J260" i="31" l="1"/>
  <c r="B261" i="31"/>
  <c r="J261" i="31" l="1"/>
  <c r="B262" i="31"/>
  <c r="J262" i="31" l="1"/>
  <c r="B263" i="31"/>
  <c r="J263" i="31" l="1"/>
  <c r="B264" i="31"/>
  <c r="J264" i="31" l="1"/>
  <c r="B265" i="31"/>
  <c r="J265" i="31" l="1"/>
  <c r="B266" i="31"/>
  <c r="B267" i="31" l="1"/>
  <c r="J266" i="31"/>
  <c r="B268" i="31" l="1"/>
  <c r="J267" i="31"/>
  <c r="J268" i="31" l="1"/>
  <c r="B269" i="31"/>
  <c r="J269" i="31" l="1"/>
  <c r="B270" i="31"/>
  <c r="B271" i="31" l="1"/>
  <c r="J270" i="31"/>
  <c r="B272" i="31" l="1"/>
  <c r="J271" i="31"/>
  <c r="B273" i="31" l="1"/>
  <c r="J272" i="31"/>
  <c r="J273" i="31" l="1"/>
  <c r="B274" i="31"/>
  <c r="J274" i="31" l="1"/>
  <c r="B275" i="31"/>
  <c r="J275" i="31" l="1"/>
  <c r="B276" i="31"/>
  <c r="J276" i="31" l="1"/>
  <c r="U40" i="31" l="1"/>
  <c r="S39" i="31"/>
  <c r="U39" i="31"/>
  <c r="S40" i="31"/>
  <c r="U41" i="31"/>
  <c r="S41" i="31"/>
  <c r="O38" i="31"/>
  <c r="M39" i="31"/>
  <c r="M40" i="31"/>
  <c r="M41" i="31"/>
  <c r="O41" i="31"/>
  <c r="N41" i="31"/>
  <c r="O40" i="31"/>
  <c r="N40" i="31"/>
  <c r="N39" i="31"/>
  <c r="O39" i="31"/>
  <c r="Q39" i="31" l="1"/>
  <c r="R40" i="31"/>
  <c r="P39" i="31"/>
  <c r="R41" i="31"/>
  <c r="Q41" i="31"/>
  <c r="P41" i="31"/>
  <c r="P40" i="31"/>
  <c r="Q40" i="31"/>
  <c r="R39" i="31"/>
  <c r="U38" i="31" l="1"/>
  <c r="EO31" i="25" l="1"/>
  <c r="EO18" i="25"/>
  <c r="EO24" i="25"/>
  <c r="EO22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4" i="25"/>
  <c r="EO30" i="25"/>
  <c r="EO28" i="25"/>
  <c r="EO25" i="25"/>
  <c r="EO27" i="25"/>
  <c r="EB13" i="25" l="1"/>
  <c r="EB14" i="25"/>
  <c r="ED13" i="25" l="1"/>
  <c r="EC14" i="25"/>
  <c r="EC13" i="25"/>
  <c r="ED14" i="25"/>
  <c r="EN13" i="25" l="1"/>
  <c r="EB15" i="25"/>
  <c r="EN14" i="25"/>
  <c r="EG13" i="25" l="1"/>
  <c r="EI13" i="25"/>
  <c r="EI14" i="25"/>
  <c r="EC15" i="25" l="1"/>
  <c r="EG14" i="25" l="1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EG21" i="25" l="1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4" i="25" l="1"/>
  <c r="EC32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D31" i="25" l="1"/>
  <c r="ED32" i="25"/>
  <c r="ED34" i="25"/>
  <c r="EI31" i="25" l="1"/>
  <c r="EI32" i="25"/>
  <c r="EI34" i="25"/>
  <c r="EN34" i="25"/>
  <c r="EN31" i="25"/>
  <c r="EN32" i="25"/>
  <c r="EK34" i="25" l="1"/>
  <c r="EK31" i="25"/>
  <c r="EK32" i="25"/>
  <c r="EM31" i="25"/>
  <c r="EM34" i="25"/>
  <c r="EM32" i="25"/>
  <c r="EF34" i="25"/>
  <c r="EF31" i="25"/>
  <c r="EF32" i="25"/>
  <c r="EG34" i="25"/>
  <c r="EG32" i="25"/>
  <c r="EG31" i="25"/>
  <c r="EE34" i="25" l="1"/>
  <c r="EE32" i="25"/>
  <c r="EE31" i="25"/>
  <c r="EL34" i="25" l="1"/>
  <c r="EL32" i="25"/>
  <c r="EL31" i="25"/>
  <c r="M38" i="31" l="1"/>
  <c r="S38" i="31"/>
  <c r="Q38" i="31" l="1"/>
  <c r="FE13" i="25" l="1"/>
  <c r="FE14" i="25"/>
  <c r="FE15" i="25"/>
  <c r="FE16" i="25"/>
  <c r="FE17" i="25"/>
  <c r="FE18" i="25"/>
  <c r="FE19" i="25"/>
  <c r="EH15" i="25" l="1"/>
  <c r="EH13" i="25" l="1"/>
  <c r="EH14" i="25"/>
  <c r="EH16" i="25"/>
  <c r="EH17" i="25"/>
  <c r="EH18" i="25"/>
  <c r="EH19" i="25"/>
  <c r="EH20" i="25"/>
  <c r="EH21" i="25"/>
  <c r="EH22" i="25"/>
  <c r="EH23" i="25" l="1"/>
  <c r="EH24" i="25" l="1"/>
  <c r="EH25" i="25"/>
  <c r="EH26" i="25"/>
  <c r="EJ14" i="25" l="1"/>
  <c r="EJ13" i="25"/>
  <c r="EJ16" i="25"/>
  <c r="EJ17" i="25"/>
  <c r="EJ18" i="25"/>
  <c r="EJ21" i="25"/>
  <c r="EJ20" i="25"/>
  <c r="EJ22" i="25"/>
  <c r="EJ24" i="25"/>
  <c r="EJ26" i="25"/>
  <c r="EJ19" i="25"/>
  <c r="EJ23" i="25"/>
  <c r="EJ25" i="25"/>
  <c r="EJ15" i="25"/>
  <c r="EH27" i="25" l="1"/>
  <c r="EH28" i="25"/>
  <c r="EJ28" i="25"/>
  <c r="EJ27" i="25"/>
  <c r="EH29" i="25" l="1"/>
  <c r="EJ29" i="25" l="1"/>
  <c r="EH30" i="25" l="1"/>
  <c r="EH31" i="25" l="1"/>
  <c r="EJ30" i="25"/>
  <c r="EJ34" i="25"/>
  <c r="EJ31" i="25"/>
  <c r="EJ32" i="25"/>
  <c r="EH34" i="25" l="1"/>
  <c r="EH32" i="25"/>
  <c r="BA15" i="25" l="1"/>
  <c r="BA18" i="25"/>
  <c r="BA17" i="25"/>
  <c r="BA14" i="25"/>
  <c r="BA13" i="25"/>
  <c r="BA16" i="25"/>
  <c r="DU17" i="25" l="1"/>
  <c r="DU16" i="25"/>
  <c r="DU14" i="25"/>
  <c r="DU15" i="25"/>
  <c r="DU13" i="25"/>
  <c r="DU18" i="25"/>
  <c r="BB15" i="25"/>
  <c r="BB14" i="25"/>
  <c r="BB13" i="25"/>
  <c r="BB18" i="25"/>
  <c r="BB16" i="25"/>
  <c r="BB17" i="25"/>
  <c r="BB19" i="25"/>
  <c r="DV17" i="25" l="1"/>
  <c r="DV15" i="25"/>
  <c r="DV14" i="25"/>
  <c r="DV13" i="25"/>
  <c r="DV16" i="25"/>
  <c r="DV18" i="25"/>
  <c r="DV19" i="25"/>
  <c r="AX17" i="25"/>
  <c r="AX14" i="25"/>
  <c r="AX15" i="25"/>
  <c r="AX13" i="25"/>
  <c r="AX16" i="25"/>
  <c r="AX34" i="25"/>
  <c r="BA19" i="25"/>
  <c r="BD14" i="25"/>
  <c r="BD18" i="25"/>
  <c r="BD13" i="25"/>
  <c r="BD17" i="25"/>
  <c r="BD19" i="25"/>
  <c r="BD16" i="25"/>
  <c r="BD15" i="25"/>
  <c r="BD20" i="25"/>
  <c r="BD21" i="25"/>
  <c r="DX20" i="25" l="1"/>
  <c r="DU19" i="25"/>
  <c r="BC15" i="25"/>
  <c r="BC18" i="25"/>
  <c r="BC14" i="25"/>
  <c r="BC17" i="25"/>
  <c r="BC34" i="25"/>
  <c r="BC21" i="25"/>
  <c r="BC13" i="25"/>
  <c r="BC19" i="25"/>
  <c r="BC16" i="25"/>
  <c r="BC20" i="25"/>
  <c r="DX13" i="25"/>
  <c r="DX15" i="25"/>
  <c r="DX16" i="25"/>
  <c r="DX17" i="25"/>
  <c r="DX14" i="25"/>
  <c r="DX18" i="25"/>
  <c r="DX19" i="25"/>
  <c r="DX21" i="25"/>
  <c r="BA20" i="25"/>
  <c r="BB20" i="25"/>
  <c r="AX18" i="25"/>
  <c r="DR18" i="25" s="1"/>
  <c r="BE18" i="25"/>
  <c r="BE17" i="25"/>
  <c r="BE15" i="25"/>
  <c r="BE19" i="25"/>
  <c r="BE14" i="25"/>
  <c r="BE13" i="25"/>
  <c r="BE16" i="25"/>
  <c r="BA21" i="25"/>
  <c r="BB21" i="25"/>
  <c r="DR14" i="25"/>
  <c r="DR16" i="25"/>
  <c r="DR17" i="25"/>
  <c r="DR15" i="25"/>
  <c r="DR13" i="25"/>
  <c r="AY15" i="25"/>
  <c r="AY18" i="25"/>
  <c r="AY17" i="25"/>
  <c r="AY13" i="25"/>
  <c r="AY34" i="25"/>
  <c r="AY14" i="25"/>
  <c r="AY16" i="25"/>
  <c r="BE20" i="25"/>
  <c r="AX20" i="25"/>
  <c r="BD22" i="25"/>
  <c r="AY19" i="25"/>
  <c r="DV21" i="25" l="1"/>
  <c r="DU21" i="25"/>
  <c r="DY14" i="25"/>
  <c r="DY15" i="25"/>
  <c r="DY18" i="25"/>
  <c r="DY17" i="25"/>
  <c r="DY16" i="25"/>
  <c r="DY19" i="25"/>
  <c r="DY13" i="25"/>
  <c r="DY20" i="25"/>
  <c r="DX22" i="25"/>
  <c r="DW14" i="25"/>
  <c r="DW16" i="25"/>
  <c r="DW17" i="25"/>
  <c r="DW13" i="25"/>
  <c r="DW15" i="25"/>
  <c r="DW18" i="25"/>
  <c r="DW20" i="25"/>
  <c r="DW19" i="25"/>
  <c r="DS14" i="25"/>
  <c r="DS13" i="25"/>
  <c r="DS17" i="25"/>
  <c r="DS16" i="25"/>
  <c r="DS15" i="25"/>
  <c r="DS18" i="25"/>
  <c r="DS19" i="25"/>
  <c r="DW21" i="25"/>
  <c r="DV20" i="25"/>
  <c r="DU20" i="25"/>
  <c r="AX19" i="25"/>
  <c r="DR19" i="25" s="1"/>
  <c r="BA22" i="25"/>
  <c r="BB22" i="25"/>
  <c r="DV22" i="25" s="1"/>
  <c r="AY20" i="25"/>
  <c r="BC22" i="25"/>
  <c r="BE21" i="25"/>
  <c r="DY21" i="25" s="1"/>
  <c r="BD23" i="25"/>
  <c r="AX22" i="25" l="1"/>
  <c r="AY22" i="25"/>
  <c r="DX23" i="25"/>
  <c r="DW22" i="25"/>
  <c r="BF19" i="25"/>
  <c r="BF16" i="25"/>
  <c r="BF15" i="25"/>
  <c r="BF13" i="25"/>
  <c r="BF17" i="25"/>
  <c r="BF14" i="25"/>
  <c r="BF18" i="25"/>
  <c r="DR20" i="25"/>
  <c r="AZ15" i="25"/>
  <c r="AZ20" i="25"/>
  <c r="AZ22" i="25"/>
  <c r="AZ21" i="25"/>
  <c r="AZ14" i="25"/>
  <c r="AZ13" i="25"/>
  <c r="AZ19" i="25"/>
  <c r="AZ18" i="25"/>
  <c r="AZ16" i="25"/>
  <c r="AZ17" i="25"/>
  <c r="DU22" i="25"/>
  <c r="DS20" i="25"/>
  <c r="AX21" i="25"/>
  <c r="AY21" i="25"/>
  <c r="DS22" i="25" s="1"/>
  <c r="BA23" i="25"/>
  <c r="DU23" i="25" s="1"/>
  <c r="BB23" i="25"/>
  <c r="BC23" i="25"/>
  <c r="BF20" i="25"/>
  <c r="BE22" i="25"/>
  <c r="DY22" i="25" s="1"/>
  <c r="BF21" i="25"/>
  <c r="BD24" i="25"/>
  <c r="DR21" i="25" l="1"/>
  <c r="DW23" i="25"/>
  <c r="DT14" i="25"/>
  <c r="DT13" i="25"/>
  <c r="DT18" i="25"/>
  <c r="DT15" i="25"/>
  <c r="DT16" i="25"/>
  <c r="DT17" i="25"/>
  <c r="DT19" i="25"/>
  <c r="DT20" i="25"/>
  <c r="DT22" i="25"/>
  <c r="BA24" i="25"/>
  <c r="DU24" i="25" s="1"/>
  <c r="BB24" i="25"/>
  <c r="DV24" i="25" s="1"/>
  <c r="BC24" i="25"/>
  <c r="DS21" i="25"/>
  <c r="DV23" i="25"/>
  <c r="DR22" i="25"/>
  <c r="DT21" i="25"/>
  <c r="DZ14" i="25"/>
  <c r="DZ15" i="25"/>
  <c r="DZ17" i="25"/>
  <c r="DZ16" i="25"/>
  <c r="DZ13" i="25"/>
  <c r="DZ18" i="25"/>
  <c r="DZ19" i="25"/>
  <c r="DZ21" i="25"/>
  <c r="DZ20" i="25"/>
  <c r="DX24" i="25"/>
  <c r="BE24" i="25"/>
  <c r="BE23" i="25"/>
  <c r="BE25" i="25"/>
  <c r="BD25" i="25"/>
  <c r="DX25" i="25" s="1"/>
  <c r="DY25" i="25" l="1"/>
  <c r="DY24" i="25"/>
  <c r="DW24" i="25"/>
  <c r="AX23" i="25"/>
  <c r="AY23" i="25"/>
  <c r="AZ23" i="25"/>
  <c r="BG15" i="25"/>
  <c r="BG18" i="25"/>
  <c r="BG17" i="25"/>
  <c r="BG16" i="25"/>
  <c r="BG14" i="25"/>
  <c r="BG13" i="25"/>
  <c r="BG19" i="25"/>
  <c r="DY23" i="25"/>
  <c r="BA25" i="25"/>
  <c r="DU25" i="25" s="1"/>
  <c r="BB25" i="25"/>
  <c r="BC25" i="25"/>
  <c r="BG22" i="25"/>
  <c r="BF22" i="25"/>
  <c r="BD26" i="25"/>
  <c r="DX26" i="25" s="1"/>
  <c r="BG21" i="25"/>
  <c r="EA18" i="25" l="1"/>
  <c r="FA18" i="25" s="1"/>
  <c r="C18" i="25" s="1"/>
  <c r="DV25" i="25"/>
  <c r="AX24" i="25"/>
  <c r="DR24" i="25" s="1"/>
  <c r="AY24" i="25"/>
  <c r="DS24" i="25" s="1"/>
  <c r="AZ24" i="25"/>
  <c r="DT24" i="25" s="1"/>
  <c r="DW25" i="25"/>
  <c r="DT23" i="25"/>
  <c r="DS23" i="25"/>
  <c r="DR23" i="25"/>
  <c r="EA15" i="25"/>
  <c r="FA15" i="25" s="1"/>
  <c r="C15" i="25" s="1"/>
  <c r="EA13" i="25"/>
  <c r="FA13" i="25" s="1"/>
  <c r="C13" i="25" s="1"/>
  <c r="EA16" i="25"/>
  <c r="FA16" i="25" s="1"/>
  <c r="C16" i="25" s="1"/>
  <c r="EA14" i="25"/>
  <c r="FA14" i="25" s="1"/>
  <c r="C14" i="25" s="1"/>
  <c r="EA17" i="25"/>
  <c r="FA17" i="25" s="1"/>
  <c r="C17" i="25" s="1"/>
  <c r="EA19" i="25"/>
  <c r="FA19" i="25" s="1"/>
  <c r="C19" i="25" s="1"/>
  <c r="DZ22" i="25"/>
  <c r="BA26" i="25"/>
  <c r="DU26" i="25" s="1"/>
  <c r="BB26" i="25"/>
  <c r="DV26" i="25" s="1"/>
  <c r="BC26" i="25"/>
  <c r="DW26" i="25" s="1"/>
  <c r="BG20" i="25"/>
  <c r="EA21" i="25" s="1"/>
  <c r="FA21" i="25" s="1"/>
  <c r="C21" i="25" s="1"/>
  <c r="BF23" i="25"/>
  <c r="DZ23" i="25" s="1"/>
  <c r="BD27" i="25"/>
  <c r="DX27" i="25" s="1"/>
  <c r="BA27" i="25" l="1"/>
  <c r="DU27" i="25" s="1"/>
  <c r="BB27" i="25"/>
  <c r="DV27" i="25" s="1"/>
  <c r="BC27" i="25"/>
  <c r="DW27" i="25" s="1"/>
  <c r="EA22" i="25"/>
  <c r="FA22" i="25" s="1"/>
  <c r="C22" i="25" s="1"/>
  <c r="EA20" i="25"/>
  <c r="FA20" i="25" s="1"/>
  <c r="C20" i="25" s="1"/>
  <c r="AX25" i="25"/>
  <c r="AY25" i="25"/>
  <c r="AZ25" i="25"/>
  <c r="BF26" i="25"/>
  <c r="BG24" i="25"/>
  <c r="BE26" i="25"/>
  <c r="BF24" i="25"/>
  <c r="DZ24" i="25" s="1"/>
  <c r="BG23" i="25"/>
  <c r="EA23" i="25" s="1"/>
  <c r="FA23" i="25" s="1"/>
  <c r="C23" i="25" s="1"/>
  <c r="BF25" i="25"/>
  <c r="BD28" i="25"/>
  <c r="DX28" i="25" s="1"/>
  <c r="DY26" i="25" l="1"/>
  <c r="EA24" i="25"/>
  <c r="FA24" i="25" s="1"/>
  <c r="C24" i="25" s="1"/>
  <c r="DS25" i="25"/>
  <c r="DR25" i="25"/>
  <c r="AX26" i="25"/>
  <c r="DR26" i="25" s="1"/>
  <c r="AY26" i="25"/>
  <c r="DS26" i="25" s="1"/>
  <c r="AZ26" i="25"/>
  <c r="DT26" i="25" s="1"/>
  <c r="DZ26" i="25"/>
  <c r="DT25" i="25"/>
  <c r="BA28" i="25"/>
  <c r="DU28" i="25" s="1"/>
  <c r="BB28" i="25"/>
  <c r="DV28" i="25" s="1"/>
  <c r="BC28" i="25"/>
  <c r="DW28" i="25" s="1"/>
  <c r="DZ25" i="25"/>
  <c r="BF27" i="25"/>
  <c r="DZ27" i="25" s="1"/>
  <c r="BE27" i="25"/>
  <c r="DY27" i="25" s="1"/>
  <c r="BG25" i="25"/>
  <c r="EA25" i="25" s="1"/>
  <c r="BD29" i="25"/>
  <c r="DX29" i="25" s="1"/>
  <c r="AX27" i="25" l="1"/>
  <c r="DR27" i="25" s="1"/>
  <c r="AY27" i="25"/>
  <c r="DS27" i="25" s="1"/>
  <c r="AZ27" i="25"/>
  <c r="FA25" i="25"/>
  <c r="C25" i="25" s="1"/>
  <c r="BA29" i="25"/>
  <c r="DU29" i="25" s="1"/>
  <c r="BB29" i="25"/>
  <c r="DV29" i="25" s="1"/>
  <c r="BC29" i="25"/>
  <c r="DW29" i="25" s="1"/>
  <c r="BG26" i="25"/>
  <c r="EA26" i="25" s="1"/>
  <c r="FA26" i="25" s="1"/>
  <c r="C26" i="25" s="1"/>
  <c r="BE28" i="25"/>
  <c r="DY28" i="25" s="1"/>
  <c r="BA31" i="25" l="1"/>
  <c r="BB31" i="25"/>
  <c r="BC31" i="25"/>
  <c r="DT27" i="25"/>
  <c r="AX28" i="25"/>
  <c r="DR28" i="25" s="1"/>
  <c r="AY28" i="25"/>
  <c r="DS28" i="25" s="1"/>
  <c r="AZ28" i="25"/>
  <c r="DT28" i="25" s="1"/>
  <c r="BA30" i="25"/>
  <c r="DU30" i="25" s="1"/>
  <c r="BB30" i="25"/>
  <c r="DV30" i="25" s="1"/>
  <c r="BC30" i="25"/>
  <c r="DW30" i="25" s="1"/>
  <c r="BG27" i="25"/>
  <c r="EA27" i="25" s="1"/>
  <c r="FA27" i="25" s="1"/>
  <c r="C27" i="25" s="1"/>
  <c r="BE29" i="25"/>
  <c r="DY29" i="25" s="1"/>
  <c r="DW31" i="25" l="1"/>
  <c r="DV31" i="25"/>
  <c r="DU31" i="25"/>
  <c r="AX29" i="25"/>
  <c r="DR29" i="25" s="1"/>
  <c r="AY29" i="25"/>
  <c r="DS29" i="25" s="1"/>
  <c r="AZ29" i="25"/>
  <c r="AX31" i="25"/>
  <c r="AY31" i="25"/>
  <c r="AZ31" i="25"/>
  <c r="BA32" i="25"/>
  <c r="DU33" i="25" s="1"/>
  <c r="BB32" i="25"/>
  <c r="DV33" i="25" s="1"/>
  <c r="BC32" i="25"/>
  <c r="DW33" i="25" s="1"/>
  <c r="BF28" i="25"/>
  <c r="DZ28" i="25" s="1"/>
  <c r="DW32" i="25" l="1"/>
  <c r="DW34" i="25"/>
  <c r="DU34" i="25"/>
  <c r="DU32" i="25"/>
  <c r="DV34" i="25"/>
  <c r="DV32" i="25"/>
  <c r="AX30" i="25"/>
  <c r="AY30" i="25"/>
  <c r="DS30" i="25" s="1"/>
  <c r="AZ30" i="25"/>
  <c r="DT30" i="25" s="1"/>
  <c r="DT29" i="25"/>
  <c r="BG28" i="25"/>
  <c r="EA28" i="25" s="1"/>
  <c r="FA28" i="25" s="1"/>
  <c r="C28" i="25" s="1"/>
  <c r="BF29" i="25"/>
  <c r="DZ29" i="25" s="1"/>
  <c r="DS31" i="25" l="1"/>
  <c r="DR31" i="25"/>
  <c r="DR30" i="25"/>
  <c r="DT31" i="25"/>
  <c r="AX32" i="25"/>
  <c r="DR33" i="25" s="1"/>
  <c r="AY32" i="25"/>
  <c r="DS33" i="25" s="1"/>
  <c r="AZ32" i="25"/>
  <c r="DT33" i="25" s="1"/>
  <c r="DT32" i="25" l="1"/>
  <c r="DT34" i="25"/>
  <c r="DS32" i="25"/>
  <c r="DS34" i="25"/>
  <c r="DR34" i="25"/>
  <c r="DR32" i="25"/>
  <c r="BG29" i="25"/>
  <c r="EA29" i="25" s="1"/>
  <c r="FA29" i="25" s="1"/>
  <c r="C29" i="25" s="1"/>
  <c r="BD31" i="25" l="1"/>
  <c r="BD30" i="25" l="1"/>
  <c r="DX30" i="25" s="1"/>
  <c r="DX31" i="25" l="1"/>
  <c r="BE30" i="25"/>
  <c r="DY30" i="25" s="1"/>
  <c r="BE31" i="25"/>
  <c r="BF31" i="25"/>
  <c r="BD32" i="25"/>
  <c r="DX33" i="25" s="1"/>
  <c r="DX32" i="25" l="1"/>
  <c r="DX34" i="25"/>
  <c r="DY31" i="25"/>
  <c r="BG31" i="25" l="1"/>
  <c r="BE32" i="25"/>
  <c r="DY33" i="25" s="1"/>
  <c r="DY34" i="25" l="1"/>
  <c r="DY32" i="25"/>
  <c r="BF30" i="25"/>
  <c r="BF32" i="25"/>
  <c r="DZ33" i="25" s="1"/>
  <c r="DZ32" i="25" l="1"/>
  <c r="DZ34" i="25"/>
  <c r="DZ30" i="25"/>
  <c r="DZ31" i="25"/>
  <c r="BG30" i="25" l="1"/>
  <c r="BG32" i="25"/>
  <c r="EA33" i="25" s="1"/>
  <c r="FA33" i="25" s="1"/>
  <c r="C33" i="25" s="1"/>
  <c r="EA32" i="25" l="1"/>
  <c r="FA32" i="25" s="1"/>
  <c r="C32" i="25" s="1"/>
  <c r="EA30" i="25"/>
  <c r="FA30" i="25" s="1"/>
  <c r="C30" i="25" s="1"/>
  <c r="EA31" i="25"/>
  <c r="FA31" i="25" s="1"/>
  <c r="C31" i="25" s="1"/>
  <c r="EA34" i="25"/>
  <c r="FA34" i="25" s="1"/>
  <c r="F7" i="31"/>
  <c r="F8" i="31"/>
  <c r="F10" i="31"/>
  <c r="K196" i="31" l="1"/>
  <c r="V195" i="31" s="1"/>
  <c r="D196" i="31"/>
  <c r="K215" i="31"/>
  <c r="V214" i="31" s="1"/>
  <c r="D215" i="31"/>
  <c r="K96" i="31"/>
  <c r="V95" i="31" s="1"/>
  <c r="D96" i="31"/>
  <c r="K173" i="31"/>
  <c r="V172" i="31" s="1"/>
  <c r="D173" i="31"/>
  <c r="K154" i="31"/>
  <c r="V153" i="31" s="1"/>
  <c r="D154" i="31"/>
  <c r="K91" i="31"/>
  <c r="V90" i="31" s="1"/>
  <c r="D91" i="31"/>
  <c r="K158" i="31"/>
  <c r="V157" i="31" s="1"/>
  <c r="D158" i="31"/>
  <c r="K20" i="31"/>
  <c r="V19" i="31" s="1"/>
  <c r="D20" i="31"/>
  <c r="K148" i="31"/>
  <c r="V147" i="31" s="1"/>
  <c r="D148" i="31"/>
  <c r="K234" i="31"/>
  <c r="V233" i="31" s="1"/>
  <c r="D234" i="31"/>
  <c r="K103" i="31"/>
  <c r="V102" i="31" s="1"/>
  <c r="D103" i="31"/>
  <c r="K136" i="31"/>
  <c r="V135" i="31" s="1"/>
  <c r="D136" i="31"/>
  <c r="K82" i="31"/>
  <c r="V81" i="31" s="1"/>
  <c r="D82" i="31"/>
  <c r="K61" i="31"/>
  <c r="V60" i="31" s="1"/>
  <c r="O20" i="31"/>
  <c r="D61" i="31"/>
  <c r="K30" i="31"/>
  <c r="V29" i="31" s="1"/>
  <c r="D30" i="31"/>
  <c r="K213" i="31"/>
  <c r="V212" i="31" s="1"/>
  <c r="D213" i="31"/>
  <c r="K199" i="31"/>
  <c r="V198" i="31" s="1"/>
  <c r="D199" i="31"/>
  <c r="K157" i="31"/>
  <c r="V156" i="31" s="1"/>
  <c r="O28" i="31"/>
  <c r="D157" i="31"/>
  <c r="K231" i="31"/>
  <c r="V230" i="31" s="1"/>
  <c r="D231" i="31"/>
  <c r="K126" i="31"/>
  <c r="V125" i="31" s="1"/>
  <c r="D126" i="31"/>
  <c r="K171" i="31"/>
  <c r="V170" i="31" s="1"/>
  <c r="D171" i="31"/>
  <c r="K78" i="31"/>
  <c r="V77" i="31" s="1"/>
  <c r="D78" i="31"/>
  <c r="K97" i="31"/>
  <c r="V96" i="31" s="1"/>
  <c r="O23" i="31"/>
  <c r="D97" i="31"/>
  <c r="K53" i="31"/>
  <c r="V52" i="31" s="1"/>
  <c r="D53" i="31"/>
  <c r="K233" i="31"/>
  <c r="V232" i="31" s="1"/>
  <c r="D233" i="31"/>
  <c r="K219" i="31"/>
  <c r="V218" i="31" s="1"/>
  <c r="D219" i="31"/>
  <c r="K120" i="31"/>
  <c r="V119" i="31" s="1"/>
  <c r="D120" i="31"/>
  <c r="K153" i="31"/>
  <c r="V152" i="31" s="1"/>
  <c r="D153" i="31"/>
  <c r="K163" i="31"/>
  <c r="V162" i="31" s="1"/>
  <c r="D163" i="31"/>
  <c r="K37" i="31"/>
  <c r="V36" i="31" s="1"/>
  <c r="O18" i="31"/>
  <c r="D37" i="31"/>
  <c r="K121" i="31"/>
  <c r="V120" i="31" s="1"/>
  <c r="O25" i="31"/>
  <c r="D121" i="31"/>
  <c r="K130" i="31"/>
  <c r="V129" i="31" s="1"/>
  <c r="D130" i="31"/>
  <c r="F259" i="31"/>
  <c r="K247" i="31"/>
  <c r="V246" i="31" s="1"/>
  <c r="D247" i="31"/>
  <c r="K77" i="31"/>
  <c r="V76" i="31" s="1"/>
  <c r="D77" i="31"/>
  <c r="K110" i="31"/>
  <c r="V109" i="31" s="1"/>
  <c r="D110" i="31"/>
  <c r="K107" i="31"/>
  <c r="V106" i="31" s="1"/>
  <c r="D107" i="31"/>
  <c r="K129" i="31"/>
  <c r="V128" i="31" s="1"/>
  <c r="D129" i="31"/>
  <c r="K140" i="31"/>
  <c r="V139" i="31" s="1"/>
  <c r="D140" i="31"/>
  <c r="K143" i="31"/>
  <c r="V142" i="31" s="1"/>
  <c r="D143" i="31"/>
  <c r="K179" i="31"/>
  <c r="V178" i="31" s="1"/>
  <c r="D179" i="31"/>
  <c r="K182" i="31"/>
  <c r="V181" i="31" s="1"/>
  <c r="D182" i="31"/>
  <c r="K226" i="31"/>
  <c r="V225" i="31" s="1"/>
  <c r="D226" i="31"/>
  <c r="K188" i="31"/>
  <c r="V187" i="31" s="1"/>
  <c r="D188" i="31"/>
  <c r="K137" i="31"/>
  <c r="V136" i="31" s="1"/>
  <c r="D137" i="31"/>
  <c r="K74" i="31"/>
  <c r="V73" i="31" s="1"/>
  <c r="D74" i="31"/>
  <c r="K84" i="31"/>
  <c r="V83" i="31" s="1"/>
  <c r="D84" i="31"/>
  <c r="K139" i="31"/>
  <c r="V138" i="31" s="1"/>
  <c r="D139" i="31"/>
  <c r="K73" i="31"/>
  <c r="V72" i="31" s="1"/>
  <c r="O21" i="31"/>
  <c r="D73" i="31"/>
  <c r="K102" i="31"/>
  <c r="V101" i="31" s="1"/>
  <c r="D102" i="31"/>
  <c r="K33" i="31"/>
  <c r="V32" i="31" s="1"/>
  <c r="D33" i="31"/>
  <c r="K211" i="31"/>
  <c r="V210" i="31" s="1"/>
  <c r="D211" i="31"/>
  <c r="K145" i="31"/>
  <c r="V144" i="31" s="1"/>
  <c r="O27" i="31"/>
  <c r="D145" i="31"/>
  <c r="K35" i="31"/>
  <c r="V34" i="31" s="1"/>
  <c r="D35" i="31"/>
  <c r="K165" i="31"/>
  <c r="V164" i="31" s="1"/>
  <c r="D165" i="31"/>
  <c r="K189" i="31"/>
  <c r="V188" i="31" s="1"/>
  <c r="D189" i="31"/>
  <c r="K191" i="31"/>
  <c r="V190" i="31" s="1"/>
  <c r="D191" i="31"/>
  <c r="K209" i="31"/>
  <c r="V208" i="31" s="1"/>
  <c r="D209" i="31"/>
  <c r="K71" i="31"/>
  <c r="V70" i="31" s="1"/>
  <c r="D71" i="31"/>
  <c r="F261" i="31"/>
  <c r="K249" i="31"/>
  <c r="V248" i="31" s="1"/>
  <c r="D249" i="31"/>
  <c r="K26" i="31"/>
  <c r="V25" i="31" s="1"/>
  <c r="D26" i="31"/>
  <c r="K250" i="31"/>
  <c r="V249" i="31" s="1"/>
  <c r="F262" i="31"/>
  <c r="D250" i="31"/>
  <c r="K251" i="31"/>
  <c r="V250" i="31" s="1"/>
  <c r="F263" i="31"/>
  <c r="D251" i="31"/>
  <c r="K197" i="31"/>
  <c r="V196" i="31" s="1"/>
  <c r="D197" i="31"/>
  <c r="K214" i="31"/>
  <c r="V213" i="31" s="1"/>
  <c r="D214" i="31"/>
  <c r="D12" i="31"/>
  <c r="G12" i="31" s="1"/>
  <c r="K25" i="31"/>
  <c r="V24" i="31" s="1"/>
  <c r="O17" i="31"/>
  <c r="D25" i="31"/>
  <c r="F255" i="31"/>
  <c r="K243" i="31"/>
  <c r="V242" i="31" s="1"/>
  <c r="D243" i="31"/>
  <c r="K17" i="31"/>
  <c r="V16" i="31" s="1"/>
  <c r="D17" i="31"/>
  <c r="K90" i="31"/>
  <c r="V89" i="31" s="1"/>
  <c r="D90" i="31"/>
  <c r="K15" i="31"/>
  <c r="V14" i="31" s="1"/>
  <c r="D15" i="31"/>
  <c r="K48" i="31"/>
  <c r="V47" i="31" s="1"/>
  <c r="D48" i="31"/>
  <c r="K159" i="31"/>
  <c r="V158" i="31" s="1"/>
  <c r="D159" i="31"/>
  <c r="K60" i="31"/>
  <c r="V59" i="31" s="1"/>
  <c r="D60" i="31"/>
  <c r="K142" i="31"/>
  <c r="V141" i="31" s="1"/>
  <c r="D142" i="31"/>
  <c r="K208" i="31"/>
  <c r="V207" i="31" s="1"/>
  <c r="D208" i="31"/>
  <c r="K162" i="31"/>
  <c r="V161" i="31" s="1"/>
  <c r="D162" i="31"/>
  <c r="K88" i="31"/>
  <c r="V87" i="31" s="1"/>
  <c r="D88" i="31"/>
  <c r="K128" i="31"/>
  <c r="V127" i="31" s="1"/>
  <c r="D128" i="31"/>
  <c r="K190" i="31"/>
  <c r="V189" i="31" s="1"/>
  <c r="D190" i="31"/>
  <c r="K235" i="31"/>
  <c r="V234" i="31" s="1"/>
  <c r="D235" i="31"/>
  <c r="K220" i="31"/>
  <c r="V219" i="31" s="1"/>
  <c r="D220" i="31"/>
  <c r="F258" i="31"/>
  <c r="K246" i="31"/>
  <c r="V245" i="31" s="1"/>
  <c r="D246" i="31"/>
  <c r="K124" i="31"/>
  <c r="V123" i="31" s="1"/>
  <c r="D124" i="31"/>
  <c r="K119" i="31"/>
  <c r="V118" i="31" s="1"/>
  <c r="D119" i="31"/>
  <c r="K113" i="31"/>
  <c r="V112" i="31" s="1"/>
  <c r="D113" i="31"/>
  <c r="K105" i="31"/>
  <c r="V104" i="31" s="1"/>
  <c r="D105" i="31"/>
  <c r="K125" i="31"/>
  <c r="V124" i="31" s="1"/>
  <c r="D125" i="31"/>
  <c r="K79" i="31"/>
  <c r="V78" i="31" s="1"/>
  <c r="D79" i="31"/>
  <c r="K204" i="31"/>
  <c r="V203" i="31" s="1"/>
  <c r="D204" i="31"/>
  <c r="K45" i="31"/>
  <c r="V44" i="31" s="1"/>
  <c r="D45" i="31"/>
  <c r="K135" i="31"/>
  <c r="V134" i="31" s="1"/>
  <c r="D135" i="31"/>
  <c r="K152" i="31"/>
  <c r="V151" i="31" s="1"/>
  <c r="D152" i="31"/>
  <c r="K242" i="31"/>
  <c r="V241" i="31" s="1"/>
  <c r="F254" i="31"/>
  <c r="D242" i="31"/>
  <c r="K176" i="31"/>
  <c r="V175" i="31" s="1"/>
  <c r="D176" i="31"/>
  <c r="K216" i="31"/>
  <c r="V215" i="31" s="1"/>
  <c r="D216" i="31"/>
  <c r="K114" i="31"/>
  <c r="V113" i="31" s="1"/>
  <c r="D114" i="31"/>
  <c r="K194" i="31"/>
  <c r="V193" i="31" s="1"/>
  <c r="D194" i="31"/>
  <c r="K141" i="31"/>
  <c r="V140" i="31" s="1"/>
  <c r="D141" i="31"/>
  <c r="F260" i="31"/>
  <c r="K248" i="31"/>
  <c r="V247" i="31" s="1"/>
  <c r="D248" i="31"/>
  <c r="K116" i="31"/>
  <c r="V115" i="31" s="1"/>
  <c r="D116" i="31"/>
  <c r="K146" i="31"/>
  <c r="V145" i="31" s="1"/>
  <c r="D146" i="31"/>
  <c r="K175" i="31"/>
  <c r="V174" i="31" s="1"/>
  <c r="D175" i="31"/>
  <c r="K237" i="31"/>
  <c r="V236" i="31" s="1"/>
  <c r="D237" i="31"/>
  <c r="K21" i="31"/>
  <c r="V20" i="31" s="1"/>
  <c r="D21" i="31"/>
  <c r="K44" i="31"/>
  <c r="V43" i="31" s="1"/>
  <c r="D44" i="31"/>
  <c r="K203" i="31"/>
  <c r="V202" i="31" s="1"/>
  <c r="D203" i="31"/>
  <c r="K223" i="31"/>
  <c r="V222" i="31" s="1"/>
  <c r="D223" i="31"/>
  <c r="K122" i="31"/>
  <c r="V121" i="31" s="1"/>
  <c r="D122" i="31"/>
  <c r="K206" i="31"/>
  <c r="V205" i="31" s="1"/>
  <c r="D206" i="31"/>
  <c r="K63" i="31"/>
  <c r="V62" i="31" s="1"/>
  <c r="D63" i="31"/>
  <c r="K169" i="31"/>
  <c r="V168" i="31" s="1"/>
  <c r="O29" i="31"/>
  <c r="D169" i="31"/>
  <c r="K32" i="31"/>
  <c r="V31" i="31" s="1"/>
  <c r="D32" i="31"/>
  <c r="K227" i="31"/>
  <c r="V226" i="31" s="1"/>
  <c r="D227" i="31"/>
  <c r="K83" i="31"/>
  <c r="V82" i="31" s="1"/>
  <c r="D83" i="31"/>
  <c r="K51" i="31"/>
  <c r="V50" i="31" s="1"/>
  <c r="D51" i="31"/>
  <c r="K210" i="31"/>
  <c r="V209" i="31" s="1"/>
  <c r="D210" i="31"/>
  <c r="K94" i="31"/>
  <c r="V93" i="31" s="1"/>
  <c r="D94" i="31"/>
  <c r="K29" i="31"/>
  <c r="V28" i="31" s="1"/>
  <c r="D29" i="31"/>
  <c r="K228" i="31"/>
  <c r="V227" i="31" s="1"/>
  <c r="D228" i="31"/>
  <c r="K192" i="31"/>
  <c r="V191" i="31" s="1"/>
  <c r="D192" i="31"/>
  <c r="K22" i="31"/>
  <c r="V21" i="31" s="1"/>
  <c r="D22" i="31"/>
  <c r="K166" i="31"/>
  <c r="V165" i="31" s="1"/>
  <c r="D166" i="31"/>
  <c r="K112" i="31"/>
  <c r="V111" i="31" s="1"/>
  <c r="D112" i="31"/>
  <c r="K172" i="31"/>
  <c r="V171" i="31" s="1"/>
  <c r="D172" i="31"/>
  <c r="K240" i="31"/>
  <c r="V239" i="31" s="1"/>
  <c r="D240" i="31"/>
  <c r="K64" i="31"/>
  <c r="V63" i="31" s="1"/>
  <c r="D64" i="31"/>
  <c r="K65" i="31"/>
  <c r="V64" i="31" s="1"/>
  <c r="D65" i="31"/>
  <c r="K100" i="31"/>
  <c r="V99" i="31" s="1"/>
  <c r="D100" i="31"/>
  <c r="K170" i="31"/>
  <c r="V169" i="31" s="1"/>
  <c r="D170" i="31"/>
  <c r="K205" i="31"/>
  <c r="V204" i="31" s="1"/>
  <c r="O32" i="31"/>
  <c r="D205" i="31"/>
  <c r="K185" i="31"/>
  <c r="V184" i="31" s="1"/>
  <c r="D185" i="31"/>
  <c r="K180" i="31"/>
  <c r="V179" i="31" s="1"/>
  <c r="D180" i="31"/>
  <c r="K217" i="31"/>
  <c r="V216" i="31" s="1"/>
  <c r="O33" i="31"/>
  <c r="D217" i="31"/>
  <c r="K160" i="31"/>
  <c r="V159" i="31" s="1"/>
  <c r="D160" i="31"/>
  <c r="K202" i="31"/>
  <c r="V201" i="31" s="1"/>
  <c r="D202" i="31"/>
  <c r="K62" i="31"/>
  <c r="V61" i="31" s="1"/>
  <c r="D62" i="31"/>
  <c r="K161" i="31"/>
  <c r="V160" i="31" s="1"/>
  <c r="D161" i="31"/>
  <c r="K212" i="31"/>
  <c r="V211" i="31" s="1"/>
  <c r="D212" i="31"/>
  <c r="K80" i="31"/>
  <c r="V79" i="31" s="1"/>
  <c r="D80" i="31"/>
  <c r="K134" i="31"/>
  <c r="V133" i="31" s="1"/>
  <c r="D134" i="31"/>
  <c r="K67" i="31"/>
  <c r="V66" i="31" s="1"/>
  <c r="D67" i="31"/>
  <c r="K201" i="31"/>
  <c r="V200" i="31" s="1"/>
  <c r="D201" i="31"/>
  <c r="K55" i="31"/>
  <c r="V54" i="31" s="1"/>
  <c r="D55" i="31"/>
  <c r="K232" i="31"/>
  <c r="V231" i="31" s="1"/>
  <c r="D232" i="31"/>
  <c r="K221" i="31"/>
  <c r="V220" i="31" s="1"/>
  <c r="D221" i="31"/>
  <c r="K115" i="31"/>
  <c r="V114" i="31" s="1"/>
  <c r="D115" i="31"/>
  <c r="K14" i="31"/>
  <c r="V13" i="31" s="1"/>
  <c r="D14" i="31"/>
  <c r="K16" i="31"/>
  <c r="V15" i="31" s="1"/>
  <c r="D16" i="31"/>
  <c r="K27" i="31"/>
  <c r="V26" i="31" s="1"/>
  <c r="D27" i="31"/>
  <c r="K58" i="31"/>
  <c r="V57" i="31" s="1"/>
  <c r="D58" i="31"/>
  <c r="K109" i="31"/>
  <c r="V108" i="31" s="1"/>
  <c r="O24" i="31"/>
  <c r="D109" i="31"/>
  <c r="K99" i="31"/>
  <c r="V98" i="31" s="1"/>
  <c r="D99" i="31"/>
  <c r="K108" i="31"/>
  <c r="V107" i="31" s="1"/>
  <c r="D108" i="31"/>
  <c r="K123" i="31"/>
  <c r="V122" i="31" s="1"/>
  <c r="D123" i="31"/>
  <c r="K98" i="31"/>
  <c r="V97" i="31" s="1"/>
  <c r="D98" i="31"/>
  <c r="K111" i="31"/>
  <c r="V110" i="31" s="1"/>
  <c r="D111" i="31"/>
  <c r="K229" i="31"/>
  <c r="V228" i="31" s="1"/>
  <c r="O34" i="31"/>
  <c r="D229" i="31"/>
  <c r="K118" i="31"/>
  <c r="V117" i="31" s="1"/>
  <c r="D118" i="31"/>
  <c r="K183" i="31"/>
  <c r="V182" i="31" s="1"/>
  <c r="D183" i="31"/>
  <c r="K23" i="31"/>
  <c r="V22" i="31" s="1"/>
  <c r="D23" i="31"/>
  <c r="K178" i="31"/>
  <c r="V177" i="31" s="1"/>
  <c r="D178" i="31"/>
  <c r="K101" i="31"/>
  <c r="V100" i="31" s="1"/>
  <c r="D101" i="31"/>
  <c r="K72" i="31"/>
  <c r="V71" i="31" s="1"/>
  <c r="D72" i="31"/>
  <c r="K34" i="31"/>
  <c r="V33" i="31" s="1"/>
  <c r="D34" i="31"/>
  <c r="K174" i="31"/>
  <c r="V173" i="31" s="1"/>
  <c r="D174" i="31"/>
  <c r="K36" i="31"/>
  <c r="V35" i="31" s="1"/>
  <c r="D36" i="31"/>
  <c r="K132" i="31"/>
  <c r="V131" i="31" s="1"/>
  <c r="D132" i="31"/>
  <c r="K50" i="31"/>
  <c r="V49" i="31" s="1"/>
  <c r="D50" i="31"/>
  <c r="K195" i="31"/>
  <c r="V194" i="31" s="1"/>
  <c r="D195" i="31"/>
  <c r="K236" i="31"/>
  <c r="V235" i="31" s="1"/>
  <c r="D236" i="31"/>
  <c r="K151" i="31"/>
  <c r="V150" i="31" s="1"/>
  <c r="D151" i="31"/>
  <c r="K92" i="31"/>
  <c r="V91" i="31" s="1"/>
  <c r="D92" i="31"/>
  <c r="K13" i="31"/>
  <c r="O16" i="31"/>
  <c r="D13" i="31"/>
  <c r="K86" i="31"/>
  <c r="V85" i="31" s="1"/>
  <c r="D86" i="31"/>
  <c r="K31" i="31"/>
  <c r="V30" i="31" s="1"/>
  <c r="D31" i="31"/>
  <c r="K245" i="31"/>
  <c r="V244" i="31" s="1"/>
  <c r="F257" i="31"/>
  <c r="D245" i="31"/>
  <c r="K59" i="31"/>
  <c r="V58" i="31" s="1"/>
  <c r="D59" i="31"/>
  <c r="K40" i="31"/>
  <c r="V39" i="31" s="1"/>
  <c r="D40" i="31"/>
  <c r="K244" i="31"/>
  <c r="V243" i="31" s="1"/>
  <c r="F256" i="31"/>
  <c r="D244" i="31"/>
  <c r="K28" i="31"/>
  <c r="V27" i="31" s="1"/>
  <c r="D28" i="31"/>
  <c r="K89" i="31"/>
  <c r="V88" i="31" s="1"/>
  <c r="D89" i="31"/>
  <c r="K76" i="31"/>
  <c r="V75" i="31" s="1"/>
  <c r="D76" i="31"/>
  <c r="K81" i="31"/>
  <c r="V80" i="31" s="1"/>
  <c r="D81" i="31"/>
  <c r="K85" i="31"/>
  <c r="V84" i="31" s="1"/>
  <c r="O22" i="31"/>
  <c r="D85" i="31"/>
  <c r="K47" i="31"/>
  <c r="V46" i="31" s="1"/>
  <c r="D47" i="31"/>
  <c r="K147" i="31"/>
  <c r="V146" i="31" s="1"/>
  <c r="D147" i="31"/>
  <c r="K43" i="31"/>
  <c r="V42" i="31" s="1"/>
  <c r="D43" i="31"/>
  <c r="K93" i="31"/>
  <c r="V92" i="31" s="1"/>
  <c r="D93" i="31"/>
  <c r="K177" i="31"/>
  <c r="V176" i="31" s="1"/>
  <c r="D177" i="31"/>
  <c r="K252" i="31"/>
  <c r="V251" i="31" s="1"/>
  <c r="F264" i="31"/>
  <c r="D252" i="31"/>
  <c r="K127" i="31"/>
  <c r="V126" i="31" s="1"/>
  <c r="D127" i="31"/>
  <c r="K70" i="31"/>
  <c r="V69" i="31" s="1"/>
  <c r="D70" i="31"/>
  <c r="K42" i="31"/>
  <c r="V41" i="31" s="1"/>
  <c r="D42" i="31"/>
  <c r="K167" i="31"/>
  <c r="V166" i="31" s="1"/>
  <c r="D167" i="31"/>
  <c r="K24" i="31"/>
  <c r="V23" i="31" s="1"/>
  <c r="D24" i="31"/>
  <c r="K133" i="31"/>
  <c r="V132" i="31" s="1"/>
  <c r="O26" i="31"/>
  <c r="D133" i="31"/>
  <c r="K57" i="31"/>
  <c r="V56" i="31" s="1"/>
  <c r="D57" i="31"/>
  <c r="K150" i="31"/>
  <c r="V149" i="31" s="1"/>
  <c r="D150" i="31"/>
  <c r="K54" i="31"/>
  <c r="V53" i="31" s="1"/>
  <c r="D54" i="31"/>
  <c r="K186" i="31"/>
  <c r="V185" i="31" s="1"/>
  <c r="D186" i="31"/>
  <c r="K144" i="31"/>
  <c r="V143" i="31" s="1"/>
  <c r="D144" i="31"/>
  <c r="O19" i="31"/>
  <c r="K49" i="31"/>
  <c r="V48" i="31" s="1"/>
  <c r="D49" i="31"/>
  <c r="K198" i="31"/>
  <c r="V197" i="31" s="1"/>
  <c r="D198" i="31"/>
  <c r="K18" i="31"/>
  <c r="V17" i="31" s="1"/>
  <c r="D18" i="31"/>
  <c r="K68" i="31"/>
  <c r="V67" i="31" s="1"/>
  <c r="D68" i="31"/>
  <c r="K200" i="31"/>
  <c r="V199" i="31" s="1"/>
  <c r="D200" i="31"/>
  <c r="K238" i="31"/>
  <c r="V237" i="31" s="1"/>
  <c r="D238" i="31"/>
  <c r="K181" i="31"/>
  <c r="V180" i="31" s="1"/>
  <c r="O30" i="31"/>
  <c r="D181" i="31"/>
  <c r="K168" i="31"/>
  <c r="V167" i="31" s="1"/>
  <c r="D168" i="31"/>
  <c r="K75" i="31"/>
  <c r="V74" i="31" s="1"/>
  <c r="D75" i="31"/>
  <c r="K19" i="31"/>
  <c r="V18" i="31" s="1"/>
  <c r="D19" i="31"/>
  <c r="K218" i="31"/>
  <c r="V217" i="31" s="1"/>
  <c r="D218" i="31"/>
  <c r="K41" i="31"/>
  <c r="V40" i="31" s="1"/>
  <c r="D41" i="31"/>
  <c r="K46" i="31"/>
  <c r="V45" i="31" s="1"/>
  <c r="D46" i="31"/>
  <c r="K138" i="31"/>
  <c r="V137" i="31" s="1"/>
  <c r="D138" i="31"/>
  <c r="K39" i="31"/>
  <c r="V38" i="31" s="1"/>
  <c r="D39" i="31"/>
  <c r="K193" i="31"/>
  <c r="V192" i="31" s="1"/>
  <c r="O31" i="31"/>
  <c r="D193" i="31"/>
  <c r="K187" i="31"/>
  <c r="V186" i="31" s="1"/>
  <c r="D187" i="31"/>
  <c r="K207" i="31"/>
  <c r="V206" i="31" s="1"/>
  <c r="D207" i="31"/>
  <c r="K69" i="31"/>
  <c r="V68" i="31" s="1"/>
  <c r="D69" i="31"/>
  <c r="K87" i="31"/>
  <c r="V86" i="31" s="1"/>
  <c r="D87" i="31"/>
  <c r="K131" i="31"/>
  <c r="V130" i="31" s="1"/>
  <c r="D131" i="31"/>
  <c r="K149" i="31"/>
  <c r="V148" i="31" s="1"/>
  <c r="D149" i="31"/>
  <c r="K239" i="31"/>
  <c r="V238" i="31" s="1"/>
  <c r="D239" i="31"/>
  <c r="F253" i="31"/>
  <c r="K241" i="31"/>
  <c r="V240" i="31" s="1"/>
  <c r="O35" i="31"/>
  <c r="D241" i="31"/>
  <c r="K222" i="31"/>
  <c r="V221" i="31" s="1"/>
  <c r="D222" i="31"/>
  <c r="K66" i="31"/>
  <c r="V65" i="31" s="1"/>
  <c r="D66" i="31"/>
  <c r="K38" i="31"/>
  <c r="V37" i="31" s="1"/>
  <c r="D38" i="31"/>
  <c r="K106" i="31"/>
  <c r="V105" i="31" s="1"/>
  <c r="D106" i="31"/>
  <c r="K164" i="31"/>
  <c r="V163" i="31" s="1"/>
  <c r="D164" i="31"/>
  <c r="K155" i="31"/>
  <c r="V154" i="31" s="1"/>
  <c r="D155" i="31"/>
  <c r="K56" i="31"/>
  <c r="V55" i="31" s="1"/>
  <c r="D56" i="31"/>
  <c r="K95" i="31"/>
  <c r="V94" i="31" s="1"/>
  <c r="D95" i="31"/>
  <c r="K156" i="31"/>
  <c r="V155" i="31" s="1"/>
  <c r="D156" i="31"/>
  <c r="K224" i="31"/>
  <c r="V223" i="31" s="1"/>
  <c r="D224" i="31"/>
  <c r="K184" i="31"/>
  <c r="V183" i="31" s="1"/>
  <c r="D184" i="31"/>
  <c r="K104" i="31"/>
  <c r="V103" i="31" s="1"/>
  <c r="D104" i="31"/>
  <c r="K117" i="31"/>
  <c r="V116" i="31" s="1"/>
  <c r="D117" i="31"/>
  <c r="K230" i="31"/>
  <c r="V229" i="31" s="1"/>
  <c r="D230" i="31"/>
  <c r="K52" i="31"/>
  <c r="V51" i="31" s="1"/>
  <c r="D52" i="31"/>
  <c r="K225" i="31"/>
  <c r="V224" i="31" s="1"/>
  <c r="D225" i="31"/>
  <c r="D7" i="31"/>
  <c r="D8" i="31"/>
  <c r="D10" i="31"/>
  <c r="N31" i="31" l="1"/>
  <c r="N26" i="31"/>
  <c r="N35" i="31"/>
  <c r="U24" i="31"/>
  <c r="N32" i="31"/>
  <c r="K261" i="31"/>
  <c r="V260" i="31" s="1"/>
  <c r="F273" i="31"/>
  <c r="U18" i="31"/>
  <c r="F276" i="31"/>
  <c r="K264" i="31"/>
  <c r="V263" i="31" s="1"/>
  <c r="N22" i="31"/>
  <c r="U32" i="31"/>
  <c r="K260" i="31"/>
  <c r="V259" i="31" s="1"/>
  <c r="F272" i="31"/>
  <c r="N30" i="31"/>
  <c r="K256" i="31"/>
  <c r="V255" i="31" s="1"/>
  <c r="F268" i="31"/>
  <c r="N21" i="31"/>
  <c r="F271" i="31"/>
  <c r="K271" i="31" s="1"/>
  <c r="V270" i="31" s="1"/>
  <c r="K259" i="31"/>
  <c r="V258" i="31" s="1"/>
  <c r="U22" i="31"/>
  <c r="K254" i="31"/>
  <c r="V253" i="31" s="1"/>
  <c r="F266" i="31"/>
  <c r="K263" i="31"/>
  <c r="V262" i="31" s="1"/>
  <c r="F275" i="31"/>
  <c r="N20" i="31"/>
  <c r="U30" i="31"/>
  <c r="N33" i="31"/>
  <c r="K255" i="31"/>
  <c r="V254" i="31" s="1"/>
  <c r="F267" i="31"/>
  <c r="N27" i="31"/>
  <c r="U21" i="31"/>
  <c r="N23" i="31"/>
  <c r="N28" i="31"/>
  <c r="U20" i="31"/>
  <c r="N19" i="31"/>
  <c r="N16" i="31"/>
  <c r="U33" i="31"/>
  <c r="K258" i="31"/>
  <c r="V257" i="31" s="1"/>
  <c r="F270" i="31"/>
  <c r="U27" i="31"/>
  <c r="U23" i="31"/>
  <c r="U31" i="31"/>
  <c r="U19" i="31"/>
  <c r="N17" i="31"/>
  <c r="F274" i="31"/>
  <c r="K262" i="31"/>
  <c r="V261" i="31" s="1"/>
  <c r="U28" i="31"/>
  <c r="K5" i="31"/>
  <c r="V12" i="31"/>
  <c r="K4" i="31"/>
  <c r="N34" i="31"/>
  <c r="N25" i="31"/>
  <c r="U17" i="31"/>
  <c r="U34" i="31"/>
  <c r="N29" i="31"/>
  <c r="U25" i="31"/>
  <c r="U35" i="31"/>
  <c r="U26" i="31"/>
  <c r="K257" i="31"/>
  <c r="V256" i="31" s="1"/>
  <c r="F269" i="31"/>
  <c r="N24" i="31"/>
  <c r="U29" i="31"/>
  <c r="K253" i="31"/>
  <c r="V252" i="31" s="1"/>
  <c r="F265" i="31"/>
  <c r="O36" i="31"/>
  <c r="N18" i="31"/>
  <c r="D258" i="31" l="1"/>
  <c r="D261" i="31"/>
  <c r="D253" i="31"/>
  <c r="D264" i="31"/>
  <c r="D257" i="31"/>
  <c r="D255" i="31"/>
  <c r="D260" i="31"/>
  <c r="D262" i="31"/>
  <c r="D263" i="31"/>
  <c r="D259" i="31"/>
  <c r="D271" i="31" s="1"/>
  <c r="D254" i="31"/>
  <c r="D266" i="31" s="1"/>
  <c r="D256" i="31"/>
  <c r="R24" i="31"/>
  <c r="R17" i="31"/>
  <c r="R33" i="31"/>
  <c r="R22" i="31"/>
  <c r="R20" i="31"/>
  <c r="R27" i="31"/>
  <c r="R32" i="31"/>
  <c r="R25" i="31"/>
  <c r="R34" i="31"/>
  <c r="R35" i="31"/>
  <c r="R30" i="31"/>
  <c r="R29" i="31"/>
  <c r="R19" i="31"/>
  <c r="R28" i="31"/>
  <c r="R21" i="31"/>
  <c r="R26" i="31"/>
  <c r="R16" i="31"/>
  <c r="R18" i="31"/>
  <c r="R23" i="31"/>
  <c r="R31" i="31"/>
  <c r="N38" i="31"/>
  <c r="K276" i="31"/>
  <c r="V275" i="31" s="1"/>
  <c r="K273" i="31"/>
  <c r="V272" i="31" s="1"/>
  <c r="K266" i="31"/>
  <c r="V265" i="31" s="1"/>
  <c r="K274" i="31"/>
  <c r="V273" i="31" s="1"/>
  <c r="K265" i="31"/>
  <c r="V264" i="31" s="1"/>
  <c r="O37" i="31"/>
  <c r="K269" i="31"/>
  <c r="V268" i="31" s="1"/>
  <c r="M8" i="31"/>
  <c r="K6" i="31"/>
  <c r="B5" i="31" s="1"/>
  <c r="K3" i="25"/>
  <c r="K270" i="31"/>
  <c r="V269" i="31" s="1"/>
  <c r="K275" i="31"/>
  <c r="V274" i="31" s="1"/>
  <c r="K267" i="31"/>
  <c r="V266" i="31" s="1"/>
  <c r="K268" i="31"/>
  <c r="V267" i="31" s="1"/>
  <c r="U16" i="31"/>
  <c r="K272" i="31"/>
  <c r="V271" i="31" s="1"/>
  <c r="D272" i="31" l="1"/>
  <c r="D274" i="31"/>
  <c r="D276" i="31"/>
  <c r="D273" i="31"/>
  <c r="U36" i="31"/>
  <c r="D275" i="31"/>
  <c r="D267" i="31"/>
  <c r="D268" i="31"/>
  <c r="D269" i="31"/>
  <c r="D265" i="31"/>
  <c r="D270" i="31"/>
  <c r="U37" i="31"/>
  <c r="B5" i="25"/>
  <c r="G9" i="25"/>
  <c r="C49" i="25"/>
  <c r="C54" i="25"/>
  <c r="C59" i="25"/>
  <c r="R38" i="31"/>
  <c r="P38" i="31"/>
  <c r="N36" i="31"/>
  <c r="N37" i="31" l="1"/>
  <c r="R37" i="31" s="1"/>
  <c r="R36" i="31"/>
  <c r="B5" i="66"/>
  <c r="B5" i="28"/>
  <c r="B4" i="31"/>
  <c r="E16" i="31" l="1"/>
  <c r="E33" i="31"/>
  <c r="E135" i="31"/>
  <c r="E147" i="31"/>
  <c r="E170" i="31"/>
  <c r="E22" i="31"/>
  <c r="E83" i="31"/>
  <c r="E50" i="31"/>
  <c r="E71" i="31"/>
  <c r="E127" i="31"/>
  <c r="E39" i="31"/>
  <c r="E20" i="31"/>
  <c r="E92" i="31"/>
  <c r="E29" i="31"/>
  <c r="E99" i="31"/>
  <c r="E94" i="31"/>
  <c r="E148" i="31"/>
  <c r="E116" i="31"/>
  <c r="E21" i="31"/>
  <c r="E59" i="31"/>
  <c r="E19" i="31"/>
  <c r="E88" i="31"/>
  <c r="E17" i="31"/>
  <c r="E112" i="31"/>
  <c r="E101" i="31"/>
  <c r="G29" i="31" l="1"/>
  <c r="G20" i="31"/>
  <c r="G127" i="31"/>
  <c r="G50" i="31"/>
  <c r="G94" i="31"/>
  <c r="G99" i="31"/>
  <c r="G92" i="31"/>
  <c r="G39" i="31"/>
  <c r="G101" i="31"/>
  <c r="G71" i="31"/>
  <c r="G112" i="31"/>
  <c r="G17" i="31"/>
  <c r="G83" i="31"/>
  <c r="G88" i="31"/>
  <c r="G22" i="31"/>
  <c r="G19" i="31"/>
  <c r="G170" i="31"/>
  <c r="G59" i="31"/>
  <c r="G147" i="31"/>
  <c r="G21" i="31"/>
  <c r="G135" i="31"/>
  <c r="G116" i="31"/>
  <c r="G33" i="31"/>
  <c r="G148" i="31"/>
  <c r="G16" i="31"/>
  <c r="E42" i="31"/>
  <c r="E111" i="31"/>
  <c r="E171" i="31"/>
  <c r="E93" i="31"/>
  <c r="E172" i="31"/>
  <c r="E60" i="31"/>
  <c r="E100" i="31"/>
  <c r="E27" i="31"/>
  <c r="E124" i="31"/>
  <c r="E149" i="31"/>
  <c r="E69" i="31"/>
  <c r="E31" i="31"/>
  <c r="E161" i="31"/>
  <c r="E95" i="31"/>
  <c r="G172" i="31" l="1"/>
  <c r="G95" i="31"/>
  <c r="G161" i="31"/>
  <c r="G31" i="31"/>
  <c r="G60" i="31"/>
  <c r="G69" i="31"/>
  <c r="G149" i="31"/>
  <c r="G27" i="31"/>
  <c r="G100" i="31"/>
  <c r="G93" i="31"/>
  <c r="G111" i="31"/>
  <c r="G42" i="31"/>
  <c r="G171" i="31"/>
  <c r="G124" i="31"/>
  <c r="E91" i="31"/>
  <c r="E194" i="31"/>
  <c r="E65" i="31"/>
  <c r="E36" i="31"/>
  <c r="E106" i="31"/>
  <c r="E105" i="31"/>
  <c r="E160" i="31"/>
  <c r="E134" i="31"/>
  <c r="E151" i="31"/>
  <c r="E129" i="31"/>
  <c r="E184" i="31"/>
  <c r="E79" i="31"/>
  <c r="E173" i="31"/>
  <c r="E72" i="31"/>
  <c r="E80" i="31"/>
  <c r="E70" i="31"/>
  <c r="E35" i="31"/>
  <c r="E32" i="31"/>
  <c r="E82" i="31"/>
  <c r="E206" i="31"/>
  <c r="E89" i="31"/>
  <c r="E58" i="31"/>
  <c r="E44" i="31"/>
  <c r="E115" i="31"/>
  <c r="E14" i="31"/>
  <c r="E77" i="31"/>
  <c r="E158" i="31"/>
  <c r="E76" i="31"/>
  <c r="E52" i="31"/>
  <c r="E159" i="31"/>
  <c r="E110" i="31"/>
  <c r="E57" i="31"/>
  <c r="E24" i="31"/>
  <c r="E28" i="31"/>
  <c r="E68" i="31"/>
  <c r="E146" i="31"/>
  <c r="E137" i="31"/>
  <c r="E136" i="31"/>
  <c r="E15" i="31"/>
  <c r="E38" i="31"/>
  <c r="E56" i="31"/>
  <c r="E40" i="31"/>
  <c r="E26" i="31"/>
  <c r="E63" i="31"/>
  <c r="E23" i="31"/>
  <c r="E55" i="31"/>
  <c r="E47" i="31"/>
  <c r="E41" i="31"/>
  <c r="E87" i="31"/>
  <c r="E98" i="31"/>
  <c r="E45" i="31"/>
  <c r="E62" i="31"/>
  <c r="E103" i="31"/>
  <c r="E67" i="31"/>
  <c r="E123" i="31"/>
  <c r="E48" i="31"/>
  <c r="E104" i="31"/>
  <c r="E86" i="31"/>
  <c r="E125" i="31"/>
  <c r="E182" i="31"/>
  <c r="E74" i="31"/>
  <c r="E34" i="31"/>
  <c r="E81" i="31"/>
  <c r="E75" i="31"/>
  <c r="E46" i="31"/>
  <c r="E113" i="31"/>
  <c r="E64" i="31"/>
  <c r="E53" i="31"/>
  <c r="E122" i="31"/>
  <c r="E51" i="31"/>
  <c r="E16" i="25"/>
  <c r="E15" i="25"/>
  <c r="E17" i="25"/>
  <c r="E13" i="25"/>
  <c r="E14" i="25"/>
  <c r="G64" i="31" l="1"/>
  <c r="G53" i="31"/>
  <c r="G206" i="31"/>
  <c r="G194" i="31"/>
  <c r="G80" i="31"/>
  <c r="G146" i="31"/>
  <c r="G68" i="31"/>
  <c r="G98" i="31"/>
  <c r="G28" i="31"/>
  <c r="G46" i="31"/>
  <c r="G41" i="31"/>
  <c r="G70" i="31"/>
  <c r="G76" i="31"/>
  <c r="G65" i="31"/>
  <c r="G159" i="31"/>
  <c r="G45" i="31"/>
  <c r="G24" i="31"/>
  <c r="G91" i="31"/>
  <c r="G75" i="31"/>
  <c r="G57" i="31"/>
  <c r="G81" i="31"/>
  <c r="G110" i="31"/>
  <c r="G55" i="31"/>
  <c r="G72" i="31"/>
  <c r="G74" i="31"/>
  <c r="G173" i="31"/>
  <c r="G182" i="31"/>
  <c r="G79" i="31"/>
  <c r="G26" i="31"/>
  <c r="G184" i="31"/>
  <c r="G86" i="31"/>
  <c r="G40" i="31"/>
  <c r="G129" i="31"/>
  <c r="G56" i="31"/>
  <c r="G38" i="31"/>
  <c r="G134" i="31"/>
  <c r="G105" i="31"/>
  <c r="G62" i="31"/>
  <c r="G36" i="31"/>
  <c r="G82" i="31"/>
  <c r="G113" i="31"/>
  <c r="G32" i="31"/>
  <c r="G87" i="31"/>
  <c r="G35" i="31"/>
  <c r="G47" i="31"/>
  <c r="G34" i="31"/>
  <c r="G23" i="31"/>
  <c r="G52" i="31"/>
  <c r="G63" i="31"/>
  <c r="G125" i="31"/>
  <c r="G158" i="31"/>
  <c r="G77" i="31"/>
  <c r="G104" i="31"/>
  <c r="G14" i="31"/>
  <c r="G151" i="31"/>
  <c r="G48" i="31"/>
  <c r="G115" i="31"/>
  <c r="G123" i="31"/>
  <c r="G15" i="31"/>
  <c r="G44" i="31"/>
  <c r="G160" i="31"/>
  <c r="G51" i="31"/>
  <c r="G67" i="31"/>
  <c r="G136" i="31"/>
  <c r="G58" i="31"/>
  <c r="G122" i="31"/>
  <c r="G103" i="31"/>
  <c r="G137" i="31"/>
  <c r="G89" i="31"/>
  <c r="G106" i="31"/>
  <c r="M16" i="31"/>
  <c r="E13" i="31"/>
  <c r="M19" i="31"/>
  <c r="E49" i="31"/>
  <c r="E90" i="31"/>
  <c r="S22" i="31"/>
  <c r="E18" i="31"/>
  <c r="S16" i="31"/>
  <c r="M20" i="31"/>
  <c r="E61" i="31"/>
  <c r="E66" i="31"/>
  <c r="S20" i="31"/>
  <c r="E102" i="31"/>
  <c r="S23" i="31"/>
  <c r="E73" i="31"/>
  <c r="E114" i="31"/>
  <c r="E162" i="31"/>
  <c r="E43" i="31"/>
  <c r="S18" i="31"/>
  <c r="E54" i="31"/>
  <c r="S19" i="31"/>
  <c r="E78" i="31"/>
  <c r="S21" i="31"/>
  <c r="M18" i="31"/>
  <c r="E37" i="31"/>
  <c r="E126" i="31"/>
  <c r="M17" i="31"/>
  <c r="E25" i="31"/>
  <c r="E138" i="31"/>
  <c r="E30" i="31"/>
  <c r="S17" i="31"/>
  <c r="E141" i="31"/>
  <c r="E163" i="31"/>
  <c r="E218" i="31"/>
  <c r="E117" i="31"/>
  <c r="E183" i="31"/>
  <c r="E139" i="31"/>
  <c r="E128" i="31"/>
  <c r="G16" i="25"/>
  <c r="G14" i="25"/>
  <c r="G13" i="25"/>
  <c r="G17" i="25"/>
  <c r="E18" i="25"/>
  <c r="G15" i="25"/>
  <c r="E10" i="204" l="1"/>
  <c r="N10" i="204" s="1"/>
  <c r="E11" i="204"/>
  <c r="N11" i="204" s="1"/>
  <c r="E13" i="204"/>
  <c r="N13" i="204" s="1"/>
  <c r="E9" i="204"/>
  <c r="N9" i="204" s="1"/>
  <c r="E12" i="204"/>
  <c r="N12" i="204" s="1"/>
  <c r="G218" i="31"/>
  <c r="G162" i="31"/>
  <c r="G141" i="31"/>
  <c r="G114" i="31"/>
  <c r="G30" i="31"/>
  <c r="G138" i="31"/>
  <c r="G102" i="31"/>
  <c r="G66" i="31"/>
  <c r="G54" i="31"/>
  <c r="G126" i="31"/>
  <c r="G117" i="31"/>
  <c r="G163" i="31"/>
  <c r="G18" i="31"/>
  <c r="G183" i="31"/>
  <c r="G128" i="31"/>
  <c r="G78" i="31"/>
  <c r="G43" i="31"/>
  <c r="G139" i="31"/>
  <c r="G90" i="31"/>
  <c r="M21" i="31"/>
  <c r="G25" i="31"/>
  <c r="Q17" i="31"/>
  <c r="P17" i="31"/>
  <c r="G73" i="31"/>
  <c r="S25" i="31"/>
  <c r="E84" i="31"/>
  <c r="G37" i="31"/>
  <c r="Q18" i="31"/>
  <c r="P18" i="31"/>
  <c r="G61" i="31"/>
  <c r="Q20" i="31"/>
  <c r="P20" i="31"/>
  <c r="E150" i="31"/>
  <c r="G49" i="31"/>
  <c r="Q19" i="31"/>
  <c r="P19" i="31"/>
  <c r="S24" i="31"/>
  <c r="G13" i="31"/>
  <c r="Q16" i="31"/>
  <c r="P16" i="31"/>
  <c r="E152" i="31"/>
  <c r="E108" i="31"/>
  <c r="E185" i="31"/>
  <c r="E175" i="31"/>
  <c r="E208" i="31"/>
  <c r="E219" i="31"/>
  <c r="E140" i="31"/>
  <c r="E118" i="31"/>
  <c r="E96" i="31"/>
  <c r="E107" i="31"/>
  <c r="E195" i="31"/>
  <c r="E19" i="25"/>
  <c r="G18" i="25"/>
  <c r="E14" i="204" l="1"/>
  <c r="N14" i="204" s="1"/>
  <c r="G108" i="31"/>
  <c r="G152" i="31"/>
  <c r="G208" i="31"/>
  <c r="G175" i="31"/>
  <c r="Q21" i="31"/>
  <c r="G96" i="31"/>
  <c r="G140" i="31"/>
  <c r="G185" i="31"/>
  <c r="G195" i="31"/>
  <c r="G107" i="31"/>
  <c r="G150" i="31"/>
  <c r="G118" i="31"/>
  <c r="G219" i="31"/>
  <c r="P21" i="31"/>
  <c r="S26" i="31"/>
  <c r="G84" i="31"/>
  <c r="M22" i="31"/>
  <c r="E85" i="31"/>
  <c r="E176" i="31"/>
  <c r="E220" i="31"/>
  <c r="E130" i="31"/>
  <c r="E231" i="31"/>
  <c r="E207" i="31"/>
  <c r="E119" i="31"/>
  <c r="E196" i="31"/>
  <c r="E20" i="25"/>
  <c r="G19" i="25"/>
  <c r="E15" i="204" l="1"/>
  <c r="N15" i="204" s="1"/>
  <c r="G130" i="31"/>
  <c r="G176" i="31"/>
  <c r="G196" i="31"/>
  <c r="G119" i="31"/>
  <c r="G207" i="31"/>
  <c r="G231" i="31"/>
  <c r="G220" i="31"/>
  <c r="E198" i="31"/>
  <c r="M23" i="31"/>
  <c r="E97" i="31"/>
  <c r="E174" i="31"/>
  <c r="G85" i="31"/>
  <c r="E164" i="31"/>
  <c r="Q22" i="31"/>
  <c r="P22" i="31"/>
  <c r="E165" i="31"/>
  <c r="E188" i="31"/>
  <c r="E177" i="31"/>
  <c r="E120" i="31"/>
  <c r="E142" i="31"/>
  <c r="E197" i="31"/>
  <c r="E230" i="31"/>
  <c r="E131" i="31"/>
  <c r="E144" i="31"/>
  <c r="E21" i="25"/>
  <c r="G20" i="25"/>
  <c r="E16" i="204" l="1"/>
  <c r="N16" i="204" s="1"/>
  <c r="G198" i="31"/>
  <c r="G188" i="31"/>
  <c r="G230" i="31"/>
  <c r="G197" i="31"/>
  <c r="G142" i="31"/>
  <c r="G120" i="31"/>
  <c r="G144" i="31"/>
  <c r="G131" i="31"/>
  <c r="G177" i="31"/>
  <c r="G165" i="31"/>
  <c r="G164" i="31"/>
  <c r="G174" i="31"/>
  <c r="C254" i="31"/>
  <c r="E242" i="31"/>
  <c r="S28" i="31"/>
  <c r="E186" i="31"/>
  <c r="E153" i="31"/>
  <c r="S27" i="31"/>
  <c r="S29" i="31"/>
  <c r="G97" i="31"/>
  <c r="Q23" i="31"/>
  <c r="P23" i="31"/>
  <c r="M24" i="31"/>
  <c r="E109" i="31"/>
  <c r="E155" i="31"/>
  <c r="E232" i="31"/>
  <c r="E167" i="31"/>
  <c r="E189" i="31"/>
  <c r="E187" i="31"/>
  <c r="E154" i="31"/>
  <c r="E143" i="31"/>
  <c r="E209" i="31"/>
  <c r="E132" i="31"/>
  <c r="E22" i="25"/>
  <c r="G21" i="25"/>
  <c r="E17" i="204" l="1"/>
  <c r="N17" i="204" s="1"/>
  <c r="G153" i="31"/>
  <c r="G186" i="31"/>
  <c r="G143" i="31"/>
  <c r="G189" i="31"/>
  <c r="G155" i="31"/>
  <c r="G154" i="31"/>
  <c r="G242" i="31"/>
  <c r="G187" i="31"/>
  <c r="G167" i="31"/>
  <c r="G232" i="31"/>
  <c r="G132" i="31"/>
  <c r="G209" i="31"/>
  <c r="G109" i="31"/>
  <c r="P24" i="31"/>
  <c r="Q24" i="31"/>
  <c r="S30" i="31"/>
  <c r="M25" i="31"/>
  <c r="E121" i="31"/>
  <c r="C266" i="31"/>
  <c r="E266" i="31" s="1"/>
  <c r="E254" i="31"/>
  <c r="C255" i="31"/>
  <c r="E243" i="31"/>
  <c r="E178" i="31"/>
  <c r="E179" i="31"/>
  <c r="E166" i="31"/>
  <c r="E221" i="31"/>
  <c r="E23" i="25"/>
  <c r="G22" i="25"/>
  <c r="E18" i="204" l="1"/>
  <c r="N18" i="204" s="1"/>
  <c r="G221" i="31"/>
  <c r="G166" i="31"/>
  <c r="G179" i="31"/>
  <c r="G243" i="31"/>
  <c r="G178" i="31"/>
  <c r="G266" i="31"/>
  <c r="G254" i="31"/>
  <c r="E234" i="31"/>
  <c r="C256" i="31"/>
  <c r="E244" i="31"/>
  <c r="E199" i="31"/>
  <c r="C267" i="31"/>
  <c r="E267" i="31" s="1"/>
  <c r="E255" i="31"/>
  <c r="E210" i="31"/>
  <c r="C257" i="31"/>
  <c r="E245" i="31"/>
  <c r="M26" i="31"/>
  <c r="E133" i="31"/>
  <c r="G121" i="31"/>
  <c r="Q25" i="31"/>
  <c r="P25" i="31"/>
  <c r="E201" i="31"/>
  <c r="E156" i="31"/>
  <c r="E223" i="31"/>
  <c r="E211" i="31"/>
  <c r="E202" i="31"/>
  <c r="E213" i="31"/>
  <c r="E235" i="31"/>
  <c r="E233" i="31"/>
  <c r="E200" i="31"/>
  <c r="G23" i="25"/>
  <c r="E24" i="25"/>
  <c r="E19" i="204" l="1"/>
  <c r="N19" i="204" s="1"/>
  <c r="G245" i="31"/>
  <c r="G223" i="31"/>
  <c r="G234" i="31"/>
  <c r="G156" i="31"/>
  <c r="G201" i="31"/>
  <c r="G200" i="31"/>
  <c r="G210" i="31"/>
  <c r="G235" i="31"/>
  <c r="G199" i="31"/>
  <c r="G211" i="31"/>
  <c r="G233" i="31"/>
  <c r="G213" i="31"/>
  <c r="G202" i="31"/>
  <c r="G244" i="31"/>
  <c r="G267" i="31"/>
  <c r="G255" i="31"/>
  <c r="G133" i="31"/>
  <c r="M27" i="31"/>
  <c r="E145" i="31"/>
  <c r="P26" i="31"/>
  <c r="Q26" i="31"/>
  <c r="C269" i="31"/>
  <c r="E269" i="31" s="1"/>
  <c r="E257" i="31"/>
  <c r="E222" i="31"/>
  <c r="S31" i="31"/>
  <c r="C268" i="31"/>
  <c r="E268" i="31" s="1"/>
  <c r="E256" i="31"/>
  <c r="E192" i="31"/>
  <c r="E168" i="31"/>
  <c r="E203" i="31"/>
  <c r="E212" i="31"/>
  <c r="E190" i="31"/>
  <c r="G24" i="25"/>
  <c r="E25" i="25"/>
  <c r="E20" i="204" l="1"/>
  <c r="N20" i="204" s="1"/>
  <c r="G212" i="31"/>
  <c r="G168" i="31"/>
  <c r="G203" i="31"/>
  <c r="G222" i="31"/>
  <c r="G190" i="31"/>
  <c r="G192" i="31"/>
  <c r="G268" i="31"/>
  <c r="G269" i="31"/>
  <c r="G256" i="31"/>
  <c r="G257" i="31"/>
  <c r="C260" i="31"/>
  <c r="E248" i="31"/>
  <c r="M28" i="31"/>
  <c r="E157" i="31"/>
  <c r="S32" i="31"/>
  <c r="C258" i="31"/>
  <c r="E246" i="31"/>
  <c r="G145" i="31"/>
  <c r="P27" i="31"/>
  <c r="Q27" i="31"/>
  <c r="E204" i="31"/>
  <c r="E237" i="31"/>
  <c r="E180" i="31"/>
  <c r="E191" i="31"/>
  <c r="E26" i="25"/>
  <c r="G25" i="25"/>
  <c r="E21" i="204" l="1"/>
  <c r="N21" i="204" s="1"/>
  <c r="G248" i="31"/>
  <c r="G191" i="31"/>
  <c r="G237" i="31"/>
  <c r="G204" i="31"/>
  <c r="G246" i="31"/>
  <c r="G180" i="31"/>
  <c r="C259" i="31"/>
  <c r="E247" i="31"/>
  <c r="M29" i="31"/>
  <c r="E169" i="31"/>
  <c r="C270" i="31"/>
  <c r="E258" i="31"/>
  <c r="G157" i="31"/>
  <c r="P28" i="31"/>
  <c r="Q28" i="31"/>
  <c r="E224" i="31"/>
  <c r="C272" i="31"/>
  <c r="E272" i="31" s="1"/>
  <c r="E260" i="31"/>
  <c r="E214" i="31"/>
  <c r="E225" i="31"/>
  <c r="G26" i="25"/>
  <c r="E27" i="25"/>
  <c r="C10" i="31"/>
  <c r="E22" i="204" l="1"/>
  <c r="N22" i="204" s="1"/>
  <c r="G247" i="31"/>
  <c r="G214" i="31"/>
  <c r="G224" i="31"/>
  <c r="G225" i="31"/>
  <c r="G272" i="31"/>
  <c r="G260" i="31"/>
  <c r="G258" i="31"/>
  <c r="E50" i="25"/>
  <c r="G10" i="31"/>
  <c r="G50" i="25" s="1"/>
  <c r="E28" i="204" s="1"/>
  <c r="N28" i="204" s="1"/>
  <c r="N29" i="204" s="1"/>
  <c r="S33" i="31"/>
  <c r="M30" i="31"/>
  <c r="E181" i="31"/>
  <c r="C262" i="31"/>
  <c r="E250" i="31"/>
  <c r="E236" i="31"/>
  <c r="S34" i="31"/>
  <c r="E270" i="31"/>
  <c r="G169" i="31"/>
  <c r="Q29" i="31"/>
  <c r="P29" i="31"/>
  <c r="C271" i="31"/>
  <c r="E271" i="31" s="1"/>
  <c r="E259" i="31"/>
  <c r="E215" i="31"/>
  <c r="E226" i="31"/>
  <c r="G27" i="25"/>
  <c r="C8" i="31"/>
  <c r="E10" i="31"/>
  <c r="E28" i="25"/>
  <c r="E23" i="204" l="1"/>
  <c r="N23" i="204" s="1"/>
  <c r="G226" i="31"/>
  <c r="G215" i="31"/>
  <c r="G250" i="31"/>
  <c r="G236" i="31"/>
  <c r="G271" i="31"/>
  <c r="G270" i="31"/>
  <c r="G259" i="31"/>
  <c r="E54" i="25"/>
  <c r="G8" i="31"/>
  <c r="G55" i="25" s="1"/>
  <c r="E30" i="204" s="1"/>
  <c r="N30" i="204" s="1"/>
  <c r="N31" i="204" s="1"/>
  <c r="C261" i="31"/>
  <c r="E249" i="31"/>
  <c r="S35" i="31"/>
  <c r="C274" i="31"/>
  <c r="E274" i="31" s="1"/>
  <c r="E262" i="31"/>
  <c r="G181" i="31"/>
  <c r="Q30" i="31"/>
  <c r="P30" i="31"/>
  <c r="M31" i="31"/>
  <c r="E193" i="31"/>
  <c r="E216" i="31"/>
  <c r="E238" i="31"/>
  <c r="E227" i="31"/>
  <c r="E8" i="31"/>
  <c r="C7" i="31"/>
  <c r="G28" i="25"/>
  <c r="E29" i="25"/>
  <c r="E24" i="204" l="1"/>
  <c r="N24" i="204" s="1"/>
  <c r="G249" i="31"/>
  <c r="G227" i="31"/>
  <c r="G238" i="31"/>
  <c r="G216" i="31"/>
  <c r="G274" i="31"/>
  <c r="G262" i="31"/>
  <c r="E60" i="25"/>
  <c r="G7" i="31"/>
  <c r="G60" i="25" s="1"/>
  <c r="G193" i="31"/>
  <c r="Q31" i="31"/>
  <c r="P31" i="31"/>
  <c r="M32" i="31"/>
  <c r="E205" i="31"/>
  <c r="C273" i="31"/>
  <c r="E261" i="31"/>
  <c r="S36" i="31"/>
  <c r="E239" i="31"/>
  <c r="E228" i="31"/>
  <c r="E30" i="25"/>
  <c r="G29" i="25"/>
  <c r="E7" i="31"/>
  <c r="E25" i="204" l="1"/>
  <c r="N25" i="204" s="1"/>
  <c r="G228" i="31"/>
  <c r="G239" i="31"/>
  <c r="G261" i="31"/>
  <c r="C263" i="31"/>
  <c r="E251" i="31"/>
  <c r="E273" i="31"/>
  <c r="S37" i="31"/>
  <c r="G205" i="31"/>
  <c r="Q32" i="31"/>
  <c r="P32" i="31"/>
  <c r="M33" i="31"/>
  <c r="E217" i="31"/>
  <c r="E240" i="31"/>
  <c r="E31" i="25"/>
  <c r="E32" i="25"/>
  <c r="G30" i="25"/>
  <c r="G240" i="31" l="1"/>
  <c r="G251" i="31"/>
  <c r="G273" i="31"/>
  <c r="G43" i="25"/>
  <c r="G217" i="31"/>
  <c r="M34" i="31"/>
  <c r="E229" i="31"/>
  <c r="Q33" i="31"/>
  <c r="P33" i="31"/>
  <c r="C264" i="31"/>
  <c r="E252" i="31"/>
  <c r="M35" i="31"/>
  <c r="C253" i="31"/>
  <c r="E241" i="31"/>
  <c r="C275" i="31"/>
  <c r="E275" i="31" s="1"/>
  <c r="E263" i="31"/>
  <c r="E33" i="25"/>
  <c r="G32" i="25"/>
  <c r="G31" i="25"/>
  <c r="G252" i="31" l="1"/>
  <c r="G275" i="31"/>
  <c r="G263" i="31"/>
  <c r="M36" i="31"/>
  <c r="C265" i="31"/>
  <c r="E253" i="31"/>
  <c r="Q35" i="31"/>
  <c r="P35" i="31"/>
  <c r="Q34" i="31"/>
  <c r="P34" i="31"/>
  <c r="G241" i="31"/>
  <c r="C276" i="31"/>
  <c r="E276" i="31" s="1"/>
  <c r="E264" i="31"/>
  <c r="G229" i="31"/>
  <c r="G33" i="25"/>
  <c r="G276" i="31" l="1"/>
  <c r="G264" i="31"/>
  <c r="G253" i="31"/>
  <c r="E265" i="31"/>
  <c r="M37" i="31"/>
  <c r="Q36" i="31"/>
  <c r="P36" i="31"/>
  <c r="G265" i="31" l="1"/>
  <c r="Q37" i="31"/>
  <c r="P37" i="31"/>
  <c r="C13" i="204" l="1"/>
  <c r="L13" i="204" s="1"/>
  <c r="C12" i="204"/>
  <c r="L12" i="204" s="1"/>
  <c r="C10" i="204"/>
  <c r="L10" i="204" s="1"/>
  <c r="C11" i="204"/>
  <c r="L11" i="204" s="1"/>
  <c r="C9" i="204"/>
  <c r="L9" i="204" s="1"/>
  <c r="C14" i="204" l="1"/>
  <c r="L14" i="204" s="1"/>
  <c r="C15" i="204" l="1"/>
  <c r="L15" i="204" s="1"/>
  <c r="C16" i="204" l="1"/>
  <c r="L16" i="204" s="1"/>
  <c r="C17" i="204" l="1"/>
  <c r="L17" i="204" s="1"/>
  <c r="C18" i="204" l="1"/>
  <c r="L18" i="204" s="1"/>
  <c r="C19" i="204" l="1"/>
  <c r="L19" i="204" s="1"/>
  <c r="C20" i="204" l="1"/>
  <c r="L20" i="204" s="1"/>
  <c r="C21" i="204" l="1"/>
  <c r="L21" i="204" s="1"/>
  <c r="C22" i="204" l="1"/>
  <c r="L22" i="204" s="1"/>
  <c r="C28" i="204"/>
  <c r="L28" i="204" s="1"/>
  <c r="L29" i="204" s="1"/>
  <c r="C23" i="204" l="1"/>
  <c r="L23" i="204" s="1"/>
  <c r="C30" i="204"/>
  <c r="L30" i="204" s="1"/>
  <c r="L31" i="204" s="1"/>
  <c r="C24" i="204" l="1"/>
  <c r="L24" i="204" s="1"/>
  <c r="C25" i="204" l="1"/>
  <c r="L25" i="20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<sst xmlns="http://schemas.openxmlformats.org/spreadsheetml/2006/main" count="4493" uniqueCount="368">
  <si>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</si>
  <si>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</si>
  <si>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</si>
  <si>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</si>
  <si>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</si>
  <si>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</si>
  <si>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</si>
  <si>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</si>
  <si>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</si>
  <si>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</si>
  <si>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</si>
  <si>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</si>
  <si>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</si>
  <si>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</si>
  <si>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</si>
  <si>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</si>
  <si>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</si>
  <si>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</si>
  <si>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</si>
  <si>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</si>
  <si>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</si>
  <si>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</si>
  <si>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</si>
  <si>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</si>
  <si>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</si>
  <si>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</si>
  <si>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</si>
  <si>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</si>
  <si>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</si>
  <si>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</si>
  <si>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</si>
  <si>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</si>
  <si>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</si>
  <si>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</si>
  <si>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</si>
  <si>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</si>
  <si>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</si>
  <si>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</si>
  <si>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</si>
  <si>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</si>
  <si>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</si>
  <si>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</si>
  <si>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</si>
  <si>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</si>
  <si>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</si>
  <si>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</si>
  <si>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</si>
  <si>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</si>
  <si>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</si>
  <si>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</si>
  <si>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</si>
  <si>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</si>
  <si>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</si>
  <si>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</si>
  <si>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</si>
  <si>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</si>
  <si>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</si>
  <si>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</si>
  <si>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</si>
  <si>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</si>
  <si>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</si>
  <si>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</si>
  <si>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</si>
  <si>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</si>
  <si>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</si>
  <si>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</si>
  <si>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</si>
  <si>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</si>
  <si>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</si>
  <si>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</si>
  <si>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</si>
  <si>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</si>
  <si>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</si>
  <si>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</si>
  <si>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</si>
  <si>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</si>
  <si>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</si>
  <si>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</si>
  <si>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</si>
  <si>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</si>
  <si>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</si>
  <si>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</si>
  <si>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</si>
  <si>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Naughton</t>
  </si>
  <si>
    <t>Burner tip</t>
  </si>
  <si>
    <t>Network Upgrade ($/kw-yr)</t>
  </si>
  <si>
    <t>Total Fixed Cost</t>
  </si>
  <si>
    <t>if Deferred 1</t>
  </si>
  <si>
    <t>15 Year Starting 2025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</si>
  <si>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</si>
  <si>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</si>
  <si>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</si>
  <si>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</si>
  <si>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</si>
  <si>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</si>
  <si>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</si>
  <si>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</si>
  <si>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</si>
  <si>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</si>
  <si>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</si>
  <si>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</si>
  <si>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</si>
  <si>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</si>
  <si>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</si>
  <si>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</si>
  <si>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</si>
  <si>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</si>
  <si>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</si>
  <si>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</si>
  <si>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</si>
  <si>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</si>
  <si>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</si>
  <si>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</si>
  <si>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</si>
  <si>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</si>
  <si>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</si>
  <si>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</si>
  <si>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</si>
  <si>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</si>
  <si>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</si>
  <si>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</si>
  <si>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</si>
  <si>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</si>
  <si>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</si>
  <si>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</si>
  <si>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</si>
  <si>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</si>
  <si>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</si>
  <si>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</si>
  <si>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</si>
  <si>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15 Year Starting 2026</t>
  </si>
  <si>
    <t>15 Year Starting 2027</t>
  </si>
  <si>
    <t>PTC Variables</t>
  </si>
  <si>
    <t>FO&amp;M Charge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</si>
  <si>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</si>
  <si>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</si>
  <si>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</si>
  <si>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</si>
  <si>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</si>
  <si>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</si>
  <si>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</si>
  <si>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</si>
  <si>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</si>
  <si>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</si>
  <si>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</si>
  <si>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</si>
  <si>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</si>
  <si>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</si>
  <si>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</si>
  <si>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</si>
  <si>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</si>
  <si>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</si>
  <si>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</si>
  <si>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</si>
  <si>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</si>
  <si>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</si>
  <si>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</si>
  <si>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</si>
  <si>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</si>
  <si>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</si>
  <si>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</si>
  <si>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</si>
  <si>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</si>
  <si>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</si>
  <si>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</si>
  <si>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</si>
  <si>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</si>
  <si>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</si>
  <si>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</si>
  <si>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</si>
  <si>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</si>
  <si>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</si>
  <si>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</si>
  <si>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</si>
  <si>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</si>
  <si>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</si>
  <si>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</si>
  <si>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</si>
  <si>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</si>
  <si>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</si>
  <si>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</si>
  <si>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</si>
  <si>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</si>
  <si>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</si>
  <si>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</si>
  <si>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</si>
  <si>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</si>
  <si>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VO&amp;M Charge</t>
  </si>
  <si>
    <t>PV_.PX.WWA._.PTC.Utility_Scale</t>
  </si>
  <si>
    <t>MW Built</t>
  </si>
  <si>
    <t>Discount Rate - 2025 IRP</t>
  </si>
  <si>
    <t>Inflation rate</t>
  </si>
  <si>
    <t>PV_.PX.WMV._.PTC.Utility_Scale2032</t>
  </si>
  <si>
    <t>PV_.PX.WMV._.PTC.Utility_Scale2036</t>
  </si>
  <si>
    <t>WD_.PX.DJW._.PTC.Utility_Scale2029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</si>
  <si>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</si>
  <si>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</si>
  <si>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</si>
  <si>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</si>
  <si>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15 uear nominal levelized</t>
  </si>
  <si>
    <t>GSC.PX.BDG._.___.Frame</t>
  </si>
  <si>
    <t>New Gas</t>
  </si>
  <si>
    <t>First Year Fixed Capital Cost at Real Levelized Rate</t>
  </si>
  <si>
    <t>Fixed O&amp;M + Pipeline</t>
  </si>
  <si>
    <t>Total Resource Fixed Costs</t>
  </si>
  <si>
    <t>Total Resource Energy Cost</t>
  </si>
  <si>
    <t>$/MMBtu</t>
  </si>
  <si>
    <t>Statistics</t>
  </si>
  <si>
    <t>Percent</t>
  </si>
  <si>
    <t>Cap Cost</t>
  </si>
  <si>
    <t>Fixed</t>
  </si>
  <si>
    <t>Capacity Weighted</t>
  </si>
  <si>
    <t>aMW</t>
  </si>
  <si>
    <t>Variable</t>
  </si>
  <si>
    <t>Heat Rate</t>
  </si>
  <si>
    <t>Energy Weighted</t>
  </si>
  <si>
    <t>Rounded</t>
  </si>
  <si>
    <t>SCCT</t>
  </si>
  <si>
    <t xml:space="preserve">  MW Plant Capacity</t>
  </si>
  <si>
    <t>SCCT Frame "J" X1, Natural Gas</t>
  </si>
  <si>
    <t xml:space="preserve">  Fixed O&amp;M &amp; Capitalized O&amp;M ($/kW-Yr)</t>
  </si>
  <si>
    <t xml:space="preserve">  Fixed Pipeline ($/kW-Yr)</t>
  </si>
  <si>
    <t>$/MMBTU-Day</t>
  </si>
  <si>
    <t xml:space="preserve">  Fixed O&amp;M Including Fixed Pipeline &amp; Capitalized O&amp;M ($/kW-Yr)</t>
  </si>
  <si>
    <t xml:space="preserve">  Variable O&amp;M Costs &amp; Capitalized Variable O&amp;M ($/MWh)</t>
  </si>
  <si>
    <t xml:space="preserve">  Heat Rate in btu/kWh</t>
  </si>
  <si>
    <t>Assumed ITC</t>
  </si>
  <si>
    <t xml:space="preserve">  Energy Weighted Capacity Factor</t>
  </si>
  <si>
    <t>H:\2023 IRP\3 - Assumptions\12 - New Resources (SSR)\[23 IRP Nat Gas_2023 02 10.xlsx]</t>
  </si>
  <si>
    <t>2025 IRP SCCT Frame -Wyoming East Brownfield</t>
  </si>
  <si>
    <t>Wyoming East Brownfield SCCT Frame "F" x1 (6,130')</t>
  </si>
  <si>
    <t>SCCT Frame "F" x1 (6,130')</t>
  </si>
  <si>
    <t>Fuel Cost ($/mmBtu )</t>
  </si>
  <si>
    <t>Fuel Cost ($/MWH)</t>
  </si>
  <si>
    <t>Plant Costs  - 2025 IRP</t>
  </si>
  <si>
    <t xml:space="preserve"> Gas Price Forecast (Sept 2024 MM)</t>
  </si>
  <si>
    <t>First year real levelized costs</t>
  </si>
  <si>
    <t>Source: (a)(d)(e)(g)</t>
  </si>
  <si>
    <t>Nominal 40 year Levelized</t>
  </si>
  <si>
    <t>CC at COD</t>
  </si>
  <si>
    <t>15 Year Starting 2028</t>
  </si>
  <si>
    <t>llokup</t>
  </si>
  <si>
    <t>mapping to CC_LOLP</t>
  </si>
  <si>
    <t>PV_.PX.YAK._.PTC.Utility_Scale2032</t>
  </si>
  <si>
    <t>Cluster 2/3 - Willamette Valley - Fry-Full Circle 230 kV</t>
  </si>
  <si>
    <t>PV_.PX.BDG._.PTC.Utility_Scale</t>
  </si>
  <si>
    <t>PV_.PX.BOR._.PTC.Utility_Scale</t>
  </si>
  <si>
    <t>PV_.PX.CLV._.PTC.Small_Scale</t>
  </si>
  <si>
    <t>PV_.PX.COR._.PTC.Small_Scale</t>
  </si>
  <si>
    <t>PV_.PX.DJW._.PTC.Utility_Scale</t>
  </si>
  <si>
    <t>PV_.PX.GOE._.PTC.Small_Scale</t>
  </si>
  <si>
    <t>PV_.PX.GOE._.PTC.Utility_Scale</t>
  </si>
  <si>
    <t>PV_.PX.HTG._.PTC.Utility_Scale</t>
  </si>
  <si>
    <t>PV_.PX.NTN._.PTC.Utility_Scale</t>
  </si>
  <si>
    <t>PV_.PX.NUT._.PTC.Small_Scale</t>
  </si>
  <si>
    <t>PV_.PX.NUT._.PTC.Utility_Scale</t>
  </si>
  <si>
    <t>PV_.PX.SOR._.PTC.Small_Scale</t>
  </si>
  <si>
    <t>PV_.PX.UTS._.PTC.Small_Scale</t>
  </si>
  <si>
    <t>PV_.PX.WMV._.PTC.Small_Scale</t>
  </si>
  <si>
    <t>PV_.PX.WSF._.PTC.Small_Scale</t>
  </si>
  <si>
    <t>PV_.PX.WWA._.PTC.Small_Scale</t>
  </si>
  <si>
    <t>PV_.PX.WYC._.PTC.Small_Scale</t>
  </si>
  <si>
    <t>PV_.PX.WYE._.PTC.Small_Scale</t>
  </si>
  <si>
    <t>PV_.PX.WYE._.PTC.Utility_Scale</t>
  </si>
  <si>
    <t>PV_.PX.WYN._.PTC.Small_Scale</t>
  </si>
  <si>
    <t>PV_.PX.YAK._.PTC.Small_Scale</t>
  </si>
  <si>
    <t>WD_.PX.BOR._.PTC.Utility_Scale</t>
  </si>
  <si>
    <t>WD_.PX.CLV._.PTC.Small_Scale</t>
  </si>
  <si>
    <t>WD_.PX.COR._.PTC.Small_Scale</t>
  </si>
  <si>
    <t>WD_.PX.COR._.PTC.Utility_Scale</t>
  </si>
  <si>
    <t>WD_.PX.GOE._.PTC.Small_Scale</t>
  </si>
  <si>
    <t>WD_.PX.GOE._.PTC.Utility_Scale</t>
  </si>
  <si>
    <t>WD_.PX.HTG._.PTC.Utility_Scale</t>
  </si>
  <si>
    <t>WD_.PX.NTN._.PTC.Utility_Scale</t>
  </si>
  <si>
    <t>WD_.PX.NUT._.PTC.Small_Scale</t>
  </si>
  <si>
    <t>WD_.PX.NUT._.PTC.Utility_Scale</t>
  </si>
  <si>
    <t>WD_.PX.SOR._.PTC.Offshore</t>
  </si>
  <si>
    <t>IRPWDESC_Offshore</t>
  </si>
  <si>
    <t>WD_.PX.SOR._.PTC.Small_Scale</t>
  </si>
  <si>
    <t>WD_.PX.SOR._.PTC.Utility_Scale</t>
  </si>
  <si>
    <t>WD_.PX.SUM._.PTC.Utility_Scale</t>
  </si>
  <si>
    <t>WD_.PX.UTS._.PTC.Small_Scale</t>
  </si>
  <si>
    <t>WD_.PX.UTS._.PTC.Utility_Scale</t>
  </si>
  <si>
    <t>WD_.PX.WMV._.PTC.Small_Scale</t>
  </si>
  <si>
    <t>WD_.PX.WSF._.PTC.Small_Scale</t>
  </si>
  <si>
    <t>WD_.PX.WWA._.PTC.Small_Scale</t>
  </si>
  <si>
    <t>WD_.PX.WWA._.PTC.Utility_Scale</t>
  </si>
  <si>
    <t>WD_.PX.WYN._.PTC.Small_Scale</t>
  </si>
  <si>
    <t>WD_.PX.YAK._.PTC.Small_Scale</t>
  </si>
  <si>
    <t>WD_.PX.YAK._.PTC.Utility_Scale</t>
  </si>
  <si>
    <t>Post 25 IRP Escalation Rates</t>
  </si>
  <si>
    <t>H:\_Projects\2025\DJ Analysis\Assumptions\25 IRP Escalation Rates v2 Updated 04212025.xlsx</t>
  </si>
  <si>
    <t>WD_.PX.BDG._.PTC.Utility_Scale2029</t>
  </si>
  <si>
    <t>WD_.PX.BDG._.PTC.Utility_Scale2030</t>
  </si>
  <si>
    <t>WD_.PX.BDG._.PTC.Utility_Scale2031</t>
  </si>
  <si>
    <t>WD_.PX.DJW._.PTC.Utility_Scale2030</t>
  </si>
  <si>
    <t>WD_.PX.DJW._.PTC.Utility_Scale2031</t>
  </si>
  <si>
    <t>CC</t>
  </si>
  <si>
    <t>PV_.PX.BDG._.PTC.Utility_Scale2031</t>
  </si>
  <si>
    <t>PV_.PX.HTG._.PTC.Utility_Scale2031</t>
  </si>
  <si>
    <t>PV_.PX.NTN._.PTC.Utility_Scale2031</t>
  </si>
  <si>
    <t>PV_.PX.UTS._.PTC.Utility_Scale2031</t>
  </si>
  <si>
    <t>$/kw-yr</t>
  </si>
  <si>
    <t>Nominal PTC 2028$</t>
  </si>
  <si>
    <t>Real Discount Rate</t>
  </si>
  <si>
    <t>% PTC</t>
  </si>
  <si>
    <t>NPV</t>
  </si>
  <si>
    <t>NPV chck</t>
  </si>
  <si>
    <t>Levelized PTC  Offset</t>
  </si>
  <si>
    <t>Nominal PTC 2029$</t>
  </si>
  <si>
    <t>Nominal PTC 2030$</t>
  </si>
  <si>
    <t>TransCapRecovFct</t>
  </si>
  <si>
    <t>OATT</t>
  </si>
  <si>
    <t>Build Investment $/kW-yr of Interconnect</t>
  </si>
  <si>
    <t xml:space="preserve"> Export (MW)</t>
  </si>
  <si>
    <t xml:space="preserve"> Import (MW)</t>
  </si>
  <si>
    <t xml:space="preserve"> Interconnect (MW)</t>
  </si>
  <si>
    <t>Build Investment ($m)</t>
  </si>
  <si>
    <t xml:space="preserve"> Build (%)</t>
  </si>
  <si>
    <t>From</t>
  </si>
  <si>
    <t>To</t>
  </si>
  <si>
    <t>Utah South - Wasatch Front: 138 kV reinforcement #1</t>
  </si>
  <si>
    <t>Utah South</t>
  </si>
  <si>
    <t>Wasatch Front</t>
  </si>
  <si>
    <t>Cluster 1 Area 11: Willamette Valley</t>
  </si>
  <si>
    <t>n/a</t>
  </si>
  <si>
    <t>Cluster 1 Area 14: Summer Lake</t>
  </si>
  <si>
    <t>Summer Lake</t>
  </si>
  <si>
    <t>Hemingway</t>
  </si>
  <si>
    <t>Cluster 1/2/3: Walla Walla</t>
  </si>
  <si>
    <t>Serial queue: Central Oregon</t>
  </si>
  <si>
    <t>Serial/Cluster 1/2: Yakima</t>
  </si>
  <si>
    <t>Utah South - Wasatch Front: 138 kV reinforcement #2</t>
  </si>
  <si>
    <t>Cluster 2 Area 23: Willamette Valley</t>
  </si>
  <si>
    <t>Cluster 2 Area 19: Summer Lake to Central Oregon 500 kV</t>
  </si>
  <si>
    <t>Central OR</t>
  </si>
  <si>
    <t>Walla Walla - Yakima 230 kV</t>
  </si>
  <si>
    <t>Walla Walla</t>
  </si>
  <si>
    <t>Yakima</t>
  </si>
  <si>
    <t>Serial through Cluster 1 Area 13: Southern Oregon</t>
  </si>
  <si>
    <t>Cluster 1 Area 12: Southern Oregon</t>
  </si>
  <si>
    <t>Cluster 2 Area 18: Central Oregon 500 kV Substation</t>
  </si>
  <si>
    <t>Walla Walla - Central Oregon 500 kV</t>
  </si>
  <si>
    <t>Grand Total</t>
  </si>
  <si>
    <t/>
  </si>
  <si>
    <t>Include</t>
  </si>
  <si>
    <t>QF - Sch38 - UT - Wind</t>
  </si>
  <si>
    <t>WD_QF_UTN_QF_Sch38_UT</t>
  </si>
  <si>
    <t>Avoided Cost Prices $/MWh</t>
  </si>
  <si>
    <t>Utah 2025.Q2 Sch 38</t>
  </si>
  <si>
    <t>Thermal</t>
  </si>
  <si>
    <t>Solar Tracking</t>
  </si>
  <si>
    <t>Wind</t>
  </si>
  <si>
    <t>UT 2025.Q2</t>
  </si>
  <si>
    <t>UT 2025.Q1</t>
  </si>
  <si>
    <t>100% CF (2)</t>
  </si>
  <si>
    <t>32.25% CF (2)</t>
  </si>
  <si>
    <t>29.5% CF (2)</t>
  </si>
  <si>
    <t>Difference</t>
  </si>
  <si>
    <t>Non-Routine using 2025 IRP Preferred Portfolio</t>
  </si>
  <si>
    <t>Routine Update (OFPC June 2025)- using 2025 IRP Utah Preferred Portfolio</t>
  </si>
  <si>
    <t>2025 IRP Utah Preferred Portfolio</t>
  </si>
  <si>
    <t>2025-2039</t>
  </si>
  <si>
    <t>2026-2040</t>
  </si>
  <si>
    <t>Footnotes:</t>
  </si>
  <si>
    <t>(1)   Discount Rate - 2025 IRP</t>
  </si>
  <si>
    <t>Appendix D.3</t>
  </si>
  <si>
    <t>15-Year Levelized Prices (Nominal) @ 6.38% Discount Rate (1) (3)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</si>
</sst>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&quot;$&quot;#,##0.00_)"/>
    <numFmt numFmtId="179" formatCode="#,##0.0000_);\(#,##0.0000\)"/>
    <numFmt numFmtId="180" formatCode="m/d/yyyy\ h:mm:ss"/>
    <numFmt numFmtId="181" formatCode="_(* #,##0.0000_);[Red]_(* \(#,##0.0000\);_(* &quot;-&quot;_);_(@_)"/>
    <numFmt numFmtId="182" formatCode="_(* #,##0.00000_);[Red]_(* \(#,##0.00000\);_(* &quot;-&quot;_);_(@_)"/>
    <numFmt numFmtId="183" formatCode="_(* #,##0.000_);[Red]_(* \(#,##0.000\);_(* &quot;-&quot;_);_(@_)"/>
    <numFmt numFmtId="184" formatCode="_(* #,##0.000_);_(* \(#,##0.000\);_(* &quot;-&quot;_);_(@_)"/>
    <numFmt numFmtId="185" formatCode="_(* #,##0.0_);_(* \(#,##0.0\);_(* &quot;-&quot;??_);_(@_)"/>
    <numFmt numFmtId="186" formatCode="_(* #,##0.0000_);_(* \(#,##0.0000\);_(* &quot;-&quot;??_);_(@_)"/>
    <numFmt numFmtId="187" formatCode="_(* #,##0.000000000_);[Red]_(* \(#,##0.000000000\);_(* &quot;-&quot;_);_(@_)"/>
    <numFmt numFmtId="188" formatCode="0.00000"/>
    <numFmt numFmtId="189" formatCode="0.0000%"/>
  </numFmts>
  <fonts count="42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sz val="9"/>
      <color indexed="12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u/>
      <sz val="10"/>
      <name val="Times New Roman"/>
      <family val="1"/>
    </font>
    <font>
      <sz val="10"/>
      <name val="Geneva"/>
      <family val="2"/>
    </font>
    <font>
      <b/>
      <sz val="9"/>
      <name val="Calibri"/>
      <family val="2"/>
      <scheme val="minor"/>
    </font>
    <font>
      <sz val="10"/>
      <color rgb="FFCCECFF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9" fillId="0" borderId="0"/>
    <xf numFmtId="0" fontId="5" fillId="0" borderId="0"/>
  </cellStyleXfs>
  <cellXfs count="418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0" fillId="0" borderId="0" xfId="0" applyNumberFormat="1" applyFont="1" applyProtection="1"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1" fontId="5" fillId="0" borderId="0" xfId="10" applyNumberFormat="1"/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8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79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2" fillId="0" borderId="0" xfId="0" applyFont="1" applyAlignment="1">
      <alignment horizontal="centerContinuous"/>
    </xf>
    <xf numFmtId="171" fontId="33" fillId="0" borderId="0" xfId="0" applyFont="1" applyAlignment="1">
      <alignment horizontal="centerContinuous"/>
    </xf>
    <xf numFmtId="171" fontId="32" fillId="0" borderId="0" xfId="0" applyFont="1"/>
    <xf numFmtId="171" fontId="33" fillId="0" borderId="0" xfId="0" applyFont="1"/>
    <xf numFmtId="171" fontId="7" fillId="0" borderId="0" xfId="0" quotePrefix="1" applyFont="1" applyAlignment="1">
      <alignment horizontal="center"/>
    </xf>
    <xf numFmtId="8" fontId="34" fillId="0" borderId="0" xfId="0" applyNumberFormat="1" applyFont="1" applyAlignment="1">
      <alignment horizontal="center"/>
    </xf>
    <xf numFmtId="8" fontId="34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171" fontId="6" fillId="0" borderId="0" xfId="0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1" fillId="0" borderId="0" xfId="24" applyNumberFormat="1" applyFont="1"/>
    <xf numFmtId="6" fontId="7" fillId="0" borderId="0" xfId="2" applyNumberFormat="1" applyFont="1" applyFill="1"/>
    <xf numFmtId="174" fontId="7" fillId="0" borderId="0" xfId="24" applyNumberFormat="1"/>
    <xf numFmtId="167" fontId="7" fillId="0" borderId="0" xfId="24" applyNumberFormat="1"/>
    <xf numFmtId="171" fontId="31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1" fontId="0" fillId="0" borderId="0" xfId="0" applyNumberFormat="1"/>
    <xf numFmtId="172" fontId="31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28" fillId="0" borderId="0" xfId="10" applyNumberFormat="1" applyFont="1"/>
    <xf numFmtId="173" fontId="5" fillId="0" borderId="0" xfId="10" applyNumberFormat="1"/>
    <xf numFmtId="171" fontId="17" fillId="0" borderId="0" xfId="10" applyNumberFormat="1" applyFont="1" applyAlignment="1">
      <alignment wrapText="1"/>
    </xf>
    <xf numFmtId="17" fontId="5" fillId="0" borderId="0" xfId="10" applyNumberFormat="1"/>
    <xf numFmtId="171" fontId="17" fillId="0" borderId="0" xfId="10" applyNumberFormat="1" applyFont="1"/>
    <xf numFmtId="169" fontId="5" fillId="0" borderId="0" xfId="2" applyNumberFormat="1" applyFont="1" applyFill="1"/>
    <xf numFmtId="37" fontId="5" fillId="0" borderId="0" xfId="2" applyNumberFormat="1" applyFont="1" applyFill="1"/>
    <xf numFmtId="7" fontId="5" fillId="0" borderId="0" xfId="2" applyNumberFormat="1" applyFont="1" applyFill="1"/>
    <xf numFmtId="10" fontId="5" fillId="0" borderId="0" xfId="8" applyNumberFormat="1" applyFont="1" applyFill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/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171" fontId="5" fillId="0" borderId="2" xfId="10" applyNumberFormat="1" applyBorder="1"/>
    <xf numFmtId="41" fontId="5" fillId="0" borderId="8" xfId="10" applyNumberFormat="1" applyBorder="1"/>
    <xf numFmtId="41" fontId="5" fillId="0" borderId="11" xfId="10" applyNumberFormat="1" applyBorder="1"/>
    <xf numFmtId="168" fontId="5" fillId="0" borderId="8" xfId="10" applyNumberFormat="1" applyBorder="1"/>
    <xf numFmtId="171" fontId="5" fillId="0" borderId="5" xfId="10" applyNumberFormat="1" applyBorder="1"/>
    <xf numFmtId="0" fontId="5" fillId="0" borderId="0" xfId="10" applyNumberFormat="1"/>
    <xf numFmtId="17" fontId="5" fillId="0" borderId="13" xfId="10" applyNumberFormat="1" applyBorder="1" applyAlignment="1">
      <alignment horizontal="center"/>
    </xf>
    <xf numFmtId="168" fontId="5" fillId="0" borderId="11" xfId="10" applyNumberFormat="1" applyBorder="1"/>
    <xf numFmtId="171" fontId="5" fillId="0" borderId="13" xfId="10" applyNumberFormat="1" applyBorder="1"/>
    <xf numFmtId="171" fontId="36" fillId="0" borderId="0" xfId="10" applyNumberFormat="1" applyFont="1"/>
    <xf numFmtId="43" fontId="5" fillId="0" borderId="0" xfId="10" applyNumberFormat="1"/>
    <xf numFmtId="172" fontId="5" fillId="0" borderId="0" xfId="10" applyNumberFormat="1"/>
    <xf numFmtId="17" fontId="5" fillId="0" borderId="6" xfId="10" applyNumberFormat="1" applyBorder="1" applyAlignment="1">
      <alignment horizontal="center"/>
    </xf>
    <xf numFmtId="171" fontId="5" fillId="0" borderId="1" xfId="10" applyNumberFormat="1" applyBorder="1"/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5" fillId="0" borderId="0" xfId="31" applyFont="1"/>
    <xf numFmtId="0" fontId="33" fillId="0" borderId="0" xfId="31" applyFont="1"/>
    <xf numFmtId="0" fontId="1" fillId="0" borderId="0" xfId="31"/>
    <xf numFmtId="180" fontId="1" fillId="0" borderId="0" xfId="31" applyNumberFormat="1"/>
    <xf numFmtId="180" fontId="33" fillId="0" borderId="0" xfId="31" applyNumberFormat="1" applyFont="1"/>
    <xf numFmtId="2" fontId="33" fillId="0" borderId="0" xfId="31" applyNumberFormat="1" applyFont="1"/>
    <xf numFmtId="43" fontId="33" fillId="0" borderId="0" xfId="32" applyFont="1" applyFill="1"/>
    <xf numFmtId="164" fontId="33" fillId="0" borderId="0" xfId="32" applyNumberFormat="1" applyFont="1" applyFill="1"/>
    <xf numFmtId="8" fontId="33" fillId="0" borderId="0" xfId="31" applyNumberFormat="1" applyFont="1"/>
    <xf numFmtId="180" fontId="35" fillId="0" borderId="0" xfId="31" applyNumberFormat="1" applyFont="1"/>
    <xf numFmtId="0" fontId="9" fillId="0" borderId="0" xfId="31" applyFont="1"/>
    <xf numFmtId="180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2" fontId="7" fillId="0" borderId="0" xfId="24" applyNumberFormat="1"/>
    <xf numFmtId="8" fontId="33" fillId="15" borderId="0" xfId="32" applyNumberFormat="1" applyFont="1" applyFill="1"/>
    <xf numFmtId="180" fontId="33" fillId="0" borderId="0" xfId="0" applyNumberFormat="1" applyFont="1"/>
    <xf numFmtId="8" fontId="33" fillId="0" borderId="0" xfId="0" applyNumberFormat="1" applyFont="1"/>
    <xf numFmtId="10" fontId="0" fillId="0" borderId="0" xfId="0" applyNumberFormat="1"/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3" fillId="0" borderId="0" xfId="0" applyNumberFormat="1" applyFont="1"/>
    <xf numFmtId="171" fontId="37" fillId="16" borderId="0" xfId="0" applyFont="1" applyFill="1"/>
    <xf numFmtId="171" fontId="37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183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0" fontId="0" fillId="0" borderId="0" xfId="0" applyNumberFormat="1"/>
    <xf numFmtId="171" fontId="0" fillId="0" borderId="0" xfId="0" applyAlignment="1">
      <alignment horizontal="centerContinuous"/>
    </xf>
    <xf numFmtId="171" fontId="6" fillId="0" borderId="5" xfId="0" applyFont="1" applyBorder="1" applyAlignment="1">
      <alignment horizontal="centerContinuous" wrapText="1"/>
    </xf>
    <xf numFmtId="171" fontId="11" fillId="0" borderId="6" xfId="0" applyFont="1" applyBorder="1" applyAlignment="1">
      <alignment horizontal="centerContinuous"/>
    </xf>
    <xf numFmtId="171" fontId="10" fillId="0" borderId="0" xfId="0" quotePrefix="1" applyFont="1" applyAlignment="1">
      <alignment horizontal="center"/>
    </xf>
    <xf numFmtId="6" fontId="0" fillId="0" borderId="0" xfId="0" applyNumberFormat="1" applyAlignment="1">
      <alignment horizontal="right"/>
    </xf>
    <xf numFmtId="8" fontId="0" fillId="0" borderId="0" xfId="0" applyNumberFormat="1" applyAlignment="1">
      <alignment horizontal="right"/>
    </xf>
    <xf numFmtId="8" fontId="0" fillId="0" borderId="0" xfId="0" applyNumberForma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0" fontId="7" fillId="0" borderId="0" xfId="8" applyNumberFormat="1" applyFont="1" applyFill="1" applyBorder="1"/>
    <xf numFmtId="171" fontId="0" fillId="0" borderId="0" xfId="5" applyFont="1"/>
    <xf numFmtId="172" fontId="0" fillId="0" borderId="0" xfId="5" applyNumberFormat="1" applyFont="1"/>
    <xf numFmtId="184" fontId="0" fillId="0" borderId="0" xfId="0" applyNumberFormat="1"/>
    <xf numFmtId="10" fontId="0" fillId="0" borderId="0" xfId="8" applyNumberFormat="1" applyFont="1"/>
    <xf numFmtId="41" fontId="0" fillId="0" borderId="0" xfId="5" applyNumberFormat="1" applyFont="1"/>
    <xf numFmtId="171" fontId="6" fillId="0" borderId="17" xfId="0" applyFont="1" applyBorder="1" applyAlignment="1">
      <alignment horizontal="centerContinuous"/>
    </xf>
    <xf numFmtId="171" fontId="6" fillId="0" borderId="24" xfId="0" applyFont="1" applyBorder="1" applyAlignment="1">
      <alignment horizontal="centerContinuous"/>
    </xf>
    <xf numFmtId="171" fontId="0" fillId="0" borderId="18" xfId="0" applyBorder="1" applyAlignment="1">
      <alignment horizontal="centerContinuous"/>
    </xf>
    <xf numFmtId="171" fontId="6" fillId="0" borderId="7" xfId="0" applyFont="1" applyBorder="1" applyAlignment="1">
      <alignment horizontal="centerContinuous"/>
    </xf>
    <xf numFmtId="171" fontId="6" fillId="0" borderId="9" xfId="0" applyFont="1" applyBorder="1" applyAlignment="1">
      <alignment horizontal="centerContinuous"/>
    </xf>
    <xf numFmtId="171" fontId="6" fillId="0" borderId="7" xfId="0" applyFont="1" applyBorder="1" applyAlignment="1">
      <alignment horizontal="center"/>
    </xf>
    <xf numFmtId="41" fontId="0" fillId="0" borderId="0" xfId="0" applyNumberFormat="1"/>
    <xf numFmtId="6" fontId="0" fillId="0" borderId="0" xfId="2" applyNumberFormat="1" applyFont="1" applyFill="1" applyAlignment="1">
      <alignment horizontal="center"/>
    </xf>
    <xf numFmtId="8" fontId="0" fillId="0" borderId="0" xfId="2" applyNumberFormat="1" applyFont="1" applyFill="1" applyAlignment="1">
      <alignment horizontal="center"/>
    </xf>
    <xf numFmtId="41" fontId="38" fillId="0" borderId="0" xfId="0" applyNumberFormat="1" applyFont="1"/>
    <xf numFmtId="167" fontId="38" fillId="0" borderId="0" xfId="8" applyNumberFormat="1" applyFont="1" applyFill="1"/>
    <xf numFmtId="6" fontId="38" fillId="0" borderId="0" xfId="2" applyNumberFormat="1" applyFont="1" applyFill="1" applyAlignment="1">
      <alignment horizontal="center"/>
    </xf>
    <xf numFmtId="8" fontId="38" fillId="0" borderId="0" xfId="2" applyNumberFormat="1" applyFont="1" applyFill="1" applyAlignment="1">
      <alignment horizontal="center"/>
    </xf>
    <xf numFmtId="185" fontId="7" fillId="0" borderId="0" xfId="1" applyNumberFormat="1" applyFont="1" applyFill="1"/>
    <xf numFmtId="6" fontId="0" fillId="0" borderId="0" xfId="2" applyNumberFormat="1" applyFont="1" applyFill="1"/>
    <xf numFmtId="8" fontId="0" fillId="0" borderId="0" xfId="2" applyNumberFormat="1" applyFont="1" applyFill="1"/>
    <xf numFmtId="171" fontId="6" fillId="0" borderId="7" xfId="5" applyFont="1" applyBorder="1" applyAlignment="1">
      <alignment horizontal="centerContinuous"/>
    </xf>
    <xf numFmtId="171" fontId="0" fillId="0" borderId="0" xfId="5" applyFont="1" applyAlignment="1">
      <alignment horizontal="left"/>
    </xf>
    <xf numFmtId="171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171" fontId="38" fillId="0" borderId="0" xfId="0" applyFont="1"/>
    <xf numFmtId="173" fontId="38" fillId="0" borderId="0" xfId="0" applyNumberFormat="1" applyFont="1"/>
    <xf numFmtId="43" fontId="38" fillId="0" borderId="0" xfId="2" applyNumberFormat="1" applyFont="1" applyFill="1"/>
    <xf numFmtId="164" fontId="38" fillId="0" borderId="0" xfId="0" applyNumberFormat="1" applyFont="1" applyAlignment="1">
      <alignment horizontal="center"/>
    </xf>
    <xf numFmtId="167" fontId="0" fillId="0" borderId="0" xfId="0" applyNumberFormat="1"/>
    <xf numFmtId="164" fontId="10" fillId="0" borderId="0" xfId="0" applyNumberFormat="1" applyFont="1" applyAlignment="1">
      <alignment horizontal="right"/>
    </xf>
    <xf numFmtId="171" fontId="6" fillId="0" borderId="3" xfId="5" applyFont="1" applyBorder="1" applyAlignment="1">
      <alignment horizontal="centerContinuous"/>
    </xf>
    <xf numFmtId="171" fontId="0" fillId="0" borderId="9" xfId="0" applyBorder="1" applyAlignment="1">
      <alignment horizontal="centerContinuous"/>
    </xf>
    <xf numFmtId="171" fontId="0" fillId="0" borderId="4" xfId="0" applyBorder="1" applyAlignment="1">
      <alignment horizontal="centerContinuous"/>
    </xf>
    <xf numFmtId="169" fontId="0" fillId="0" borderId="0" xfId="2" applyNumberFormat="1" applyFont="1" applyFill="1"/>
    <xf numFmtId="165" fontId="0" fillId="0" borderId="0" xfId="0" applyNumberFormat="1" applyAlignment="1">
      <alignment horizontal="right"/>
    </xf>
    <xf numFmtId="44" fontId="0" fillId="0" borderId="0" xfId="2" applyFont="1" applyFill="1"/>
    <xf numFmtId="44" fontId="38" fillId="0" borderId="0" xfId="2" applyFont="1" applyFill="1"/>
    <xf numFmtId="8" fontId="38" fillId="0" borderId="0" xfId="2" applyNumberFormat="1" applyFont="1" applyFill="1"/>
    <xf numFmtId="186" fontId="0" fillId="0" borderId="0" xfId="1" applyNumberFormat="1" applyFont="1"/>
    <xf numFmtId="9" fontId="0" fillId="0" borderId="0" xfId="8" applyFont="1"/>
    <xf numFmtId="174" fontId="0" fillId="0" borderId="0" xfId="0" applyNumberFormat="1"/>
    <xf numFmtId="174" fontId="0" fillId="0" borderId="0" xfId="8" applyNumberFormat="1" applyFont="1"/>
    <xf numFmtId="10" fontId="0" fillId="0" borderId="0" xfId="8" applyNumberFormat="1" applyFont="1" applyFill="1"/>
    <xf numFmtId="7" fontId="0" fillId="0" borderId="0" xfId="2" applyNumberFormat="1" applyFont="1" applyFill="1"/>
    <xf numFmtId="165" fontId="0" fillId="10" borderId="0" xfId="0" applyNumberFormat="1" applyFill="1" applyAlignment="1">
      <alignment horizontal="center"/>
    </xf>
    <xf numFmtId="44" fontId="7" fillId="10" borderId="0" xfId="24" applyNumberFormat="1" applyFill="1" applyAlignment="1">
      <alignment horizontal="right"/>
    </xf>
    <xf numFmtId="43" fontId="40" fillId="0" borderId="0" xfId="33" applyNumberFormat="1" applyFont="1" applyAlignment="1">
      <alignment horizontal="center" wrapText="1"/>
    </xf>
    <xf numFmtId="187" fontId="0" fillId="0" borderId="0" xfId="0" applyNumberFormat="1"/>
    <xf numFmtId="164" fontId="0" fillId="0" borderId="0" xfId="1" applyNumberFormat="1" applyFont="1" applyFill="1"/>
    <xf numFmtId="183" fontId="7" fillId="10" borderId="0" xfId="24" applyNumberFormat="1" applyFill="1" applyAlignment="1">
      <alignment horizontal="right"/>
    </xf>
    <xf numFmtId="10" fontId="7" fillId="12" borderId="0" xfId="8" applyNumberFormat="1" applyFont="1" applyFill="1"/>
    <xf numFmtId="17" fontId="5" fillId="6" borderId="5" xfId="10" applyNumberFormat="1" applyFill="1" applyBorder="1" applyAlignment="1">
      <alignment horizontal="center"/>
    </xf>
    <xf numFmtId="167" fontId="0" fillId="10" borderId="0" xfId="8" applyNumberFormat="1" applyFont="1" applyFill="1"/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0" fillId="0" borderId="1" xfId="0" applyNumberFormat="1" applyBorder="1"/>
    <xf numFmtId="166" fontId="0" fillId="0" borderId="0" xfId="2" applyNumberFormat="1" applyFont="1"/>
    <xf numFmtId="166" fontId="0" fillId="0" borderId="1" xfId="2" applyNumberFormat="1" applyFont="1" applyBorder="1"/>
    <xf numFmtId="8" fontId="7" fillId="0" borderId="0" xfId="1" applyNumberFormat="1" applyFont="1"/>
    <xf numFmtId="188" fontId="1" fillId="0" borderId="0" xfId="31" applyNumberFormat="1"/>
    <xf numFmtId="9" fontId="7" fillId="17" borderId="0" xfId="8" applyFont="1" applyFill="1"/>
    <xf numFmtId="8" fontId="33" fillId="0" borderId="0" xfId="32" applyNumberFormat="1" applyFont="1" applyFill="1"/>
    <xf numFmtId="189" fontId="7" fillId="0" borderId="0" xfId="24" applyNumberFormat="1"/>
    <xf numFmtId="171" fontId="5" fillId="10" borderId="2" xfId="10" applyNumberFormat="1" applyFill="1" applyBorder="1"/>
    <xf numFmtId="41" fontId="5" fillId="10" borderId="8" xfId="10" applyNumberFormat="1" applyFill="1" applyBorder="1"/>
    <xf numFmtId="168" fontId="5" fillId="10" borderId="8" xfId="10" applyNumberFormat="1" applyFill="1" applyBorder="1"/>
    <xf numFmtId="171" fontId="5" fillId="10" borderId="0" xfId="10" applyNumberFormat="1" applyFill="1"/>
    <xf numFmtId="41" fontId="5" fillId="10" borderId="11" xfId="10" applyNumberFormat="1" applyFill="1" applyBorder="1"/>
    <xf numFmtId="168" fontId="5" fillId="10" borderId="11" xfId="10" applyNumberFormat="1" applyFill="1" applyBorder="1"/>
    <xf numFmtId="171" fontId="5" fillId="10" borderId="1" xfId="10" applyNumberFormat="1" applyFill="1" applyBorder="1"/>
    <xf numFmtId="41" fontId="5" fillId="10" borderId="12" xfId="10" applyNumberFormat="1" applyFill="1" applyBorder="1"/>
    <xf numFmtId="168" fontId="5" fillId="10" borderId="12" xfId="10" applyNumberFormat="1" applyFill="1" applyBorder="1"/>
    <xf numFmtId="0" fontId="1" fillId="0" borderId="0" xfId="31" applyAlignment="1">
      <alignment horizontal="right"/>
    </xf>
    <xf numFmtId="44" fontId="0" fillId="0" borderId="0" xfId="15" applyFont="1" applyFill="1"/>
    <xf numFmtId="0" fontId="7" fillId="0" borderId="0" xfId="24" applyNumberFormat="1" applyAlignment="1">
      <alignment horizontal="right"/>
    </xf>
    <xf numFmtId="167" fontId="33" fillId="0" borderId="0" xfId="9" applyFont="1"/>
    <xf numFmtId="2" fontId="33" fillId="0" borderId="0" xfId="9" applyNumberFormat="1" applyFont="1"/>
    <xf numFmtId="9" fontId="27" fillId="0" borderId="0" xfId="8" applyFont="1" applyFill="1"/>
    <xf numFmtId="41" fontId="8" fillId="0" borderId="0" xfId="11" applyFont="1" applyAlignment="1">
      <alignment horizontal="centerContinuous"/>
    </xf>
    <xf numFmtId="41" fontId="11" fillId="0" borderId="0" xfId="11" applyFont="1" applyAlignment="1">
      <alignment horizontal="centerContinuous"/>
    </xf>
    <xf numFmtId="41" fontId="7" fillId="0" borderId="0" xfId="11" applyAlignment="1">
      <alignment horizontal="centerContinuous"/>
    </xf>
    <xf numFmtId="41" fontId="9" fillId="0" borderId="0" xfId="11" applyFont="1" applyAlignment="1">
      <alignment horizontal="centerContinuous"/>
    </xf>
    <xf numFmtId="41" fontId="7" fillId="0" borderId="22" xfId="11" applyBorder="1" applyAlignment="1">
      <alignment horizontal="center"/>
    </xf>
    <xf numFmtId="41" fontId="7" fillId="0" borderId="2" xfId="11" applyBorder="1" applyAlignment="1">
      <alignment horizontal="center"/>
    </xf>
    <xf numFmtId="41" fontId="7" fillId="0" borderId="8" xfId="11" applyBorder="1" applyAlignment="1">
      <alignment horizontal="center" wrapText="1"/>
    </xf>
    <xf numFmtId="41" fontId="7" fillId="0" borderId="0" xfId="11" applyAlignment="1">
      <alignment wrapText="1"/>
    </xf>
    <xf numFmtId="41" fontId="7" fillId="0" borderId="0" xfId="11" applyAlignment="1">
      <alignment horizontal="center"/>
    </xf>
    <xf numFmtId="17" fontId="0" fillId="0" borderId="10" xfId="11" applyNumberFormat="1" applyFont="1" applyBorder="1" applyAlignment="1">
      <alignment horizontal="center"/>
    </xf>
    <xf numFmtId="17" fontId="0" fillId="0" borderId="0" xfId="11" applyNumberFormat="1" applyFont="1" applyAlignment="1">
      <alignment horizontal="center"/>
    </xf>
    <xf numFmtId="17" fontId="0" fillId="0" borderId="11" xfId="11" applyNumberFormat="1" applyFont="1" applyBorder="1" applyAlignment="1">
      <alignment horizontal="center"/>
    </xf>
    <xf numFmtId="9" fontId="7" fillId="0" borderId="10" xfId="8" applyFont="1" applyFill="1" applyBorder="1" applyAlignment="1">
      <alignment horizontal="center"/>
    </xf>
    <xf numFmtId="9" fontId="7" fillId="0" borderId="0" xfId="8" applyFont="1" applyFill="1" applyBorder="1" applyAlignment="1">
      <alignment horizontal="center"/>
    </xf>
    <xf numFmtId="9" fontId="7" fillId="0" borderId="11" xfId="8" applyFont="1" applyFill="1" applyBorder="1" applyAlignment="1">
      <alignment horizontal="center"/>
    </xf>
    <xf numFmtId="17" fontId="7" fillId="0" borderId="0" xfId="11" applyNumberFormat="1"/>
    <xf numFmtId="0" fontId="7" fillId="0" borderId="23" xfId="7" applyBorder="1" applyAlignment="1">
      <alignment horizontal="center"/>
    </xf>
    <xf numFmtId="0" fontId="7" fillId="0" borderId="1" xfId="7" applyBorder="1" applyAlignment="1">
      <alignment horizontal="center"/>
    </xf>
    <xf numFmtId="0" fontId="0" fillId="0" borderId="12" xfId="7" applyFont="1" applyBorder="1" applyAlignment="1">
      <alignment horizontal="center"/>
    </xf>
    <xf numFmtId="41" fontId="7" fillId="0" borderId="23" xfId="11" applyBorder="1" applyAlignment="1">
      <alignment horizontal="center"/>
    </xf>
    <xf numFmtId="41" fontId="7" fillId="0" borderId="1" xfId="11" applyBorder="1" applyAlignment="1">
      <alignment horizontal="center"/>
    </xf>
    <xf numFmtId="41" fontId="7" fillId="0" borderId="12" xfId="11" applyBorder="1" applyAlignment="1">
      <alignment horizontal="center"/>
    </xf>
    <xf numFmtId="0" fontId="7" fillId="0" borderId="22" xfId="11" applyNumberFormat="1" applyBorder="1" applyAlignment="1">
      <alignment horizontal="center"/>
    </xf>
    <xf numFmtId="168" fontId="41" fillId="0" borderId="0" xfId="11" applyNumberFormat="1" applyFont="1" applyAlignment="1">
      <alignment horizontal="centerContinuous"/>
    </xf>
    <xf numFmtId="8" fontId="7" fillId="0" borderId="22" xfId="11" applyNumberFormat="1" applyBorder="1" applyAlignment="1">
      <alignment horizontal="center"/>
    </xf>
    <xf numFmtId="8" fontId="7" fillId="0" borderId="2" xfId="11" applyNumberFormat="1" applyBorder="1" applyAlignment="1">
      <alignment horizontal="center"/>
    </xf>
    <xf numFmtId="8" fontId="7" fillId="0" borderId="8" xfId="11" applyNumberFormat="1" applyBorder="1" applyAlignment="1">
      <alignment horizontal="center"/>
    </xf>
    <xf numFmtId="168" fontId="7" fillId="0" borderId="0" xfId="11" applyNumberFormat="1" applyAlignment="1">
      <alignment horizontal="centerContinuous"/>
    </xf>
    <xf numFmtId="8" fontId="7" fillId="0" borderId="0" xfId="11" applyNumberFormat="1" applyAlignment="1">
      <alignment horizontal="center"/>
    </xf>
    <xf numFmtId="0" fontId="7" fillId="0" borderId="10" xfId="11" applyNumberFormat="1" applyBorder="1" applyAlignment="1">
      <alignment horizontal="center"/>
    </xf>
    <xf numFmtId="8" fontId="7" fillId="0" borderId="10" xfId="11" applyNumberFormat="1" applyBorder="1" applyAlignment="1">
      <alignment horizontal="center"/>
    </xf>
    <xf numFmtId="8" fontId="7" fillId="0" borderId="11" xfId="11" applyNumberFormat="1" applyBorder="1" applyAlignment="1">
      <alignment horizontal="center"/>
    </xf>
    <xf numFmtId="0" fontId="7" fillId="0" borderId="23" xfId="11" applyNumberFormat="1" applyBorder="1" applyAlignment="1">
      <alignment horizontal="center"/>
    </xf>
    <xf numFmtId="8" fontId="7" fillId="0" borderId="23" xfId="11" applyNumberFormat="1" applyBorder="1" applyAlignment="1">
      <alignment horizontal="center"/>
    </xf>
    <xf numFmtId="8" fontId="7" fillId="0" borderId="1" xfId="11" applyNumberFormat="1" applyBorder="1" applyAlignment="1">
      <alignment horizontal="center"/>
    </xf>
    <xf numFmtId="8" fontId="7" fillId="0" borderId="12" xfId="11" applyNumberFormat="1" applyBorder="1" applyAlignment="1">
      <alignment horizontal="center"/>
    </xf>
    <xf numFmtId="41" fontId="24" fillId="0" borderId="0" xfId="11" applyFont="1"/>
    <xf numFmtId="41" fontId="7" fillId="0" borderId="0" xfId="11" applyAlignment="1">
      <alignment horizontal="left" indent="1"/>
    </xf>
    <xf numFmtId="8" fontId="7" fillId="0" borderId="0" xfId="11" applyNumberFormat="1"/>
    <xf numFmtId="10" fontId="7" fillId="0" borderId="0" xfId="8" applyNumberFormat="1" applyFont="1" applyFill="1" applyAlignment="1">
      <alignment horizontal="left" indent="1"/>
    </xf>
    <xf numFmtId="167" fontId="7" fillId="0" borderId="0" xfId="8" applyNumberFormat="1" applyFont="1" applyFill="1" applyBorder="1" applyAlignment="1">
      <alignment horizontal="center"/>
    </xf>
    <xf numFmtId="39" fontId="7" fillId="0" borderId="0" xfId="34" quotePrefix="1" applyNumberFormat="1" applyFont="1" applyAlignment="1">
      <alignment horizontal="center"/>
    </xf>
    <xf numFmtId="39" fontId="7" fillId="0" borderId="0" xfId="11" applyNumberFormat="1" applyAlignment="1">
      <alignment horizontal="center"/>
    </xf>
    <xf numFmtId="43" fontId="7" fillId="0" borderId="0" xfId="1" applyFont="1" applyFill="1"/>
    <xf numFmtId="8" fontId="0" fillId="0" borderId="3" xfId="11" applyNumberFormat="1" applyFont="1" applyBorder="1" applyAlignment="1">
      <alignment horizontal="center"/>
    </xf>
    <xf numFmtId="8" fontId="0" fillId="0" borderId="9" xfId="11" applyNumberFormat="1" applyFont="1" applyBorder="1" applyAlignment="1">
      <alignment horizontal="center"/>
    </xf>
    <xf numFmtId="8" fontId="0" fillId="0" borderId="4" xfId="11" applyNumberFormat="1" applyFont="1" applyBorder="1" applyAlignment="1">
      <alignment horizontal="center"/>
    </xf>
    <xf numFmtId="8" fontId="0" fillId="0" borderId="3" xfId="11" applyNumberFormat="1" applyFont="1" applyBorder="1" applyAlignment="1">
      <alignment horizontal="center" vertical="top" wrapText="1"/>
    </xf>
    <xf numFmtId="8" fontId="0" fillId="0" borderId="9" xfId="11" applyNumberFormat="1" applyFont="1" applyBorder="1" applyAlignment="1">
      <alignment horizontal="center" vertical="top" wrapText="1"/>
    </xf>
    <xf numFmtId="8" fontId="0" fillId="0" borderId="4" xfId="11" applyNumberFormat="1" applyFont="1" applyBorder="1" applyAlignment="1">
      <alignment horizontal="center" vertical="top" wrapText="1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</cellXfs>
  <cellStyles count="35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Book1" xfId="33" xr:uid="{2540E772-5D45-47B6-93DD-2DC530777622}"/>
    <cellStyle name="Normal_DRR AC Study - Utah Valley - 53 MW 90 CF (2.28.2005)" xfId="4" xr:uid="{00000000-0005-0000-0000-000011000000}"/>
    <cellStyle name="Normal_Exhibit GND-1 - 5.24.2005" xfId="34" xr:uid="{64381AA8-19B3-430D-959D-66D7B8613C66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11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styles" Target="styles.xml"/><Relationship Id="rId35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7_Appendix%20D.1%20-%20UT%202025Q2%20-%20Thermal%20AC%20Study%20NON-CONF%20NonRoutine%20Update.xlsx" TargetMode="External"/><Relationship Id="rId1" Type="http://schemas.openxmlformats.org/officeDocument/2006/relationships/externalLinkPath" Target="file:///Z:\Avoided%20Cost%20-%202025\16%20-%20UTSch38_2025Q2%20IRPMar2025%20-%20Sep%202025\Sch%2038%20Filing\7_Appendix%20D.1%20-%20UT%202025Q2%20-%20Thermal%20AC%20Study%20NON-CONF%20NonRoutine%20Updat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7_Appendix%20D.2%20-%20UT%202025Q2%20-%20Solar%20AC%20Study%20NON-CONF%20NonRoutine%20Update.xlsx" TargetMode="External"/><Relationship Id="rId1" Type="http://schemas.openxmlformats.org/officeDocument/2006/relationships/externalLinkPath" Target="file:///Z:\Avoided%20Cost%20-%202025\16%20-%20UTSch38_2025Q2%20IRPMar2025%20-%20Sep%202025\Sch%2038%20Filing\7_Appendix%20D.2%20-%20UT%202025Q2%20-%20Solar%20AC%20Study%20NON-CONF%20NonRoutine%20Update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4_Appendix%20B.1%20-%20UT%202025Q2%20-%20Thermal%20AC%20Study%20NON-CONF%20Routine%20Update.xlsx" TargetMode="External"/><Relationship Id="rId1" Type="http://schemas.openxmlformats.org/officeDocument/2006/relationships/externalLinkPath" Target="file:///Z:\Avoided%20Cost%20-%202025\16%20-%20UTSch38_2025Q2%20IRPMar2025%20-%20Sep%202025\Sch%2038%20Filing\4_Appendix%20B.1%20-%20UT%202025Q2%20-%20Thermal%20AC%20Study%20NON-CONF%20Routine%20Update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4_Appendix%20B.2%20-%20UT%202025Q2%20-%20Solar%20AC%20Study%20NON-CONF%20%20Routine%20Update.xlsx" TargetMode="External"/><Relationship Id="rId1" Type="http://schemas.openxmlformats.org/officeDocument/2006/relationships/externalLinkPath" Target="file:///Z:\Avoided%20Cost%20-%202025\16%20-%20UTSch38_2025Q2%20IRPMar2025%20-%20Sep%202025\Sch%2038%20Filing\4_Appendix%20B.2%20-%20UT%202025Q2%20-%20Solar%20AC%20Study%20NON-CONF%20%20Routine%20Update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4_Appendix%20B.3%20-%20UT%202025Q2%20-%20Wind%20AC%20Study%20NON-CONF%20%20Routine%20Update.xlsx" TargetMode="External"/><Relationship Id="rId1" Type="http://schemas.openxmlformats.org/officeDocument/2006/relationships/externalLinkPath" Target="file:///Z:\Avoided%20Cost%20-%202025\16%20-%20UTSch38_2025Q2%20IRPMar2025%20-%20Sep%202025\Sch%2038%20Filing\4_Appendix%20B.3%20-%20UT%202025Q2%20-%20Wind%20AC%20Study%20NON-CONF%20%20Routine%20Update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03%20-%20UT2025Q1%20IRP2025IRP%20-%20June%20%202025\Sch%2038%20Filing%20Package\4_Appendix%20B.1%20-%20UT%202025Q1%20-%20Thermal%20AC%20Study%20NON-CONF.xlsx" TargetMode="External"/><Relationship Id="rId1" Type="http://schemas.openxmlformats.org/officeDocument/2006/relationships/externalLinkPath" Target="file:///Z:\Avoided%20Cost%20-%202025\03%20-%20UT2025Q1%20IRP2025IRP%20-%20June%20%202025\Sch%2038%20Filing%20Package\4_Appendix%20B.1%20-%20UT%202025Q1%20-%20Thermal%20AC%20Study%20NON-CONF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03%20-%20UT2025Q1%20IRP2025IRP%20-%20June%20%202025\Sch%2038%20Filing%20Package\4_Appendix%20B.2%20-%20UT%202025Q1%20-%20Solar%20AC%20Study%20NON-CONF.xlsx" TargetMode="External"/><Relationship Id="rId1" Type="http://schemas.openxmlformats.org/officeDocument/2006/relationships/externalLinkPath" Target="file:///Z:\Avoided%20Cost%20-%202025\03%20-%20UT2025Q1%20IRP2025IRP%20-%20June%20%202025\Sch%2038%20Filing%20Package\4_Appendix%20B.2%20-%20UT%202025Q1%20-%20Solar%20AC%20Study%20NON-CONF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03%20-%20UT2025Q1%20IRP2025IRP%20-%20June%20%202025\Sch%2038%20Filing%20Package\4_Appendix%20B.3%20-%20UT%202025Q1%20-%20Wind%20AC%20Study%20NON-CONF.xlsx" TargetMode="External"/><Relationship Id="rId1" Type="http://schemas.openxmlformats.org/officeDocument/2006/relationships/externalLinkPath" Target="file:///Z:\Avoided%20Cost%20-%202025\03%20-%20UT2025Q1%20IRP2025IRP%20-%20June%20%202025\Sch%2038%20Filing%20Package\4_Appendix%20B.3%20-%20UT%202025Q1%20-%20Wind%20AC%20Study%20NON-CONF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Report\Step%20Study\4_Appendix%20B.2%20-%20UT%202025Q2%20-%20Solar%20AC%20Study%20NON-CONF%20%20IRP25UT_OFPC2025June.xlsx" TargetMode="External"/><Relationship Id="rId1" Type="http://schemas.openxmlformats.org/officeDocument/2006/relationships/externalLinkPath" Target="file:///Z:\Avoided%20Cost%20-%202025\16%20-%20UTSch38_2025Q2%20IRPMar2025%20-%20Sep%202025\Report\Step%20Study\4_Appendix%20B.2%20-%20UT%202025Q2%20-%20Solar%20AC%20Study%20NON-CONF%20%20IRP25UT_OFPC2025Ju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BDG._.PTC.2031"/>
      <sheetName val="PV_.PX.HTG._.PTC.2031"/>
      <sheetName val="PV_.PX.NTN._.PTC.2031"/>
      <sheetName val="PV_.PX.UTS._.PTC.2031"/>
      <sheetName val="GSC.PX.BDG._.___.Frame 2030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26.563364943626262</v>
          </cell>
          <cell r="F13"/>
          <cell r="G13">
            <v>26.563364943626262</v>
          </cell>
        </row>
        <row r="14">
          <cell r="B14">
            <v>2026</v>
          </cell>
          <cell r="C14">
            <v>0</v>
          </cell>
          <cell r="D14"/>
          <cell r="E14">
            <v>31.392349760487118</v>
          </cell>
          <cell r="F14"/>
          <cell r="G14">
            <v>31.392349760487118</v>
          </cell>
        </row>
        <row r="15">
          <cell r="B15">
            <v>2027</v>
          </cell>
          <cell r="C15">
            <v>0</v>
          </cell>
          <cell r="D15"/>
          <cell r="E15">
            <v>32.501976695229978</v>
          </cell>
          <cell r="F15"/>
          <cell r="G15">
            <v>32.501976695229978</v>
          </cell>
        </row>
        <row r="16">
          <cell r="B16">
            <v>2028</v>
          </cell>
          <cell r="C16">
            <v>0</v>
          </cell>
          <cell r="D16"/>
          <cell r="E16">
            <v>35.447099116448506</v>
          </cell>
          <cell r="F16"/>
          <cell r="G16">
            <v>35.447099116448506</v>
          </cell>
        </row>
        <row r="17">
          <cell r="B17">
            <v>2029</v>
          </cell>
          <cell r="C17">
            <v>0</v>
          </cell>
          <cell r="D17"/>
          <cell r="E17">
            <v>38.951795564771089</v>
          </cell>
          <cell r="F17"/>
          <cell r="G17">
            <v>38.951795564771089</v>
          </cell>
        </row>
        <row r="18">
          <cell r="B18">
            <v>2030</v>
          </cell>
          <cell r="C18">
            <v>0</v>
          </cell>
          <cell r="D18"/>
          <cell r="E18">
            <v>39.388572311768634</v>
          </cell>
          <cell r="F18"/>
          <cell r="G18">
            <v>39.388572311768634</v>
          </cell>
        </row>
        <row r="19">
          <cell r="B19">
            <v>2031</v>
          </cell>
          <cell r="C19">
            <v>0</v>
          </cell>
          <cell r="D19"/>
          <cell r="E19">
            <v>38.667356502390128</v>
          </cell>
          <cell r="F19"/>
          <cell r="G19">
            <v>38.667356502390128</v>
          </cell>
        </row>
        <row r="20">
          <cell r="B20">
            <v>2032</v>
          </cell>
          <cell r="C20">
            <v>0</v>
          </cell>
          <cell r="D20"/>
          <cell r="E20">
            <v>36.355060179291272</v>
          </cell>
          <cell r="F20"/>
          <cell r="G20">
            <v>36.355060179291272</v>
          </cell>
        </row>
        <row r="21">
          <cell r="B21">
            <v>2033</v>
          </cell>
          <cell r="C21">
            <v>0</v>
          </cell>
          <cell r="D21"/>
          <cell r="E21">
            <v>35.731612519154389</v>
          </cell>
          <cell r="F21"/>
          <cell r="G21">
            <v>35.731612519154389</v>
          </cell>
        </row>
        <row r="22">
          <cell r="B22">
            <v>2034</v>
          </cell>
          <cell r="C22">
            <v>0</v>
          </cell>
          <cell r="D22"/>
          <cell r="E22">
            <v>35.987352958525982</v>
          </cell>
          <cell r="F22"/>
          <cell r="G22">
            <v>35.987352958525982</v>
          </cell>
        </row>
        <row r="23">
          <cell r="B23">
            <v>2035</v>
          </cell>
          <cell r="C23">
            <v>0</v>
          </cell>
          <cell r="D23"/>
          <cell r="E23">
            <v>36.416341300641747</v>
          </cell>
          <cell r="F23"/>
          <cell r="G23">
            <v>36.416341300641747</v>
          </cell>
        </row>
        <row r="24">
          <cell r="B24">
            <v>2036</v>
          </cell>
          <cell r="C24">
            <v>0</v>
          </cell>
          <cell r="D24"/>
          <cell r="E24">
            <v>36.21108759488628</v>
          </cell>
          <cell r="F24"/>
          <cell r="G24">
            <v>36.21108759488628</v>
          </cell>
        </row>
        <row r="25">
          <cell r="B25">
            <v>2037</v>
          </cell>
          <cell r="C25">
            <v>0</v>
          </cell>
          <cell r="D25"/>
          <cell r="E25">
            <v>38.785458326986728</v>
          </cell>
          <cell r="F25"/>
          <cell r="G25">
            <v>38.785458326986728</v>
          </cell>
        </row>
        <row r="26">
          <cell r="B26">
            <v>2038</v>
          </cell>
          <cell r="C26">
            <v>0</v>
          </cell>
          <cell r="D26"/>
          <cell r="E26">
            <v>41.131723498208885</v>
          </cell>
          <cell r="F26"/>
          <cell r="G26">
            <v>41.131723498208885</v>
          </cell>
        </row>
        <row r="27">
          <cell r="B27">
            <v>2039</v>
          </cell>
          <cell r="C27">
            <v>0</v>
          </cell>
          <cell r="D27"/>
          <cell r="E27">
            <v>42.076758405342197</v>
          </cell>
          <cell r="F27"/>
          <cell r="G27">
            <v>42.076758405342197</v>
          </cell>
        </row>
        <row r="28">
          <cell r="B28">
            <v>2040</v>
          </cell>
          <cell r="C28">
            <v>0</v>
          </cell>
          <cell r="D28"/>
          <cell r="E28">
            <v>43.501923350057048</v>
          </cell>
          <cell r="F28"/>
          <cell r="G28">
            <v>43.501923350057048</v>
          </cell>
        </row>
        <row r="29">
          <cell r="B29">
            <v>2041</v>
          </cell>
          <cell r="C29">
            <v>0</v>
          </cell>
          <cell r="D29"/>
          <cell r="E29">
            <v>46.285846450254333</v>
          </cell>
          <cell r="F29"/>
          <cell r="G29">
            <v>46.285846450254333</v>
          </cell>
        </row>
        <row r="30">
          <cell r="B30">
            <v>2042</v>
          </cell>
          <cell r="C30">
            <v>0</v>
          </cell>
          <cell r="D30"/>
          <cell r="E30">
            <v>51.236293297766871</v>
          </cell>
          <cell r="F30"/>
          <cell r="G30">
            <v>51.236293297766871</v>
          </cell>
        </row>
        <row r="31">
          <cell r="B31">
            <v>2043</v>
          </cell>
          <cell r="C31">
            <v>0</v>
          </cell>
          <cell r="D31"/>
          <cell r="E31">
            <v>56.754347782603134</v>
          </cell>
          <cell r="F31"/>
          <cell r="G31">
            <v>56.754347782603134</v>
          </cell>
        </row>
        <row r="32">
          <cell r="B32">
            <v>2044</v>
          </cell>
          <cell r="C32">
            <v>0</v>
          </cell>
          <cell r="D32"/>
          <cell r="E32">
            <v>59.945418036701568</v>
          </cell>
          <cell r="F32"/>
          <cell r="G32">
            <v>59.945418036701568</v>
          </cell>
        </row>
        <row r="33">
          <cell r="B33">
            <v>2045</v>
          </cell>
          <cell r="C33">
            <v>0</v>
          </cell>
          <cell r="D33"/>
          <cell r="E33">
            <v>61.252228149901654</v>
          </cell>
          <cell r="F33"/>
          <cell r="G33">
            <v>61.252228149901654</v>
          </cell>
        </row>
        <row r="34">
          <cell r="B34">
            <v>2046</v>
          </cell>
          <cell r="C34">
            <v>0</v>
          </cell>
          <cell r="D34"/>
          <cell r="E34">
            <v>62.587526723569496</v>
          </cell>
          <cell r="F34"/>
          <cell r="G34">
            <v>62.587526723569496</v>
          </cell>
        </row>
        <row r="35">
          <cell r="B35"/>
          <cell r="C35"/>
          <cell r="D35"/>
          <cell r="E35"/>
          <cell r="F35"/>
          <cell r="G35"/>
        </row>
        <row r="36">
          <cell r="B36"/>
          <cell r="C36"/>
          <cell r="D36"/>
          <cell r="E36"/>
          <cell r="F36"/>
          <cell r="G36"/>
        </row>
        <row r="37">
          <cell r="B37"/>
          <cell r="C37"/>
          <cell r="D37"/>
          <cell r="E37"/>
          <cell r="F37"/>
          <cell r="G37"/>
        </row>
        <row r="43">
          <cell r="I43">
            <v>6.3799999999999996E-2</v>
          </cell>
        </row>
        <row r="45">
          <cell r="J45">
            <v>2.18E-2</v>
          </cell>
        </row>
        <row r="47">
          <cell r="J47">
            <v>4.1103934233705175E-2</v>
          </cell>
        </row>
        <row r="50">
          <cell r="G50">
            <v>35.534294245831447</v>
          </cell>
        </row>
        <row r="55">
          <cell r="G55">
            <v>36.816245874266151</v>
          </cell>
        </row>
      </sheetData>
      <sheetData sheetId="2"/>
      <sheetData sheetId="3"/>
      <sheetData sheetId="4">
        <row r="6">
          <cell r="M6">
            <v>100</v>
          </cell>
        </row>
        <row r="8">
          <cell r="M8">
            <v>0.99729999999999996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20.564717360018136</v>
          </cell>
          <cell r="F13"/>
          <cell r="G13">
            <v>20.564717360018136</v>
          </cell>
        </row>
        <row r="14">
          <cell r="B14">
            <v>2026</v>
          </cell>
          <cell r="C14">
            <v>0</v>
          </cell>
          <cell r="D14"/>
          <cell r="E14">
            <v>20.033500811328448</v>
          </cell>
          <cell r="F14"/>
          <cell r="G14">
            <v>20.033500811328448</v>
          </cell>
        </row>
        <row r="15">
          <cell r="B15">
            <v>2027</v>
          </cell>
          <cell r="C15">
            <v>0</v>
          </cell>
          <cell r="D15"/>
          <cell r="E15">
            <v>22.410532585837498</v>
          </cell>
          <cell r="F15"/>
          <cell r="G15">
            <v>22.410532585837498</v>
          </cell>
        </row>
        <row r="16">
          <cell r="B16">
            <v>2028</v>
          </cell>
          <cell r="C16">
            <v>0</v>
          </cell>
          <cell r="D16"/>
          <cell r="E16">
            <v>23.540274204604412</v>
          </cell>
          <cell r="F16"/>
          <cell r="G16">
            <v>23.540274204604412</v>
          </cell>
        </row>
        <row r="17">
          <cell r="B17">
            <v>2029</v>
          </cell>
          <cell r="C17">
            <v>0</v>
          </cell>
          <cell r="D17"/>
          <cell r="E17">
            <v>26.405966568166434</v>
          </cell>
          <cell r="F17"/>
          <cell r="G17">
            <v>26.405966568166434</v>
          </cell>
        </row>
        <row r="18">
          <cell r="B18">
            <v>2030</v>
          </cell>
          <cell r="C18">
            <v>0</v>
          </cell>
          <cell r="D18"/>
          <cell r="E18">
            <v>23.369882830993419</v>
          </cell>
          <cell r="F18"/>
          <cell r="G18">
            <v>23.369882830993419</v>
          </cell>
        </row>
        <row r="19">
          <cell r="B19">
            <v>2031</v>
          </cell>
          <cell r="C19">
            <v>97.92304792875585</v>
          </cell>
          <cell r="D19"/>
          <cell r="E19">
            <v>-49.0670346963621</v>
          </cell>
          <cell r="F19"/>
          <cell r="G19">
            <v>-10.900383335403259</v>
          </cell>
        </row>
        <row r="20">
          <cell r="B20">
            <v>2032</v>
          </cell>
          <cell r="C20">
            <v>100.05777034643907</v>
          </cell>
          <cell r="D20"/>
          <cell r="E20">
            <v>-50.397017397314372</v>
          </cell>
          <cell r="F20"/>
          <cell r="G20">
            <v>-11.193047820455257</v>
          </cell>
        </row>
        <row r="21">
          <cell r="B21">
            <v>2033</v>
          </cell>
          <cell r="C21">
            <v>102.23902974118711</v>
          </cell>
          <cell r="D21"/>
          <cell r="E21">
            <v>-51.194160091077165</v>
          </cell>
          <cell r="F21"/>
          <cell r="G21">
            <v>-10.91119311330834</v>
          </cell>
        </row>
        <row r="22">
          <cell r="B22">
            <v>2034</v>
          </cell>
          <cell r="C22">
            <v>104.46784066576485</v>
          </cell>
          <cell r="D22"/>
          <cell r="E22">
            <v>-52.669965669938037</v>
          </cell>
          <cell r="F22"/>
          <cell r="G22">
            <v>-11.345525378921389</v>
          </cell>
        </row>
        <row r="23">
          <cell r="B23">
            <v>2035</v>
          </cell>
          <cell r="C23">
            <v>106.74523956551904</v>
          </cell>
          <cell r="D23"/>
          <cell r="E23">
            <v>-53.832567301861964</v>
          </cell>
          <cell r="F23"/>
          <cell r="G23">
            <v>-11.348500059241543</v>
          </cell>
        </row>
        <row r="24">
          <cell r="B24">
            <v>2036</v>
          </cell>
          <cell r="C24">
            <v>109.0722857888052</v>
          </cell>
          <cell r="D24"/>
          <cell r="E24">
            <v>-55.026539028046813</v>
          </cell>
          <cell r="F24"/>
          <cell r="G24">
            <v>-11.377815185431851</v>
          </cell>
        </row>
        <row r="25">
          <cell r="B25">
            <v>2037</v>
          </cell>
          <cell r="C25">
            <v>111.45006158698747</v>
          </cell>
          <cell r="D25"/>
          <cell r="E25">
            <v>-58.014460143426867</v>
          </cell>
          <cell r="F25"/>
          <cell r="G25">
            <v>-13.239641752953498</v>
          </cell>
        </row>
        <row r="26">
          <cell r="B26">
            <v>2038</v>
          </cell>
          <cell r="C26">
            <v>113.87967295646115</v>
          </cell>
          <cell r="D26"/>
          <cell r="E26">
            <v>-57.938520770772264</v>
          </cell>
          <cell r="F26"/>
          <cell r="G26">
            <v>-11.917918657371088</v>
          </cell>
        </row>
        <row r="27">
          <cell r="B27">
            <v>2039</v>
          </cell>
          <cell r="C27">
            <v>116.36224980705713</v>
          </cell>
          <cell r="D27"/>
          <cell r="E27">
            <v>-59.63017892765685</v>
          </cell>
          <cell r="F27"/>
          <cell r="G27">
            <v>-12.380937370628997</v>
          </cell>
        </row>
        <row r="28">
          <cell r="B28">
            <v>2040</v>
          </cell>
          <cell r="C28">
            <v>118.89894688826641</v>
          </cell>
          <cell r="D28"/>
          <cell r="E28">
            <v>-62.079729963676527</v>
          </cell>
          <cell r="F28"/>
          <cell r="G28">
            <v>-13.614416200823602</v>
          </cell>
        </row>
        <row r="29">
          <cell r="B29">
            <v>2041</v>
          </cell>
          <cell r="C29">
            <v>121.49094387344255</v>
          </cell>
          <cell r="D29"/>
          <cell r="E29">
            <v>-1.2181456540656379</v>
          </cell>
          <cell r="F29"/>
          <cell r="G29">
            <v>48.609147902633914</v>
          </cell>
        </row>
        <row r="30">
          <cell r="B30">
            <v>2042</v>
          </cell>
          <cell r="C30">
            <v>124.1394464544305</v>
          </cell>
          <cell r="D30"/>
          <cell r="E30">
            <v>-3.7272131363337175</v>
          </cell>
          <cell r="F30"/>
          <cell r="G30">
            <v>47.397217674534808</v>
          </cell>
        </row>
        <row r="31">
          <cell r="B31">
            <v>2043</v>
          </cell>
          <cell r="C31">
            <v>126.8456864257691</v>
          </cell>
          <cell r="D31"/>
          <cell r="E31">
            <v>-3.2037390548565008</v>
          </cell>
          <cell r="F31"/>
          <cell r="G31">
            <v>49.310830934176622</v>
          </cell>
        </row>
        <row r="32">
          <cell r="B32">
            <v>2044</v>
          </cell>
          <cell r="C32">
            <v>129.6109223583087</v>
          </cell>
          <cell r="D32"/>
          <cell r="E32">
            <v>2.4893931862965424</v>
          </cell>
          <cell r="F32"/>
          <cell r="G32">
            <v>56.466019449478473</v>
          </cell>
        </row>
        <row r="33">
          <cell r="B33">
            <v>2045</v>
          </cell>
          <cell r="C33">
            <v>132.43644052543604</v>
          </cell>
          <cell r="D33"/>
          <cell r="E33">
            <v>2.543661957757807</v>
          </cell>
          <cell r="F33"/>
          <cell r="G33">
            <v>57.696978673477105</v>
          </cell>
        </row>
        <row r="34">
          <cell r="B34">
            <v>2046</v>
          </cell>
          <cell r="C34">
            <v>135.32355490307413</v>
          </cell>
          <cell r="D34"/>
          <cell r="E34">
            <v>2.5991137884369282</v>
          </cell>
          <cell r="F34"/>
          <cell r="G34">
            <v>58.954772808558928</v>
          </cell>
        </row>
        <row r="50">
          <cell r="G50">
            <v>6.1939710943085116</v>
          </cell>
        </row>
        <row r="55">
          <cell r="G55">
            <v>3.8358390647043397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1"/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28.868448831015229</v>
          </cell>
          <cell r="F13"/>
          <cell r="G13">
            <v>28.868448831015229</v>
          </cell>
        </row>
        <row r="14">
          <cell r="B14">
            <v>2026</v>
          </cell>
          <cell r="C14">
            <v>0</v>
          </cell>
          <cell r="D14"/>
          <cell r="E14">
            <v>32.353774344641096</v>
          </cell>
          <cell r="F14"/>
          <cell r="G14">
            <v>32.353774344641096</v>
          </cell>
        </row>
        <row r="15">
          <cell r="B15">
            <v>2027</v>
          </cell>
          <cell r="C15">
            <v>0</v>
          </cell>
          <cell r="D15"/>
          <cell r="E15">
            <v>31.058790552498873</v>
          </cell>
          <cell r="F15"/>
          <cell r="G15">
            <v>31.058790552498873</v>
          </cell>
        </row>
        <row r="16">
          <cell r="B16">
            <v>2028</v>
          </cell>
          <cell r="C16">
            <v>0</v>
          </cell>
          <cell r="D16"/>
          <cell r="E16">
            <v>34.687855803338863</v>
          </cell>
          <cell r="F16"/>
          <cell r="G16">
            <v>34.687855803338863</v>
          </cell>
        </row>
        <row r="17">
          <cell r="B17">
            <v>2029</v>
          </cell>
          <cell r="C17">
            <v>0</v>
          </cell>
          <cell r="D17"/>
          <cell r="E17">
            <v>38.396625148377744</v>
          </cell>
          <cell r="F17"/>
          <cell r="G17">
            <v>38.396625148377744</v>
          </cell>
        </row>
        <row r="18">
          <cell r="B18">
            <v>2030</v>
          </cell>
          <cell r="C18">
            <v>0</v>
          </cell>
          <cell r="D18"/>
          <cell r="E18">
            <v>36.036480313706036</v>
          </cell>
          <cell r="F18"/>
          <cell r="G18">
            <v>36.036480313706036</v>
          </cell>
        </row>
        <row r="19">
          <cell r="B19">
            <v>2031</v>
          </cell>
          <cell r="C19">
            <v>0</v>
          </cell>
          <cell r="D19"/>
          <cell r="E19">
            <v>37.37103262123113</v>
          </cell>
          <cell r="F19"/>
          <cell r="G19">
            <v>37.37103262123113</v>
          </cell>
        </row>
        <row r="20">
          <cell r="B20">
            <v>2032</v>
          </cell>
          <cell r="C20">
            <v>0</v>
          </cell>
          <cell r="D20"/>
          <cell r="E20">
            <v>33.929362391951678</v>
          </cell>
          <cell r="F20"/>
          <cell r="G20">
            <v>33.929362391951678</v>
          </cell>
        </row>
        <row r="21">
          <cell r="B21">
            <v>2033</v>
          </cell>
          <cell r="C21">
            <v>0</v>
          </cell>
          <cell r="D21"/>
          <cell r="E21">
            <v>32.311215799894278</v>
          </cell>
          <cell r="F21"/>
          <cell r="G21">
            <v>32.311215799894278</v>
          </cell>
        </row>
        <row r="22">
          <cell r="B22">
            <v>2034</v>
          </cell>
          <cell r="C22">
            <v>0</v>
          </cell>
          <cell r="D22"/>
          <cell r="E22">
            <v>32.266656254866341</v>
          </cell>
          <cell r="F22"/>
          <cell r="G22">
            <v>32.266656254866341</v>
          </cell>
        </row>
        <row r="23">
          <cell r="B23">
            <v>2035</v>
          </cell>
          <cell r="C23">
            <v>0</v>
          </cell>
          <cell r="D23"/>
          <cell r="E23">
            <v>32.793055072863851</v>
          </cell>
          <cell r="F23"/>
          <cell r="G23">
            <v>32.793055072863851</v>
          </cell>
        </row>
        <row r="24">
          <cell r="B24">
            <v>2036</v>
          </cell>
          <cell r="C24">
            <v>0</v>
          </cell>
          <cell r="D24"/>
          <cell r="E24">
            <v>18.689452232871812</v>
          </cell>
          <cell r="F24"/>
          <cell r="G24">
            <v>18.689452232871812</v>
          </cell>
        </row>
        <row r="25">
          <cell r="B25">
            <v>2037</v>
          </cell>
          <cell r="C25">
            <v>0</v>
          </cell>
          <cell r="D25"/>
          <cell r="E25">
            <v>22.162550085386599</v>
          </cell>
          <cell r="F25"/>
          <cell r="G25">
            <v>22.162550085386599</v>
          </cell>
        </row>
        <row r="26">
          <cell r="B26">
            <v>2038</v>
          </cell>
          <cell r="C26">
            <v>0</v>
          </cell>
          <cell r="D26"/>
          <cell r="E26">
            <v>24.887103800046653</v>
          </cell>
          <cell r="F26"/>
          <cell r="G26">
            <v>24.887103800046653</v>
          </cell>
        </row>
        <row r="27">
          <cell r="B27">
            <v>2039</v>
          </cell>
          <cell r="C27">
            <v>0</v>
          </cell>
          <cell r="D27"/>
          <cell r="E27">
            <v>26.738218653043639</v>
          </cell>
          <cell r="F27"/>
          <cell r="G27">
            <v>26.738218653043639</v>
          </cell>
        </row>
        <row r="28">
          <cell r="B28">
            <v>2040</v>
          </cell>
          <cell r="C28">
            <v>0</v>
          </cell>
          <cell r="D28"/>
          <cell r="E28">
            <v>28.064499549230241</v>
          </cell>
          <cell r="F28"/>
          <cell r="G28">
            <v>28.064499549230241</v>
          </cell>
        </row>
        <row r="29">
          <cell r="B29">
            <v>2041</v>
          </cell>
          <cell r="C29">
            <v>0</v>
          </cell>
          <cell r="D29"/>
          <cell r="E29">
            <v>32.72079652166515</v>
          </cell>
          <cell r="F29"/>
          <cell r="G29">
            <v>32.72079652166515</v>
          </cell>
        </row>
        <row r="30">
          <cell r="B30">
            <v>2042</v>
          </cell>
          <cell r="C30">
            <v>0</v>
          </cell>
          <cell r="D30"/>
          <cell r="E30">
            <v>40.410544437372245</v>
          </cell>
          <cell r="F30"/>
          <cell r="G30">
            <v>40.410544437372245</v>
          </cell>
        </row>
        <row r="31">
          <cell r="B31">
            <v>2043</v>
          </cell>
          <cell r="C31">
            <v>0</v>
          </cell>
          <cell r="D31"/>
          <cell r="E31">
            <v>41.813220781841579</v>
          </cell>
          <cell r="F31"/>
          <cell r="G31">
            <v>41.813220781841579</v>
          </cell>
        </row>
        <row r="32">
          <cell r="B32">
            <v>2044</v>
          </cell>
          <cell r="C32">
            <v>0</v>
          </cell>
          <cell r="D32"/>
          <cell r="E32">
            <v>43.216902116283435</v>
          </cell>
          <cell r="F32"/>
          <cell r="G32">
            <v>43.216902116283435</v>
          </cell>
        </row>
        <row r="33">
          <cell r="B33">
            <v>2045</v>
          </cell>
          <cell r="C33">
            <v>0</v>
          </cell>
          <cell r="D33"/>
          <cell r="E33">
            <v>44.15903058241841</v>
          </cell>
          <cell r="F33"/>
          <cell r="G33">
            <v>44.15903058241841</v>
          </cell>
        </row>
        <row r="50">
          <cell r="G50">
            <v>31.497744781347723</v>
          </cell>
        </row>
        <row r="55">
          <cell r="G55">
            <v>31.63647848072468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2"/>
      <sheetName val="Table 1"/>
      <sheetName val="Table 2"/>
      <sheetName val="Table 4"/>
      <sheetName val="Table 5"/>
      <sheetName val="Table3Compare"/>
      <sheetName val="BAT.PX.UTS._.ITC.Li_4hr.2027"/>
      <sheetName val="BAT.PX.WSF.ITC.IronAir100hr2030"/>
      <sheetName val="GSC.PX.BDG._.___.Frame 2030"/>
      <sheetName val="WD_.PX.DJW._.PTC.2028"/>
      <sheetName val="WD_.PX.DJW._.PTC.2029"/>
      <sheetName val="2025 IRP Assumptions"/>
      <sheetName val="Table 3 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21.550799899865304</v>
          </cell>
          <cell r="F13"/>
          <cell r="G13">
            <v>21.550799899865304</v>
          </cell>
        </row>
        <row r="14">
          <cell r="B14">
            <v>2026</v>
          </cell>
          <cell r="C14">
            <v>0</v>
          </cell>
          <cell r="D14"/>
          <cell r="E14">
            <v>20.647965312720938</v>
          </cell>
          <cell r="F14"/>
          <cell r="G14">
            <v>20.647965312720938</v>
          </cell>
        </row>
        <row r="15">
          <cell r="B15">
            <v>2027</v>
          </cell>
          <cell r="C15">
            <v>0</v>
          </cell>
          <cell r="D15"/>
          <cell r="E15">
            <v>22.605025980963109</v>
          </cell>
          <cell r="F15"/>
          <cell r="G15">
            <v>22.605025980963109</v>
          </cell>
        </row>
        <row r="16">
          <cell r="B16">
            <v>2028</v>
          </cell>
          <cell r="C16">
            <v>0</v>
          </cell>
          <cell r="D16"/>
          <cell r="E16">
            <v>25.610755979825655</v>
          </cell>
          <cell r="F16"/>
          <cell r="G16">
            <v>25.610755979825655</v>
          </cell>
        </row>
        <row r="17">
          <cell r="B17">
            <v>2029</v>
          </cell>
          <cell r="C17">
            <v>0</v>
          </cell>
          <cell r="D17"/>
          <cell r="E17">
            <v>29.100644721636929</v>
          </cell>
          <cell r="F17"/>
          <cell r="G17">
            <v>29.100644721636929</v>
          </cell>
        </row>
        <row r="18">
          <cell r="B18">
            <v>2030</v>
          </cell>
          <cell r="C18">
            <v>0</v>
          </cell>
          <cell r="D18"/>
          <cell r="E18">
            <v>25.9827329067299</v>
          </cell>
          <cell r="F18"/>
          <cell r="G18">
            <v>25.9827329067299</v>
          </cell>
        </row>
        <row r="19">
          <cell r="B19">
            <v>2031</v>
          </cell>
          <cell r="C19">
            <v>0</v>
          </cell>
          <cell r="D19"/>
          <cell r="E19">
            <v>24.920194588007408</v>
          </cell>
          <cell r="F19"/>
          <cell r="G19">
            <v>24.920194588007408</v>
          </cell>
        </row>
        <row r="20">
          <cell r="B20">
            <v>2032</v>
          </cell>
          <cell r="C20">
            <v>110.82056892191042</v>
          </cell>
          <cell r="D20"/>
          <cell r="E20">
            <v>-16.280441758652447</v>
          </cell>
          <cell r="F20"/>
          <cell r="G20">
            <v>27.140535917164939</v>
          </cell>
        </row>
        <row r="21">
          <cell r="B21">
            <v>2033</v>
          </cell>
          <cell r="C21">
            <v>113.23645732573235</v>
          </cell>
          <cell r="D21"/>
          <cell r="E21">
            <v>-18.358761677089198</v>
          </cell>
          <cell r="F21"/>
          <cell r="G21">
            <v>26.257276666381102</v>
          </cell>
        </row>
        <row r="22">
          <cell r="B22">
            <v>2034</v>
          </cell>
          <cell r="C22">
            <v>115.70501217985183</v>
          </cell>
          <cell r="D22"/>
          <cell r="E22">
            <v>-19.749846124703616</v>
          </cell>
          <cell r="F22"/>
          <cell r="G22">
            <v>26.019692488575782</v>
          </cell>
        </row>
        <row r="23">
          <cell r="B23">
            <v>2035</v>
          </cell>
          <cell r="C23">
            <v>118.22738141573475</v>
          </cell>
          <cell r="D23"/>
          <cell r="E23">
            <v>-22.78702230128274</v>
          </cell>
          <cell r="F23"/>
          <cell r="G23">
            <v>24.26687951606322</v>
          </cell>
        </row>
        <row r="24">
          <cell r="B24">
            <v>2036</v>
          </cell>
          <cell r="C24">
            <v>120.80473833143708</v>
          </cell>
          <cell r="D24"/>
          <cell r="E24">
            <v>-22.970687658163637</v>
          </cell>
          <cell r="F24"/>
          <cell r="G24">
            <v>25.373148030016814</v>
          </cell>
        </row>
        <row r="25">
          <cell r="B25">
            <v>2037</v>
          </cell>
          <cell r="C25">
            <v>123.43828159160512</v>
          </cell>
          <cell r="D25"/>
          <cell r="E25">
            <v>-26.603814772631257</v>
          </cell>
          <cell r="F25"/>
          <cell r="G25">
            <v>22.987244774540276</v>
          </cell>
        </row>
        <row r="26">
          <cell r="B26">
            <v>2038</v>
          </cell>
          <cell r="C26">
            <v>126.12923616007058</v>
          </cell>
          <cell r="D26"/>
          <cell r="E26">
            <v>-32.847716648334888</v>
          </cell>
          <cell r="F26"/>
          <cell r="G26">
            <v>18.123130400102202</v>
          </cell>
        </row>
        <row r="27">
          <cell r="B27">
            <v>2039</v>
          </cell>
          <cell r="C27">
            <v>128.87885348636954</v>
          </cell>
          <cell r="D27"/>
          <cell r="E27">
            <v>-35.623096420490803</v>
          </cell>
          <cell r="F27"/>
          <cell r="G27">
            <v>16.708549711027747</v>
          </cell>
        </row>
        <row r="28">
          <cell r="B28">
            <v>2040</v>
          </cell>
          <cell r="C28">
            <v>131.68841253159732</v>
          </cell>
          <cell r="D28"/>
          <cell r="E28">
            <v>-38.650090548311418</v>
          </cell>
          <cell r="F28"/>
          <cell r="G28">
            <v>15.02843562293863</v>
          </cell>
        </row>
        <row r="29">
          <cell r="B29">
            <v>2041</v>
          </cell>
          <cell r="C29">
            <v>134.55921986166808</v>
          </cell>
          <cell r="D29"/>
          <cell r="E29">
            <v>-38.119912305088135</v>
          </cell>
          <cell r="F29"/>
          <cell r="G29">
            <v>17.067096166853116</v>
          </cell>
        </row>
        <row r="30">
          <cell r="B30">
            <v>2042</v>
          </cell>
          <cell r="C30">
            <v>137.49261085968848</v>
          </cell>
          <cell r="D30"/>
          <cell r="E30">
            <v>9.908756061494616</v>
          </cell>
          <cell r="F30"/>
          <cell r="G30">
            <v>66.532429451903411</v>
          </cell>
        </row>
        <row r="31">
          <cell r="B31">
            <v>2043</v>
          </cell>
          <cell r="C31">
            <v>140.48994981921717</v>
          </cell>
          <cell r="D31"/>
          <cell r="E31">
            <v>9.3388553699743184</v>
          </cell>
          <cell r="F31"/>
          <cell r="G31">
            <v>67.502199433349688</v>
          </cell>
        </row>
        <row r="32">
          <cell r="B32">
            <v>2044</v>
          </cell>
          <cell r="C32">
            <v>143.55263069034112</v>
          </cell>
          <cell r="D32"/>
          <cell r="E32">
            <v>6.8935430709334238</v>
          </cell>
          <cell r="F32"/>
          <cell r="G32">
            <v>66.676210726429886</v>
          </cell>
        </row>
        <row r="33">
          <cell r="B33">
            <v>2045</v>
          </cell>
          <cell r="C33">
            <v>146.68207810553019</v>
          </cell>
          <cell r="D33"/>
          <cell r="E33">
            <v>7.0438223098797739</v>
          </cell>
          <cell r="F33"/>
          <cell r="G33">
            <v>68.129752147809995</v>
          </cell>
        </row>
        <row r="50">
          <cell r="G50">
            <v>23.930354642715784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3"/>
      <sheetName val="Table 1"/>
      <sheetName val="Table 2"/>
      <sheetName val="Table 4"/>
      <sheetName val="Table 5"/>
      <sheetName val="Table3Compare"/>
      <sheetName val="BAT.PX.UTS._.ITC.Li_4hr.2027"/>
      <sheetName val="BAT.PX.WSF.ITC.IronAir100hr2030"/>
      <sheetName val="GSC.PX.BDG._.___.Frame 2030"/>
      <sheetName val="Table 3 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20.42372122848073</v>
          </cell>
          <cell r="F13"/>
          <cell r="G13">
            <v>20.42372122848073</v>
          </cell>
        </row>
        <row r="14">
          <cell r="B14">
            <v>2026</v>
          </cell>
          <cell r="C14">
            <v>0</v>
          </cell>
          <cell r="D14"/>
          <cell r="E14">
            <v>23.749161907663424</v>
          </cell>
          <cell r="F14"/>
          <cell r="G14">
            <v>23.749161907663424</v>
          </cell>
        </row>
        <row r="15">
          <cell r="B15">
            <v>2027</v>
          </cell>
          <cell r="C15">
            <v>0</v>
          </cell>
          <cell r="D15"/>
          <cell r="E15">
            <v>24.780860656754999</v>
          </cell>
          <cell r="F15"/>
          <cell r="G15">
            <v>24.780860656754999</v>
          </cell>
        </row>
        <row r="16">
          <cell r="B16">
            <v>2028</v>
          </cell>
          <cell r="C16">
            <v>89.189967231151243</v>
          </cell>
          <cell r="D16"/>
          <cell r="E16">
            <v>-21.321114797818456</v>
          </cell>
          <cell r="F16"/>
          <cell r="G16">
            <v>12.297907548957523</v>
          </cell>
        </row>
        <row r="17">
          <cell r="B17">
            <v>2029</v>
          </cell>
          <cell r="C17">
            <v>91.134308538668677</v>
          </cell>
          <cell r="D17"/>
          <cell r="E17">
            <v>-13.96749724861094</v>
          </cell>
          <cell r="F17"/>
          <cell r="G17">
            <v>20.39491296764702</v>
          </cell>
        </row>
        <row r="18">
          <cell r="B18">
            <v>2030</v>
          </cell>
          <cell r="C18">
            <v>93.121036416816807</v>
          </cell>
          <cell r="D18"/>
          <cell r="E18">
            <v>-9.4292976129646142</v>
          </cell>
          <cell r="F18"/>
          <cell r="G18">
            <v>25.62865362675516</v>
          </cell>
        </row>
        <row r="19">
          <cell r="B19">
            <v>2031</v>
          </cell>
          <cell r="C19">
            <v>95.151075007463405</v>
          </cell>
          <cell r="D19"/>
          <cell r="E19">
            <v>-31.014228191522978</v>
          </cell>
          <cell r="F19"/>
          <cell r="G19">
            <v>4.7878792571218369</v>
          </cell>
        </row>
        <row r="20">
          <cell r="B20">
            <v>2032</v>
          </cell>
          <cell r="C20">
            <v>97.225368416231404</v>
          </cell>
          <cell r="D20"/>
          <cell r="E20">
            <v>-36.227844412989342</v>
          </cell>
          <cell r="F20"/>
          <cell r="G20">
            <v>0.36204739952732695</v>
          </cell>
        </row>
        <row r="21">
          <cell r="B21">
            <v>2033</v>
          </cell>
          <cell r="C21">
            <v>99.344881448867056</v>
          </cell>
          <cell r="D21"/>
          <cell r="E21">
            <v>-37.342901763023676</v>
          </cell>
          <cell r="F21"/>
          <cell r="G21">
            <v>0.1038861790707596</v>
          </cell>
        </row>
        <row r="22">
          <cell r="B22">
            <v>2034</v>
          </cell>
          <cell r="C22">
            <v>101.51059993851462</v>
          </cell>
          <cell r="D22"/>
          <cell r="E22">
            <v>-38.512353943176862</v>
          </cell>
          <cell r="F22"/>
          <cell r="G22">
            <v>-0.25882827010392728</v>
          </cell>
        </row>
        <row r="23">
          <cell r="B23">
            <v>2035</v>
          </cell>
          <cell r="C23">
            <v>103.72353099117227</v>
          </cell>
          <cell r="D23"/>
          <cell r="E23">
            <v>-38.81135870802418</v>
          </cell>
          <cell r="F23"/>
          <cell r="G23">
            <v>0.29784811154703283</v>
          </cell>
        </row>
        <row r="24">
          <cell r="B24">
            <v>2036</v>
          </cell>
          <cell r="C24">
            <v>105.98470396751618</v>
          </cell>
          <cell r="D24"/>
          <cell r="E24">
            <v>-30.855774873216998</v>
          </cell>
          <cell r="F24"/>
          <cell r="G24">
            <v>9.0982012778875347</v>
          </cell>
        </row>
        <row r="25">
          <cell r="B25">
            <v>2037</v>
          </cell>
          <cell r="C25">
            <v>108.29517048290059</v>
          </cell>
          <cell r="D25"/>
          <cell r="E25">
            <v>-28.595580291787705</v>
          </cell>
          <cell r="F25"/>
          <cell r="G25">
            <v>12.160331836243436</v>
          </cell>
        </row>
        <row r="26">
          <cell r="B26">
            <v>2038</v>
          </cell>
          <cell r="C26">
            <v>110.65600522554435</v>
          </cell>
          <cell r="D26"/>
          <cell r="E26">
            <v>7.6219435612899709</v>
          </cell>
          <cell r="F26"/>
          <cell r="G26">
            <v>49.331639465255869</v>
          </cell>
        </row>
        <row r="27">
          <cell r="B27">
            <v>2039</v>
          </cell>
          <cell r="C27">
            <v>113.06830612016836</v>
          </cell>
          <cell r="D27"/>
          <cell r="E27">
            <v>10.186867774792265</v>
          </cell>
          <cell r="F27"/>
          <cell r="G27">
            <v>52.806525884032972</v>
          </cell>
        </row>
        <row r="28">
          <cell r="B28">
            <v>2040</v>
          </cell>
          <cell r="C28">
            <v>115.53319522800095</v>
          </cell>
          <cell r="D28"/>
          <cell r="E28">
            <v>10.235210862490318</v>
          </cell>
          <cell r="F28"/>
          <cell r="G28">
            <v>53.773048806738721</v>
          </cell>
        </row>
        <row r="29">
          <cell r="B29">
            <v>2041</v>
          </cell>
          <cell r="C29">
            <v>118.0518188285965</v>
          </cell>
          <cell r="D29"/>
          <cell r="E29">
            <v>12.685276709185255</v>
          </cell>
          <cell r="F29"/>
          <cell r="G29">
            <v>57.129100226443335</v>
          </cell>
        </row>
        <row r="30">
          <cell r="B30">
            <v>2042</v>
          </cell>
          <cell r="C30">
            <v>120.62534848347812</v>
          </cell>
          <cell r="D30"/>
          <cell r="E30">
            <v>19.300370738364279</v>
          </cell>
          <cell r="F30"/>
          <cell r="G30">
            <v>64.687579312696883</v>
          </cell>
        </row>
        <row r="31">
          <cell r="B31">
            <v>2043</v>
          </cell>
          <cell r="C31">
            <v>123.25498111795635</v>
          </cell>
          <cell r="D31"/>
          <cell r="E31">
            <v>19.981519740856179</v>
          </cell>
          <cell r="F31"/>
          <cell r="G31">
            <v>66.367421876526549</v>
          </cell>
        </row>
        <row r="32">
          <cell r="B32">
            <v>2044</v>
          </cell>
          <cell r="C32">
            <v>125.94193967567853</v>
          </cell>
          <cell r="D32"/>
          <cell r="E32">
            <v>20.598927174466414</v>
          </cell>
          <cell r="F32"/>
          <cell r="G32">
            <v>68.070368012415102</v>
          </cell>
        </row>
        <row r="33">
          <cell r="B33">
            <v>2045</v>
          </cell>
          <cell r="C33">
            <v>128.68747401863411</v>
          </cell>
          <cell r="D33"/>
          <cell r="E33">
            <v>21.047983786869782</v>
          </cell>
          <cell r="F33"/>
          <cell r="G33">
            <v>69.554302056957482</v>
          </cell>
        </row>
        <row r="50">
          <cell r="G50">
            <v>16.656726706658418</v>
          </cell>
        </row>
        <row r="55">
          <cell r="G55">
            <v>17.809020135337732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1"/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29.249964710080672</v>
          </cell>
          <cell r="F13"/>
          <cell r="G13">
            <v>29.249964710080672</v>
          </cell>
        </row>
        <row r="14">
          <cell r="B14">
            <v>2026</v>
          </cell>
          <cell r="C14">
            <v>0</v>
          </cell>
          <cell r="D14"/>
          <cell r="E14">
            <v>29.599085968869868</v>
          </cell>
          <cell r="F14"/>
          <cell r="G14">
            <v>29.599085968869868</v>
          </cell>
        </row>
        <row r="15">
          <cell r="B15">
            <v>2027</v>
          </cell>
          <cell r="C15">
            <v>0</v>
          </cell>
          <cell r="D15"/>
          <cell r="E15">
            <v>28.307460946968099</v>
          </cell>
          <cell r="F15"/>
          <cell r="G15">
            <v>28.307460946968099</v>
          </cell>
        </row>
        <row r="16">
          <cell r="B16">
            <v>2028</v>
          </cell>
          <cell r="C16">
            <v>0</v>
          </cell>
          <cell r="D16"/>
          <cell r="E16">
            <v>33.822604017533571</v>
          </cell>
          <cell r="F16"/>
          <cell r="G16">
            <v>33.822604017533571</v>
          </cell>
        </row>
        <row r="17">
          <cell r="B17">
            <v>2029</v>
          </cell>
          <cell r="C17">
            <v>0</v>
          </cell>
          <cell r="D17"/>
          <cell r="E17">
            <v>38.901852011534586</v>
          </cell>
          <cell r="F17"/>
          <cell r="G17">
            <v>38.901852011534586</v>
          </cell>
        </row>
        <row r="18">
          <cell r="B18">
            <v>2030</v>
          </cell>
          <cell r="C18">
            <v>0</v>
          </cell>
          <cell r="D18"/>
          <cell r="E18">
            <v>36.026635507539211</v>
          </cell>
          <cell r="F18"/>
          <cell r="G18">
            <v>36.026635507539211</v>
          </cell>
        </row>
        <row r="19">
          <cell r="B19">
            <v>2031</v>
          </cell>
          <cell r="C19">
            <v>0</v>
          </cell>
          <cell r="D19"/>
          <cell r="E19">
            <v>36.901500109791989</v>
          </cell>
          <cell r="F19"/>
          <cell r="G19">
            <v>36.901500109791989</v>
          </cell>
        </row>
        <row r="20">
          <cell r="B20">
            <v>2032</v>
          </cell>
          <cell r="C20">
            <v>0</v>
          </cell>
          <cell r="D20"/>
          <cell r="E20">
            <v>32.862978897402343</v>
          </cell>
          <cell r="F20"/>
          <cell r="G20">
            <v>32.862978897402343</v>
          </cell>
        </row>
        <row r="21">
          <cell r="B21">
            <v>2033</v>
          </cell>
          <cell r="C21">
            <v>0</v>
          </cell>
          <cell r="D21"/>
          <cell r="E21">
            <v>31.298849468642072</v>
          </cell>
          <cell r="F21"/>
          <cell r="G21">
            <v>31.298849468642072</v>
          </cell>
        </row>
        <row r="22">
          <cell r="B22">
            <v>2034</v>
          </cell>
          <cell r="C22">
            <v>0</v>
          </cell>
          <cell r="D22"/>
          <cell r="E22">
            <v>31.226711407526786</v>
          </cell>
          <cell r="F22"/>
          <cell r="G22">
            <v>31.226711407526786</v>
          </cell>
        </row>
        <row r="23">
          <cell r="B23">
            <v>2035</v>
          </cell>
          <cell r="C23">
            <v>0</v>
          </cell>
          <cell r="D23"/>
          <cell r="E23">
            <v>32.189249794702775</v>
          </cell>
          <cell r="F23"/>
          <cell r="G23">
            <v>32.189249794702775</v>
          </cell>
        </row>
        <row r="24">
          <cell r="B24">
            <v>2036</v>
          </cell>
          <cell r="C24">
            <v>0</v>
          </cell>
          <cell r="D24"/>
          <cell r="E24">
            <v>18.617617259982023</v>
          </cell>
          <cell r="F24"/>
          <cell r="G24">
            <v>18.617617259982023</v>
          </cell>
        </row>
        <row r="25">
          <cell r="B25">
            <v>2037</v>
          </cell>
          <cell r="C25">
            <v>0</v>
          </cell>
          <cell r="D25"/>
          <cell r="E25">
            <v>21.994568596351431</v>
          </cell>
          <cell r="F25"/>
          <cell r="G25">
            <v>21.994568596351431</v>
          </cell>
        </row>
        <row r="26">
          <cell r="B26">
            <v>2038</v>
          </cell>
          <cell r="C26">
            <v>0</v>
          </cell>
          <cell r="D26"/>
          <cell r="E26">
            <v>24.684639357335303</v>
          </cell>
          <cell r="F26"/>
          <cell r="G26">
            <v>24.684639357335303</v>
          </cell>
        </row>
        <row r="27">
          <cell r="B27">
            <v>2039</v>
          </cell>
          <cell r="C27">
            <v>0</v>
          </cell>
          <cell r="D27"/>
          <cell r="E27">
            <v>26.442595434285685</v>
          </cell>
          <cell r="F27"/>
          <cell r="G27">
            <v>26.442595434285685</v>
          </cell>
        </row>
        <row r="28">
          <cell r="B28">
            <v>2040</v>
          </cell>
          <cell r="C28">
            <v>0</v>
          </cell>
          <cell r="D28"/>
          <cell r="E28">
            <v>28.143480903514813</v>
          </cell>
          <cell r="F28"/>
          <cell r="G28">
            <v>28.143480903514813</v>
          </cell>
        </row>
        <row r="29">
          <cell r="B29">
            <v>2041</v>
          </cell>
          <cell r="C29">
            <v>0</v>
          </cell>
          <cell r="D29"/>
          <cell r="E29">
            <v>32.318272907301818</v>
          </cell>
          <cell r="F29"/>
          <cell r="G29">
            <v>32.318272907301818</v>
          </cell>
        </row>
        <row r="30">
          <cell r="B30">
            <v>2042</v>
          </cell>
          <cell r="C30">
            <v>0</v>
          </cell>
          <cell r="D30"/>
          <cell r="E30">
            <v>39.904194811691788</v>
          </cell>
          <cell r="F30"/>
          <cell r="G30">
            <v>39.904194811691788</v>
          </cell>
        </row>
        <row r="31">
          <cell r="B31">
            <v>2043</v>
          </cell>
          <cell r="C31">
            <v>0</v>
          </cell>
          <cell r="D31"/>
          <cell r="E31">
            <v>41.464231628750873</v>
          </cell>
          <cell r="F31"/>
          <cell r="G31">
            <v>41.464231628750873</v>
          </cell>
        </row>
        <row r="32">
          <cell r="B32">
            <v>2044</v>
          </cell>
          <cell r="C32">
            <v>0</v>
          </cell>
          <cell r="D32"/>
          <cell r="E32">
            <v>42.377864003600841</v>
          </cell>
          <cell r="F32"/>
          <cell r="G32">
            <v>42.377864003600841</v>
          </cell>
        </row>
        <row r="33">
          <cell r="B33">
            <v>2045</v>
          </cell>
          <cell r="C33">
            <v>0</v>
          </cell>
          <cell r="D33"/>
          <cell r="E33">
            <v>43.301701438879348</v>
          </cell>
          <cell r="F33"/>
          <cell r="G33">
            <v>43.301701438879348</v>
          </cell>
        </row>
        <row r="50">
          <cell r="G50">
            <v>30.714239424333982</v>
          </cell>
        </row>
        <row r="55">
          <cell r="G55">
            <v>30.767297780981139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2"/>
      <sheetName val="Table 1"/>
      <sheetName val="Table 2"/>
      <sheetName val="Table 4"/>
      <sheetName val="Table 5"/>
      <sheetName val="Table3Compare"/>
      <sheetName val="BAT.PX.UTS._.ITC.Li_4hr.2027"/>
      <sheetName val="BAT.PX.WSF.ITC.IronAir100hr2030"/>
      <sheetName val="GSC.PX.BDG._.___.Frame 2030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22.350193108767492</v>
          </cell>
          <cell r="F13"/>
          <cell r="G13">
            <v>22.350193108767492</v>
          </cell>
        </row>
        <row r="14">
          <cell r="B14">
            <v>2026</v>
          </cell>
          <cell r="C14">
            <v>0</v>
          </cell>
          <cell r="D14"/>
          <cell r="E14">
            <v>18.805022610472928</v>
          </cell>
          <cell r="F14"/>
          <cell r="G14">
            <v>18.805022610472928</v>
          </cell>
        </row>
        <row r="15">
          <cell r="B15">
            <v>2027</v>
          </cell>
          <cell r="C15">
            <v>0</v>
          </cell>
          <cell r="D15"/>
          <cell r="E15">
            <v>20.277380739824139</v>
          </cell>
          <cell r="F15"/>
          <cell r="G15">
            <v>20.277380739824139</v>
          </cell>
        </row>
        <row r="16">
          <cell r="B16">
            <v>2028</v>
          </cell>
          <cell r="C16">
            <v>0</v>
          </cell>
          <cell r="D16"/>
          <cell r="E16">
            <v>25.257324275670271</v>
          </cell>
          <cell r="F16"/>
          <cell r="G16">
            <v>25.257324275670271</v>
          </cell>
        </row>
        <row r="17">
          <cell r="B17">
            <v>2029</v>
          </cell>
          <cell r="C17">
            <v>0</v>
          </cell>
          <cell r="D17"/>
          <cell r="E17">
            <v>29.517810325172533</v>
          </cell>
          <cell r="F17"/>
          <cell r="G17">
            <v>29.517810325172533</v>
          </cell>
        </row>
        <row r="18">
          <cell r="B18">
            <v>2030</v>
          </cell>
          <cell r="C18">
            <v>0</v>
          </cell>
          <cell r="D18"/>
          <cell r="E18">
            <v>26.092167271460013</v>
          </cell>
          <cell r="F18"/>
          <cell r="G18">
            <v>26.092167271460013</v>
          </cell>
        </row>
        <row r="19">
          <cell r="B19">
            <v>2031</v>
          </cell>
          <cell r="C19">
            <v>0</v>
          </cell>
          <cell r="D19"/>
          <cell r="E19">
            <v>24.906961494461218</v>
          </cell>
          <cell r="F19"/>
          <cell r="G19">
            <v>24.906961494461218</v>
          </cell>
        </row>
        <row r="20">
          <cell r="B20">
            <v>2032</v>
          </cell>
          <cell r="C20">
            <v>110.82056892191042</v>
          </cell>
          <cell r="D20"/>
          <cell r="E20">
            <v>-16.62257142300879</v>
          </cell>
          <cell r="F20"/>
          <cell r="G20">
            <v>26.798406252808597</v>
          </cell>
        </row>
        <row r="21">
          <cell r="B21">
            <v>2033</v>
          </cell>
          <cell r="C21">
            <v>113.23645732573235</v>
          </cell>
          <cell r="D21"/>
          <cell r="E21">
            <v>-18.700369539453678</v>
          </cell>
          <cell r="F21"/>
          <cell r="G21">
            <v>25.915668804016615</v>
          </cell>
        </row>
        <row r="22">
          <cell r="B22">
            <v>2034</v>
          </cell>
          <cell r="C22">
            <v>115.70501217985183</v>
          </cell>
          <cell r="D22"/>
          <cell r="E22">
            <v>-19.588470826476502</v>
          </cell>
          <cell r="F22"/>
          <cell r="G22">
            <v>26.181067786802881</v>
          </cell>
        </row>
        <row r="23">
          <cell r="B23">
            <v>2035</v>
          </cell>
          <cell r="C23">
            <v>118.22738141573475</v>
          </cell>
          <cell r="D23"/>
          <cell r="E23">
            <v>-22.624916418574088</v>
          </cell>
          <cell r="F23"/>
          <cell r="G23">
            <v>24.428985398771871</v>
          </cell>
        </row>
        <row r="24">
          <cell r="B24">
            <v>2036</v>
          </cell>
          <cell r="C24">
            <v>120.80473833143708</v>
          </cell>
          <cell r="D24"/>
          <cell r="E24">
            <v>-23.100181944061951</v>
          </cell>
          <cell r="F24"/>
          <cell r="G24">
            <v>25.243653744118504</v>
          </cell>
        </row>
        <row r="25">
          <cell r="B25">
            <v>2037</v>
          </cell>
          <cell r="C25">
            <v>123.43828159160512</v>
          </cell>
          <cell r="D25"/>
          <cell r="E25">
            <v>-26.680235827805525</v>
          </cell>
          <cell r="F25"/>
          <cell r="G25">
            <v>22.910823719366007</v>
          </cell>
        </row>
        <row r="26">
          <cell r="B26">
            <v>2038</v>
          </cell>
          <cell r="C26">
            <v>126.12923616007058</v>
          </cell>
          <cell r="D26"/>
          <cell r="E26">
            <v>-33.074865980398364</v>
          </cell>
          <cell r="F26"/>
          <cell r="G26">
            <v>17.895981068038733</v>
          </cell>
        </row>
        <row r="27">
          <cell r="B27">
            <v>2039</v>
          </cell>
          <cell r="C27">
            <v>128.87885348636954</v>
          </cell>
          <cell r="D27"/>
          <cell r="E27">
            <v>-35.572884351942264</v>
          </cell>
          <cell r="F27"/>
          <cell r="G27">
            <v>16.75876177957629</v>
          </cell>
        </row>
        <row r="28">
          <cell r="B28">
            <v>2040</v>
          </cell>
          <cell r="C28">
            <v>131.68841253159732</v>
          </cell>
          <cell r="D28"/>
          <cell r="E28">
            <v>-38.321308248539665</v>
          </cell>
          <cell r="F28"/>
          <cell r="G28">
            <v>15.357217922710381</v>
          </cell>
        </row>
        <row r="29">
          <cell r="B29">
            <v>2041</v>
          </cell>
          <cell r="C29">
            <v>134.55921986166808</v>
          </cell>
          <cell r="D29"/>
          <cell r="E29">
            <v>-37.813192215229108</v>
          </cell>
          <cell r="F29"/>
          <cell r="G29">
            <v>17.373816256712139</v>
          </cell>
        </row>
        <row r="30">
          <cell r="B30">
            <v>2042</v>
          </cell>
          <cell r="C30">
            <v>137.49261085968848</v>
          </cell>
          <cell r="D30"/>
          <cell r="E30">
            <v>9.8668025391703704</v>
          </cell>
          <cell r="F30"/>
          <cell r="G30">
            <v>66.490475929579176</v>
          </cell>
        </row>
        <row r="31">
          <cell r="B31">
            <v>2043</v>
          </cell>
          <cell r="C31">
            <v>140.48994981921717</v>
          </cell>
          <cell r="D31"/>
          <cell r="E31">
            <v>8.7786895165869048</v>
          </cell>
          <cell r="F31"/>
          <cell r="G31">
            <v>66.942033579962271</v>
          </cell>
        </row>
        <row r="32">
          <cell r="B32">
            <v>2044</v>
          </cell>
          <cell r="C32">
            <v>143.55263069034112</v>
          </cell>
          <cell r="D32"/>
          <cell r="E32">
            <v>7.5547435766890976</v>
          </cell>
          <cell r="F32"/>
          <cell r="G32">
            <v>67.337411232185559</v>
          </cell>
        </row>
        <row r="33">
          <cell r="B33">
            <v>2045</v>
          </cell>
          <cell r="C33">
            <v>146.68207810553019</v>
          </cell>
          <cell r="D33"/>
          <cell r="E33">
            <v>7.7194369866609209</v>
          </cell>
          <cell r="F33"/>
          <cell r="G33">
            <v>68.805366824591147</v>
          </cell>
        </row>
        <row r="50">
          <cell r="G50">
            <v>23.594155413121335</v>
          </cell>
        </row>
        <row r="55">
          <cell r="G55">
            <v>23.406850785686593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3"/>
      <sheetName val="Table 1"/>
      <sheetName val="Table 2"/>
      <sheetName val="Table 4"/>
      <sheetName val="Table 5"/>
      <sheetName val="Table3Compare"/>
      <sheetName val="BAT.PX.UTS._.ITC.Li_4hr.2027"/>
      <sheetName val="BAT.PX.WSF.ITC.IronAir100hr2030"/>
      <sheetName val="GSC.PX.BDG._.___.Frame 2030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21.154885640082693</v>
          </cell>
          <cell r="F13"/>
          <cell r="G13">
            <v>21.154885640082693</v>
          </cell>
        </row>
        <row r="14">
          <cell r="B14">
            <v>2026</v>
          </cell>
          <cell r="C14">
            <v>0</v>
          </cell>
          <cell r="D14"/>
          <cell r="E14">
            <v>21.545523249108886</v>
          </cell>
          <cell r="F14"/>
          <cell r="G14">
            <v>21.545523249108886</v>
          </cell>
        </row>
        <row r="15">
          <cell r="B15">
            <v>2027</v>
          </cell>
          <cell r="C15">
            <v>0</v>
          </cell>
          <cell r="D15"/>
          <cell r="E15">
            <v>22.427784831136986</v>
          </cell>
          <cell r="F15"/>
          <cell r="G15">
            <v>22.427784831136986</v>
          </cell>
        </row>
        <row r="16">
          <cell r="B16">
            <v>2028</v>
          </cell>
          <cell r="C16">
            <v>89.189967231151243</v>
          </cell>
          <cell r="D16"/>
          <cell r="E16">
            <v>-21.846334811023517</v>
          </cell>
          <cell r="F16"/>
          <cell r="G16">
            <v>11.772687535752466</v>
          </cell>
        </row>
        <row r="17">
          <cell r="B17">
            <v>2029</v>
          </cell>
          <cell r="C17">
            <v>91.134308538668677</v>
          </cell>
          <cell r="D17"/>
          <cell r="E17">
            <v>-14.0844636290689</v>
          </cell>
          <cell r="F17"/>
          <cell r="G17">
            <v>20.277946587189057</v>
          </cell>
        </row>
        <row r="18">
          <cell r="B18">
            <v>2030</v>
          </cell>
          <cell r="C18">
            <v>93.121036416816807</v>
          </cell>
          <cell r="D18"/>
          <cell r="E18">
            <v>-9.4349646863498595</v>
          </cell>
          <cell r="F18"/>
          <cell r="G18">
            <v>25.62298655336992</v>
          </cell>
        </row>
        <row r="19">
          <cell r="B19">
            <v>2031</v>
          </cell>
          <cell r="C19">
            <v>95.151075007463405</v>
          </cell>
          <cell r="D19"/>
          <cell r="E19">
            <v>-30.862533798306298</v>
          </cell>
          <cell r="F19"/>
          <cell r="G19">
            <v>4.9395736503385121</v>
          </cell>
        </row>
        <row r="20">
          <cell r="B20">
            <v>2032</v>
          </cell>
          <cell r="C20">
            <v>97.225368416231404</v>
          </cell>
          <cell r="D20"/>
          <cell r="E20">
            <v>-36.572312167997147</v>
          </cell>
          <cell r="F20"/>
          <cell r="G20">
            <v>1.7579644519524651E-2</v>
          </cell>
        </row>
        <row r="21">
          <cell r="B21">
            <v>2033</v>
          </cell>
          <cell r="C21">
            <v>99.344881448867056</v>
          </cell>
          <cell r="D21"/>
          <cell r="E21">
            <v>-37.678040679213801</v>
          </cell>
          <cell r="F21"/>
          <cell r="G21">
            <v>-0.23125273711936636</v>
          </cell>
        </row>
        <row r="22">
          <cell r="B22">
            <v>2034</v>
          </cell>
          <cell r="C22">
            <v>101.51059993851462</v>
          </cell>
          <cell r="D22"/>
          <cell r="E22">
            <v>-38.635796368957358</v>
          </cell>
          <cell r="F22"/>
          <cell r="G22">
            <v>-0.38227069588443002</v>
          </cell>
        </row>
        <row r="23">
          <cell r="B23">
            <v>2035</v>
          </cell>
          <cell r="C23">
            <v>103.72353099117227</v>
          </cell>
          <cell r="D23"/>
          <cell r="E23">
            <v>-38.507249246341331</v>
          </cell>
          <cell r="F23"/>
          <cell r="G23">
            <v>0.60195757322987842</v>
          </cell>
        </row>
        <row r="24">
          <cell r="B24">
            <v>2036</v>
          </cell>
          <cell r="C24">
            <v>105.98470396751618</v>
          </cell>
          <cell r="D24"/>
          <cell r="E24">
            <v>-30.763298196711318</v>
          </cell>
          <cell r="F24"/>
          <cell r="G24">
            <v>9.1906779543932142</v>
          </cell>
        </row>
        <row r="25">
          <cell r="B25">
            <v>2037</v>
          </cell>
          <cell r="C25">
            <v>108.29517048290059</v>
          </cell>
          <cell r="D25"/>
          <cell r="E25">
            <v>-28.635250834374286</v>
          </cell>
          <cell r="F25"/>
          <cell r="G25">
            <v>12.12066129365685</v>
          </cell>
        </row>
        <row r="26">
          <cell r="B26">
            <v>2038</v>
          </cell>
          <cell r="C26">
            <v>110.65600522554435</v>
          </cell>
          <cell r="D26"/>
          <cell r="E26">
            <v>7.6073615756468556</v>
          </cell>
          <cell r="F26"/>
          <cell r="G26">
            <v>49.317057479612757</v>
          </cell>
        </row>
        <row r="27">
          <cell r="B27">
            <v>2039</v>
          </cell>
          <cell r="C27">
            <v>113.06830612016836</v>
          </cell>
          <cell r="D27"/>
          <cell r="E27">
            <v>9.4620738944147806</v>
          </cell>
          <cell r="F27"/>
          <cell r="G27">
            <v>52.081732003655489</v>
          </cell>
        </row>
        <row r="28">
          <cell r="B28">
            <v>2040</v>
          </cell>
          <cell r="C28">
            <v>115.53319522800095</v>
          </cell>
          <cell r="D28"/>
          <cell r="E28">
            <v>10.509141261321737</v>
          </cell>
          <cell r="F28"/>
          <cell r="G28">
            <v>54.046979205570146</v>
          </cell>
        </row>
        <row r="29">
          <cell r="B29">
            <v>2041</v>
          </cell>
          <cell r="C29">
            <v>118.0518188285965</v>
          </cell>
          <cell r="D29"/>
          <cell r="E29">
            <v>13.070111512817622</v>
          </cell>
          <cell r="F29"/>
          <cell r="G29">
            <v>57.513935030075714</v>
          </cell>
        </row>
        <row r="30">
          <cell r="B30">
            <v>2042</v>
          </cell>
          <cell r="C30">
            <v>120.62534848347812</v>
          </cell>
          <cell r="D30"/>
          <cell r="E30">
            <v>19.228652011733924</v>
          </cell>
          <cell r="F30"/>
          <cell r="G30">
            <v>64.615860586066532</v>
          </cell>
        </row>
        <row r="31">
          <cell r="B31">
            <v>2043</v>
          </cell>
          <cell r="C31">
            <v>123.25498111795635</v>
          </cell>
          <cell r="D31"/>
          <cell r="E31">
            <v>19.414727777975919</v>
          </cell>
          <cell r="F31"/>
          <cell r="G31">
            <v>65.800629913646304</v>
          </cell>
        </row>
        <row r="32">
          <cell r="B32">
            <v>2044</v>
          </cell>
          <cell r="C32">
            <v>125.94193967567853</v>
          </cell>
          <cell r="D32"/>
          <cell r="E32">
            <v>20.379676531252841</v>
          </cell>
          <cell r="F32"/>
          <cell r="G32">
            <v>67.851117369201532</v>
          </cell>
        </row>
        <row r="33">
          <cell r="B33">
            <v>2045</v>
          </cell>
          <cell r="C33">
            <v>128.68747401863411</v>
          </cell>
          <cell r="D33"/>
          <cell r="E33">
            <v>20.823953479634152</v>
          </cell>
          <cell r="F33"/>
          <cell r="G33">
            <v>69.330271749721845</v>
          </cell>
        </row>
        <row r="50">
          <cell r="G50">
            <v>16.213279726653216</v>
          </cell>
        </row>
        <row r="55">
          <cell r="G55">
            <v>17.272508062316859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1"/>
      <sheetName val="Table 2"/>
      <sheetName val="Table 4"/>
      <sheetName val="Table 5"/>
      <sheetName val="Table3Compare"/>
      <sheetName val="BAT.PX.UTS._.ITC.Li_4hr.2027"/>
      <sheetName val="BAT.PX.WSF.ITC.IronAir100hr2030"/>
      <sheetName val="GSC.PX.BDG._.___.Frame 2030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55">
          <cell r="G55">
            <v>23.839198525162789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9AD8B-64F6-4016-B082-85C989C02738}">
  <sheetPr>
    <pageSetUpPr fitToPage="1"/>
  </sheetPr>
  <dimension ref="A1:V46"/>
  <sheetViews>
    <sheetView showGridLines="0" tabSelected="1" view="pageBreakPreview" zoomScale="80" zoomScaleNormal="90" zoomScaleSheetLayoutView="80" workbookViewId="0">
      <selection activeCell="B1" sqref="B1"/>
    </sheetView>
  </sheetViews>
  <sheetFormatPr defaultColWidth="9.33203125" defaultRowHeight="12.75"/>
  <cols>
    <col min="1" max="1" width="14" style="43" customWidth="1"/>
    <col min="2" max="2" width="17.33203125" style="43" customWidth="1"/>
    <col min="3" max="3" width="13.6640625" style="43" customWidth="1"/>
    <col min="4" max="4" width="15.83203125" style="43" customWidth="1"/>
    <col min="5" max="5" width="13.83203125" style="43" customWidth="1"/>
    <col min="6" max="6" width="13.6640625" style="43" customWidth="1"/>
    <col min="7" max="7" width="15.33203125" style="43" customWidth="1"/>
    <col min="8" max="8" width="16.33203125" style="43" customWidth="1"/>
    <col min="9" max="9" width="13.6640625" style="43" customWidth="1"/>
    <col min="10" max="10" width="16.33203125" style="43" customWidth="1"/>
    <col min="11" max="12" width="13.6640625" style="43" customWidth="1"/>
    <col min="13" max="13" width="16" style="43" customWidth="1"/>
    <col min="14" max="15" width="13.6640625" style="43" customWidth="1"/>
    <col min="16" max="16" width="16" style="43" customWidth="1"/>
    <col min="17" max="17" width="13.6640625" style="43" customWidth="1"/>
    <col min="18" max="18" width="9.33203125" style="43" customWidth="1"/>
    <col min="19" max="20" width="27.5" style="43" customWidth="1"/>
    <col min="21" max="21" width="35.1640625" style="43" customWidth="1"/>
    <col min="22" max="22" width="28.6640625" style="43" customWidth="1"/>
    <col min="23" max="16384" width="9.33203125" style="43"/>
  </cols>
  <sheetData>
    <row r="1" spans="2:22" ht="15.75">
      <c r="B1" s="366" t="s">
        <v>366</v>
      </c>
      <c r="C1" s="367"/>
      <c r="D1" s="367"/>
      <c r="E1" s="367"/>
      <c r="F1" s="367"/>
      <c r="G1" s="367"/>
      <c r="H1" s="367"/>
      <c r="I1" s="367"/>
      <c r="J1" s="367"/>
      <c r="K1" s="367"/>
      <c r="L1" s="368"/>
      <c r="M1" s="368"/>
      <c r="N1" s="368"/>
      <c r="O1" s="368"/>
      <c r="P1" s="368"/>
      <c r="Q1" s="368"/>
    </row>
    <row r="2" spans="2:22" ht="9" customHeight="1">
      <c r="B2" s="366"/>
      <c r="C2" s="367"/>
      <c r="D2" s="367"/>
      <c r="E2" s="367"/>
      <c r="F2" s="367"/>
      <c r="G2" s="367"/>
      <c r="H2" s="367"/>
      <c r="I2" s="367"/>
      <c r="J2" s="367"/>
      <c r="K2" s="367"/>
      <c r="L2" s="368"/>
      <c r="M2" s="368"/>
      <c r="N2" s="368"/>
      <c r="O2" s="368"/>
      <c r="P2" s="368"/>
      <c r="Q2" s="368"/>
    </row>
    <row r="3" spans="2:22" ht="15.75">
      <c r="B3" s="369" t="s">
        <v>348</v>
      </c>
      <c r="C3" s="369"/>
      <c r="D3" s="369"/>
      <c r="E3" s="369"/>
      <c r="F3" s="369"/>
      <c r="G3" s="369"/>
      <c r="H3" s="369"/>
      <c r="I3" s="369"/>
      <c r="J3" s="369"/>
      <c r="K3" s="369"/>
      <c r="L3" s="366"/>
      <c r="M3" s="366"/>
      <c r="N3" s="366"/>
      <c r="O3" s="366"/>
      <c r="P3" s="366"/>
      <c r="Q3" s="366"/>
    </row>
    <row r="4" spans="2:22" ht="15.75">
      <c r="B4" s="4" t="s">
        <v>349</v>
      </c>
      <c r="C4" s="369"/>
      <c r="D4" s="369"/>
      <c r="E4" s="369"/>
      <c r="F4" s="369"/>
      <c r="G4" s="369"/>
      <c r="H4" s="369"/>
      <c r="I4" s="369"/>
      <c r="J4" s="369"/>
      <c r="K4" s="369"/>
      <c r="L4" s="366"/>
      <c r="M4" s="366"/>
      <c r="N4" s="366"/>
      <c r="O4" s="366"/>
      <c r="P4" s="366"/>
      <c r="Q4" s="366"/>
    </row>
    <row r="5" spans="2:22" ht="16.5" customHeight="1">
      <c r="C5" s="370" t="s">
        <v>350</v>
      </c>
      <c r="D5" s="371" t="s">
        <v>351</v>
      </c>
      <c r="E5" s="372" t="s">
        <v>352</v>
      </c>
      <c r="F5" s="370" t="s">
        <v>350</v>
      </c>
      <c r="G5" s="371" t="s">
        <v>351</v>
      </c>
      <c r="H5" s="372" t="s">
        <v>352</v>
      </c>
      <c r="I5" s="370" t="s">
        <v>350</v>
      </c>
      <c r="J5" s="371" t="s">
        <v>351</v>
      </c>
      <c r="K5" s="372" t="s">
        <v>352</v>
      </c>
      <c r="L5" s="370" t="s">
        <v>350</v>
      </c>
      <c r="M5" s="371" t="s">
        <v>351</v>
      </c>
      <c r="N5" s="372" t="s">
        <v>352</v>
      </c>
      <c r="O5" s="370" t="s">
        <v>350</v>
      </c>
      <c r="P5" s="371" t="s">
        <v>351</v>
      </c>
      <c r="Q5" s="372" t="s">
        <v>352</v>
      </c>
      <c r="S5" s="373"/>
      <c r="T5" s="373"/>
      <c r="V5" s="373"/>
    </row>
    <row r="6" spans="2:22">
      <c r="B6" s="374" t="s">
        <v>0</v>
      </c>
      <c r="C6" s="375" t="s">
        <v>353</v>
      </c>
      <c r="D6" s="376" t="str">
        <f>C6</f>
        <v>UT 2025.Q2</v>
      </c>
      <c r="E6" s="377" t="str">
        <f>C6</f>
        <v>UT 2025.Q2</v>
      </c>
      <c r="F6" s="375" t="s">
        <v>353</v>
      </c>
      <c r="G6" s="376" t="str">
        <f>F6</f>
        <v>UT 2025.Q2</v>
      </c>
      <c r="H6" s="377" t="str">
        <f>F6</f>
        <v>UT 2025.Q2</v>
      </c>
      <c r="I6" s="375" t="s">
        <v>354</v>
      </c>
      <c r="J6" s="376" t="str">
        <f>I6</f>
        <v>UT 2025.Q1</v>
      </c>
      <c r="K6" s="377" t="str">
        <f>J6</f>
        <v>UT 2025.Q1</v>
      </c>
      <c r="L6" s="378"/>
      <c r="M6" s="379"/>
      <c r="N6" s="380"/>
      <c r="O6" s="378"/>
      <c r="P6" s="379"/>
      <c r="Q6" s="380"/>
      <c r="R6" s="381"/>
    </row>
    <row r="7" spans="2:22">
      <c r="B7" s="374"/>
      <c r="C7" s="382" t="s">
        <v>355</v>
      </c>
      <c r="D7" s="383" t="s">
        <v>356</v>
      </c>
      <c r="E7" s="384" t="s">
        <v>357</v>
      </c>
      <c r="F7" s="382" t="s">
        <v>355</v>
      </c>
      <c r="G7" s="383" t="s">
        <v>356</v>
      </c>
      <c r="H7" s="384" t="s">
        <v>357</v>
      </c>
      <c r="I7" s="382" t="s">
        <v>355</v>
      </c>
      <c r="J7" s="383" t="s">
        <v>356</v>
      </c>
      <c r="K7" s="384" t="s">
        <v>357</v>
      </c>
      <c r="L7" s="385" t="s">
        <v>358</v>
      </c>
      <c r="M7" s="386" t="s">
        <v>358</v>
      </c>
      <c r="N7" s="387" t="s">
        <v>358</v>
      </c>
      <c r="O7" s="385" t="s">
        <v>358</v>
      </c>
      <c r="P7" s="386" t="s">
        <v>358</v>
      </c>
      <c r="Q7" s="387" t="s">
        <v>358</v>
      </c>
    </row>
    <row r="8" spans="2:22" ht="23.25" customHeight="1">
      <c r="B8" s="388"/>
      <c r="C8" s="410" t="s">
        <v>359</v>
      </c>
      <c r="D8" s="411"/>
      <c r="E8" s="412"/>
      <c r="F8" s="413" t="s">
        <v>360</v>
      </c>
      <c r="G8" s="414"/>
      <c r="H8" s="415"/>
      <c r="I8" s="410" t="s">
        <v>361</v>
      </c>
      <c r="J8" s="411"/>
      <c r="K8" s="412"/>
      <c r="L8" s="410" t="s">
        <v>359</v>
      </c>
      <c r="M8" s="411"/>
      <c r="N8" s="412"/>
      <c r="O8" s="413" t="s">
        <v>360</v>
      </c>
      <c r="P8" s="414"/>
      <c r="Q8" s="415"/>
      <c r="R8" s="389"/>
    </row>
    <row r="9" spans="2:22">
      <c r="B9" s="388">
        <v>2025</v>
      </c>
      <c r="C9" s="390">
        <f>VLOOKUP($B9,'[1]Table 1'!$B$13:$G$37,6,FALSE)</f>
        <v>26.563364943626262</v>
      </c>
      <c r="D9" s="391">
        <f>VLOOKUP($B9,'[2]Table 1'!$B$13:$G$34,6,FALSE)</f>
        <v>20.564717360018136</v>
      </c>
      <c r="E9" s="392">
        <f ca="1">VLOOKUP($B9,'Table 1'!$B$13:$G$33,6,FALSE)</f>
        <v>20.985702752748704</v>
      </c>
      <c r="F9" s="390">
        <f>VLOOKUP($B9,'[3]Table 1'!$B$13:$G$33,6,FALSE)</f>
        <v>28.868448831015229</v>
      </c>
      <c r="G9" s="391">
        <f>VLOOKUP($B9,'[4]Table 1'!$B$13:$G$33,6,FALSE)</f>
        <v>21.550799899865304</v>
      </c>
      <c r="H9" s="391">
        <f>VLOOKUP($B9,'[5]Table 1'!$B$13:$G$33,6,FALSE)</f>
        <v>20.42372122848073</v>
      </c>
      <c r="I9" s="390">
        <f>VLOOKUP($B9,'[6]Table 1'!$B$13:$G$33,6,FALSE)</f>
        <v>29.249964710080672</v>
      </c>
      <c r="J9" s="391">
        <f>VLOOKUP($B9,'[7]Table 1'!$B$13:$G$33,6,FALSE)</f>
        <v>22.350193108767492</v>
      </c>
      <c r="K9" s="392">
        <f>VLOOKUP($B9,'[8]Table 1'!$B$13:$G$33,6,FALSE)</f>
        <v>21.154885640082693</v>
      </c>
      <c r="L9" s="390">
        <f>C9-F9</f>
        <v>-2.3050838873889674</v>
      </c>
      <c r="M9" s="391">
        <f t="shared" ref="M9:O25" si="0">D9-G9</f>
        <v>-0.98608253984716754</v>
      </c>
      <c r="N9" s="392">
        <f t="shared" ca="1" si="0"/>
        <v>0.56198152426797421</v>
      </c>
      <c r="O9" s="390">
        <f>F9-I9</f>
        <v>-0.38151587906544293</v>
      </c>
      <c r="P9" s="391">
        <f t="shared" ref="P9:Q25" si="1">G9-J9</f>
        <v>-0.79939320890218823</v>
      </c>
      <c r="Q9" s="392">
        <f t="shared" si="1"/>
        <v>-0.73116441160196288</v>
      </c>
      <c r="R9" s="393"/>
      <c r="S9" s="394"/>
      <c r="T9" s="394"/>
      <c r="U9" s="394"/>
      <c r="V9" s="394"/>
    </row>
    <row r="10" spans="2:22">
      <c r="B10" s="395">
        <f>B9+1</f>
        <v>2026</v>
      </c>
      <c r="C10" s="396">
        <f>VLOOKUP($B10,'[1]Table 1'!$B$13:$G$37,6,FALSE)</f>
        <v>31.392349760487118</v>
      </c>
      <c r="D10" s="394">
        <f>VLOOKUP($B10,'[2]Table 1'!$B$13:$G$34,6,FALSE)</f>
        <v>20.033500811328448</v>
      </c>
      <c r="E10" s="397">
        <f ca="1">VLOOKUP($B10,'Table 1'!$B$13:$G$33,6,FALSE)</f>
        <v>24.182230658481654</v>
      </c>
      <c r="F10" s="394">
        <f>VLOOKUP($B10,'[3]Table 1'!$B$13:$G$33,6,FALSE)</f>
        <v>32.353774344641096</v>
      </c>
      <c r="G10" s="394">
        <f>VLOOKUP($B10,'[4]Table 1'!$B$13:$G$33,6,FALSE)</f>
        <v>20.647965312720938</v>
      </c>
      <c r="H10" s="394">
        <f>VLOOKUP($B10,'[5]Table 1'!$B$13:$G$33,6,FALSE)</f>
        <v>23.749161907663424</v>
      </c>
      <c r="I10" s="396">
        <f>VLOOKUP($B10,'[6]Table 1'!$B$13:$G$33,6,FALSE)</f>
        <v>29.599085968869868</v>
      </c>
      <c r="J10" s="394">
        <f>VLOOKUP($B10,'[7]Table 1'!$B$13:$G$33,6,FALSE)</f>
        <v>18.805022610472928</v>
      </c>
      <c r="K10" s="397">
        <f>VLOOKUP($B10,'[8]Table 1'!$B$13:$G$33,6,FALSE)</f>
        <v>21.545523249108886</v>
      </c>
      <c r="L10" s="396">
        <f t="shared" ref="L10:L25" si="2">C10-F10</f>
        <v>-0.96142458415397769</v>
      </c>
      <c r="M10" s="394">
        <f t="shared" si="0"/>
        <v>-0.61446450139249009</v>
      </c>
      <c r="N10" s="397">
        <f t="shared" ca="1" si="0"/>
        <v>0.43306875081822938</v>
      </c>
      <c r="O10" s="396">
        <f t="shared" si="0"/>
        <v>2.7546883757712273</v>
      </c>
      <c r="P10" s="394">
        <f t="shared" si="1"/>
        <v>1.8429427022480098</v>
      </c>
      <c r="Q10" s="397">
        <f t="shared" si="1"/>
        <v>2.2036386585545387</v>
      </c>
      <c r="R10" s="393"/>
      <c r="S10" s="394"/>
      <c r="T10" s="394"/>
      <c r="U10" s="394"/>
      <c r="V10" s="394"/>
    </row>
    <row r="11" spans="2:22">
      <c r="B11" s="395">
        <f t="shared" ref="B11:B25" si="3">B10+1</f>
        <v>2027</v>
      </c>
      <c r="C11" s="396">
        <f>VLOOKUP($B11,'[1]Table 1'!$B$13:$G$37,6,FALSE)</f>
        <v>32.501976695229978</v>
      </c>
      <c r="D11" s="394">
        <f>VLOOKUP($B11,'[2]Table 1'!$B$13:$G$34,6,FALSE)</f>
        <v>22.410532585837498</v>
      </c>
      <c r="E11" s="397">
        <f ca="1">VLOOKUP($B11,'Table 1'!$B$13:$G$33,6,FALSE)</f>
        <v>25.802800927233299</v>
      </c>
      <c r="F11" s="394">
        <f>VLOOKUP($B11,'[3]Table 1'!$B$13:$G$33,6,FALSE)</f>
        <v>31.058790552498873</v>
      </c>
      <c r="G11" s="394">
        <f>VLOOKUP($B11,'[4]Table 1'!$B$13:$G$33,6,FALSE)</f>
        <v>22.605025980963109</v>
      </c>
      <c r="H11" s="394">
        <f>VLOOKUP($B11,'[5]Table 1'!$B$13:$G$33,6,FALSE)</f>
        <v>24.780860656754999</v>
      </c>
      <c r="I11" s="396">
        <f>VLOOKUP($B11,'[6]Table 1'!$B$13:$G$33,6,FALSE)</f>
        <v>28.307460946968099</v>
      </c>
      <c r="J11" s="394">
        <f>VLOOKUP($B11,'[7]Table 1'!$B$13:$G$33,6,FALSE)</f>
        <v>20.277380739824139</v>
      </c>
      <c r="K11" s="397">
        <f>VLOOKUP($B11,'[8]Table 1'!$B$13:$G$33,6,FALSE)</f>
        <v>22.427784831136986</v>
      </c>
      <c r="L11" s="396">
        <f t="shared" si="2"/>
        <v>1.4431861427311041</v>
      </c>
      <c r="M11" s="394">
        <f t="shared" si="0"/>
        <v>-0.19449339512561181</v>
      </c>
      <c r="N11" s="397">
        <f t="shared" ca="1" si="0"/>
        <v>1.0219402704783001</v>
      </c>
      <c r="O11" s="396">
        <f t="shared" si="0"/>
        <v>2.7513296055307741</v>
      </c>
      <c r="P11" s="394">
        <f t="shared" si="1"/>
        <v>2.3276452411389705</v>
      </c>
      <c r="Q11" s="397">
        <f t="shared" si="1"/>
        <v>2.3530758256180135</v>
      </c>
      <c r="R11" s="393"/>
      <c r="S11" s="394"/>
      <c r="T11" s="394"/>
      <c r="U11" s="394"/>
      <c r="V11" s="394"/>
    </row>
    <row r="12" spans="2:22">
      <c r="B12" s="395">
        <f t="shared" si="3"/>
        <v>2028</v>
      </c>
      <c r="C12" s="396">
        <f>VLOOKUP($B12,'[1]Table 1'!$B$13:$G$37,6,FALSE)</f>
        <v>35.447099116448506</v>
      </c>
      <c r="D12" s="394">
        <f>VLOOKUP($B12,'[2]Table 1'!$B$13:$G$34,6,FALSE)</f>
        <v>23.540274204604412</v>
      </c>
      <c r="E12" s="397">
        <f ca="1">VLOOKUP($B12,'Table 1'!$B$13:$G$33,6,FALSE)</f>
        <v>27.983716877377987</v>
      </c>
      <c r="F12" s="394">
        <f>VLOOKUP($B12,'[3]Table 1'!$B$13:$G$33,6,FALSE)</f>
        <v>34.687855803338863</v>
      </c>
      <c r="G12" s="394">
        <f>VLOOKUP($B12,'[4]Table 1'!$B$13:$G$33,6,FALSE)</f>
        <v>25.610755979825655</v>
      </c>
      <c r="H12" s="394">
        <f>VLOOKUP($B12,'[5]Table 1'!$B$13:$G$33,6,FALSE)</f>
        <v>12.297907548957523</v>
      </c>
      <c r="I12" s="396">
        <f>VLOOKUP($B12,'[6]Table 1'!$B$13:$G$33,6,FALSE)</f>
        <v>33.822604017533571</v>
      </c>
      <c r="J12" s="394">
        <f>VLOOKUP($B12,'[7]Table 1'!$B$13:$G$33,6,FALSE)</f>
        <v>25.257324275670271</v>
      </c>
      <c r="K12" s="397">
        <f>VLOOKUP($B12,'[8]Table 1'!$B$13:$G$33,6,FALSE)</f>
        <v>11.772687535752466</v>
      </c>
      <c r="L12" s="396">
        <f t="shared" si="2"/>
        <v>0.75924331310964277</v>
      </c>
      <c r="M12" s="394">
        <f t="shared" si="0"/>
        <v>-2.0704817752212428</v>
      </c>
      <c r="N12" s="397">
        <f t="shared" ca="1" si="0"/>
        <v>15.685809328420463</v>
      </c>
      <c r="O12" s="396">
        <f t="shared" si="0"/>
        <v>0.86525178580529172</v>
      </c>
      <c r="P12" s="394">
        <f t="shared" si="1"/>
        <v>0.35343170415538339</v>
      </c>
      <c r="Q12" s="397">
        <f t="shared" si="1"/>
        <v>0.52522001320505751</v>
      </c>
      <c r="R12" s="393"/>
      <c r="S12" s="394"/>
      <c r="T12" s="394"/>
      <c r="U12" s="394"/>
      <c r="V12" s="394"/>
    </row>
    <row r="13" spans="2:22">
      <c r="B13" s="395">
        <f t="shared" si="3"/>
        <v>2029</v>
      </c>
      <c r="C13" s="396">
        <f>VLOOKUP($B13,'[1]Table 1'!$B$13:$G$37,6,FALSE)</f>
        <v>38.951795564771089</v>
      </c>
      <c r="D13" s="394">
        <f>VLOOKUP($B13,'[2]Table 1'!$B$13:$G$34,6,FALSE)</f>
        <v>26.405966568166434</v>
      </c>
      <c r="E13" s="397">
        <f ca="1">VLOOKUP($B13,'Table 1'!$B$13:$G$33,6,FALSE)</f>
        <v>-4.6777898881819624</v>
      </c>
      <c r="F13" s="394">
        <f>VLOOKUP($B13,'[3]Table 1'!$B$13:$G$33,6,FALSE)</f>
        <v>38.396625148377744</v>
      </c>
      <c r="G13" s="394">
        <f>VLOOKUP($B13,'[4]Table 1'!$B$13:$G$33,6,FALSE)</f>
        <v>29.100644721636929</v>
      </c>
      <c r="H13" s="394">
        <f>VLOOKUP($B13,'[5]Table 1'!$B$13:$G$33,6,FALSE)</f>
        <v>20.39491296764702</v>
      </c>
      <c r="I13" s="396">
        <f>VLOOKUP($B13,'[6]Table 1'!$B$13:$G$33,6,FALSE)</f>
        <v>38.901852011534586</v>
      </c>
      <c r="J13" s="394">
        <f>VLOOKUP($B13,'[7]Table 1'!$B$13:$G$33,6,FALSE)</f>
        <v>29.517810325172533</v>
      </c>
      <c r="K13" s="397">
        <f>VLOOKUP($B13,'[8]Table 1'!$B$13:$G$33,6,FALSE)</f>
        <v>20.277946587189057</v>
      </c>
      <c r="L13" s="396">
        <f t="shared" si="2"/>
        <v>0.55517041639334508</v>
      </c>
      <c r="M13" s="394">
        <f t="shared" si="0"/>
        <v>-2.6946781534704947</v>
      </c>
      <c r="N13" s="397">
        <f t="shared" ca="1" si="0"/>
        <v>-25.072702855828982</v>
      </c>
      <c r="O13" s="396">
        <f t="shared" si="0"/>
        <v>-0.5052268631568424</v>
      </c>
      <c r="P13" s="394">
        <f t="shared" si="1"/>
        <v>-0.41716560353560439</v>
      </c>
      <c r="Q13" s="397">
        <f t="shared" si="1"/>
        <v>0.11696638045796348</v>
      </c>
      <c r="R13" s="393"/>
      <c r="S13" s="394"/>
      <c r="T13" s="394"/>
      <c r="U13" s="394"/>
      <c r="V13" s="394"/>
    </row>
    <row r="14" spans="2:22">
      <c r="B14" s="395">
        <f t="shared" si="3"/>
        <v>2030</v>
      </c>
      <c r="C14" s="396">
        <f>VLOOKUP($B14,'[1]Table 1'!$B$13:$G$37,6,FALSE)</f>
        <v>39.388572311768634</v>
      </c>
      <c r="D14" s="394">
        <f>VLOOKUP($B14,'[2]Table 1'!$B$13:$G$34,6,FALSE)</f>
        <v>23.369882830993419</v>
      </c>
      <c r="E14" s="397">
        <f ca="1">VLOOKUP($B14,'Table 1'!$B$13:$G$33,6,FALSE)</f>
        <v>-6.6733708470035209</v>
      </c>
      <c r="F14" s="394">
        <f>VLOOKUP($B14,'[3]Table 1'!$B$13:$G$33,6,FALSE)</f>
        <v>36.036480313706036</v>
      </c>
      <c r="G14" s="394">
        <f>VLOOKUP($B14,'[4]Table 1'!$B$13:$G$33,6,FALSE)</f>
        <v>25.9827329067299</v>
      </c>
      <c r="H14" s="394">
        <f>VLOOKUP($B14,'[5]Table 1'!$B$13:$G$33,6,FALSE)</f>
        <v>25.62865362675516</v>
      </c>
      <c r="I14" s="396">
        <f>VLOOKUP($B14,'[6]Table 1'!$B$13:$G$33,6,FALSE)</f>
        <v>36.026635507539211</v>
      </c>
      <c r="J14" s="394">
        <f>VLOOKUP($B14,'[7]Table 1'!$B$13:$G$33,6,FALSE)</f>
        <v>26.092167271460013</v>
      </c>
      <c r="K14" s="397">
        <f>VLOOKUP($B14,'[8]Table 1'!$B$13:$G$33,6,FALSE)</f>
        <v>25.62298655336992</v>
      </c>
      <c r="L14" s="396">
        <f t="shared" si="2"/>
        <v>3.3520919980625976</v>
      </c>
      <c r="M14" s="394">
        <f t="shared" si="0"/>
        <v>-2.6128500757364819</v>
      </c>
      <c r="N14" s="397">
        <f t="shared" ca="1" si="0"/>
        <v>-32.302024473758678</v>
      </c>
      <c r="O14" s="396">
        <f t="shared" si="0"/>
        <v>9.8448061668250375E-3</v>
      </c>
      <c r="P14" s="394">
        <f t="shared" si="1"/>
        <v>-0.10943436473011303</v>
      </c>
      <c r="Q14" s="397">
        <f t="shared" si="1"/>
        <v>5.6670733852399735E-3</v>
      </c>
      <c r="R14" s="393"/>
      <c r="S14" s="394"/>
      <c r="T14" s="394"/>
      <c r="U14" s="394"/>
      <c r="V14" s="394"/>
    </row>
    <row r="15" spans="2:22">
      <c r="B15" s="395">
        <f t="shared" si="3"/>
        <v>2031</v>
      </c>
      <c r="C15" s="396">
        <f>VLOOKUP($B15,'[1]Table 1'!$B$13:$G$37,6,FALSE)</f>
        <v>38.667356502390128</v>
      </c>
      <c r="D15" s="394">
        <f>VLOOKUP($B15,'[2]Table 1'!$B$13:$G$34,6,FALSE)</f>
        <v>-10.900383335403259</v>
      </c>
      <c r="E15" s="397">
        <f ca="1">VLOOKUP($B15,'Table 1'!$B$13:$G$33,6,FALSE)</f>
        <v>-8.2609635064937059</v>
      </c>
      <c r="F15" s="394">
        <f>VLOOKUP($B15,'[3]Table 1'!$B$13:$G$33,6,FALSE)</f>
        <v>37.37103262123113</v>
      </c>
      <c r="G15" s="394">
        <f>VLOOKUP($B15,'[4]Table 1'!$B$13:$G$33,6,FALSE)</f>
        <v>24.920194588007408</v>
      </c>
      <c r="H15" s="394">
        <f>VLOOKUP($B15,'[5]Table 1'!$B$13:$G$33,6,FALSE)</f>
        <v>4.7878792571218369</v>
      </c>
      <c r="I15" s="396">
        <f>VLOOKUP($B15,'[6]Table 1'!$B$13:$G$33,6,FALSE)</f>
        <v>36.901500109791989</v>
      </c>
      <c r="J15" s="394">
        <f>VLOOKUP($B15,'[7]Table 1'!$B$13:$G$33,6,FALSE)</f>
        <v>24.906961494461218</v>
      </c>
      <c r="K15" s="397">
        <f>VLOOKUP($B15,'[8]Table 1'!$B$13:$G$33,6,FALSE)</f>
        <v>4.9395736503385121</v>
      </c>
      <c r="L15" s="396">
        <f t="shared" si="2"/>
        <v>1.2963238811589974</v>
      </c>
      <c r="M15" s="394">
        <f t="shared" si="0"/>
        <v>-35.820577923410667</v>
      </c>
      <c r="N15" s="397">
        <f t="shared" ca="1" si="0"/>
        <v>-13.048842763615543</v>
      </c>
      <c r="O15" s="396">
        <f t="shared" si="0"/>
        <v>0.46953251143914088</v>
      </c>
      <c r="P15" s="394">
        <f t="shared" si="1"/>
        <v>1.3233093546190844E-2</v>
      </c>
      <c r="Q15" s="397">
        <f t="shared" si="1"/>
        <v>-0.15169439321667522</v>
      </c>
      <c r="R15" s="393"/>
      <c r="S15" s="394"/>
      <c r="T15" s="394"/>
      <c r="U15" s="394"/>
      <c r="V15" s="394"/>
    </row>
    <row r="16" spans="2:22">
      <c r="B16" s="395">
        <f t="shared" si="3"/>
        <v>2032</v>
      </c>
      <c r="C16" s="396">
        <f>VLOOKUP($B16,'[1]Table 1'!$B$13:$G$37,6,FALSE)</f>
        <v>36.355060179291272</v>
      </c>
      <c r="D16" s="394">
        <f>VLOOKUP($B16,'[2]Table 1'!$B$13:$G$34,6,FALSE)</f>
        <v>-11.193047820455257</v>
      </c>
      <c r="E16" s="397">
        <f ca="1">VLOOKUP($B16,'Table 1'!$B$13:$G$33,6,FALSE)</f>
        <v>-10.956028557891512</v>
      </c>
      <c r="F16" s="394">
        <f>VLOOKUP($B16,'[3]Table 1'!$B$13:$G$33,6,FALSE)</f>
        <v>33.929362391951678</v>
      </c>
      <c r="G16" s="394">
        <f>VLOOKUP($B16,'[4]Table 1'!$B$13:$G$33,6,FALSE)</f>
        <v>27.140535917164939</v>
      </c>
      <c r="H16" s="394">
        <f>VLOOKUP($B16,'[5]Table 1'!$B$13:$G$33,6,FALSE)</f>
        <v>0.36204739952732695</v>
      </c>
      <c r="I16" s="396">
        <f>VLOOKUP($B16,'[6]Table 1'!$B$13:$G$33,6,FALSE)</f>
        <v>32.862978897402343</v>
      </c>
      <c r="J16" s="394">
        <f>VLOOKUP($B16,'[7]Table 1'!$B$13:$G$33,6,FALSE)</f>
        <v>26.798406252808597</v>
      </c>
      <c r="K16" s="397">
        <f>VLOOKUP($B16,'[8]Table 1'!$B$13:$G$33,6,FALSE)</f>
        <v>1.7579644519524651E-2</v>
      </c>
      <c r="L16" s="396">
        <f t="shared" si="2"/>
        <v>2.425697787339594</v>
      </c>
      <c r="M16" s="394">
        <f t="shared" si="0"/>
        <v>-38.333583737620195</v>
      </c>
      <c r="N16" s="397">
        <f t="shared" ca="1" si="0"/>
        <v>-11.31807595741884</v>
      </c>
      <c r="O16" s="396">
        <f t="shared" si="0"/>
        <v>1.0663834945493349</v>
      </c>
      <c r="P16" s="394">
        <f t="shared" si="1"/>
        <v>0.34212966435634229</v>
      </c>
      <c r="Q16" s="397">
        <f t="shared" si="1"/>
        <v>0.3444677550078023</v>
      </c>
      <c r="R16" s="393"/>
      <c r="S16" s="394"/>
      <c r="T16" s="394"/>
      <c r="U16" s="394"/>
      <c r="V16" s="394"/>
    </row>
    <row r="17" spans="1:22">
      <c r="B17" s="395">
        <f t="shared" si="3"/>
        <v>2033</v>
      </c>
      <c r="C17" s="396">
        <f>VLOOKUP($B17,'[1]Table 1'!$B$13:$G$37,6,FALSE)</f>
        <v>35.731612519154389</v>
      </c>
      <c r="D17" s="394">
        <f>VLOOKUP($B17,'[2]Table 1'!$B$13:$G$34,6,FALSE)</f>
        <v>-10.91119311330834</v>
      </c>
      <c r="E17" s="397">
        <f ca="1">VLOOKUP($B17,'Table 1'!$B$13:$G$33,6,FALSE)</f>
        <v>-9.0025628747822921</v>
      </c>
      <c r="F17" s="394">
        <f>VLOOKUP($B17,'[3]Table 1'!$B$13:$G$33,6,FALSE)</f>
        <v>32.311215799894278</v>
      </c>
      <c r="G17" s="394">
        <f>VLOOKUP($B17,'[4]Table 1'!$B$13:$G$33,6,FALSE)</f>
        <v>26.257276666381102</v>
      </c>
      <c r="H17" s="394">
        <f>VLOOKUP($B17,'[5]Table 1'!$B$13:$G$33,6,FALSE)</f>
        <v>0.1038861790707596</v>
      </c>
      <c r="I17" s="396">
        <f>VLOOKUP($B17,'[6]Table 1'!$B$13:$G$33,6,FALSE)</f>
        <v>31.298849468642072</v>
      </c>
      <c r="J17" s="394">
        <f>VLOOKUP($B17,'[7]Table 1'!$B$13:$G$33,6,FALSE)</f>
        <v>25.915668804016615</v>
      </c>
      <c r="K17" s="397">
        <f>VLOOKUP($B17,'[8]Table 1'!$B$13:$G$33,6,FALSE)</f>
        <v>-0.23125273711936636</v>
      </c>
      <c r="L17" s="396">
        <f t="shared" si="2"/>
        <v>3.4203967192601112</v>
      </c>
      <c r="M17" s="394">
        <f t="shared" si="0"/>
        <v>-37.168469779689445</v>
      </c>
      <c r="N17" s="397">
        <f t="shared" ca="1" si="0"/>
        <v>-9.1064490538530514</v>
      </c>
      <c r="O17" s="396">
        <f t="shared" si="0"/>
        <v>1.0123663312522062</v>
      </c>
      <c r="P17" s="394">
        <f t="shared" si="1"/>
        <v>0.34160786236448715</v>
      </c>
      <c r="Q17" s="397">
        <f t="shared" si="1"/>
        <v>0.33513891619012598</v>
      </c>
      <c r="R17" s="393"/>
      <c r="S17" s="394"/>
      <c r="T17" s="394"/>
      <c r="U17" s="394"/>
      <c r="V17" s="394"/>
    </row>
    <row r="18" spans="1:22">
      <c r="B18" s="395">
        <f t="shared" si="3"/>
        <v>2034</v>
      </c>
      <c r="C18" s="396">
        <f>VLOOKUP($B18,'[1]Table 1'!$B$13:$G$37,6,FALSE)</f>
        <v>35.987352958525982</v>
      </c>
      <c r="D18" s="394">
        <f>VLOOKUP($B18,'[2]Table 1'!$B$13:$G$34,6,FALSE)</f>
        <v>-11.345525378921389</v>
      </c>
      <c r="E18" s="397">
        <f ca="1">VLOOKUP($B18,'Table 1'!$B$13:$G$33,6,FALSE)</f>
        <v>-10.081960622758404</v>
      </c>
      <c r="F18" s="394">
        <f>VLOOKUP($B18,'[3]Table 1'!$B$13:$G$33,6,FALSE)</f>
        <v>32.266656254866341</v>
      </c>
      <c r="G18" s="394">
        <f>VLOOKUP($B18,'[4]Table 1'!$B$13:$G$33,6,FALSE)</f>
        <v>26.019692488575782</v>
      </c>
      <c r="H18" s="394">
        <f>VLOOKUP($B18,'[5]Table 1'!$B$13:$G$33,6,FALSE)</f>
        <v>-0.25882827010392728</v>
      </c>
      <c r="I18" s="396">
        <f>VLOOKUP($B18,'[6]Table 1'!$B$13:$G$33,6,FALSE)</f>
        <v>31.226711407526786</v>
      </c>
      <c r="J18" s="394">
        <f>VLOOKUP($B18,'[7]Table 1'!$B$13:$G$33,6,FALSE)</f>
        <v>26.181067786802881</v>
      </c>
      <c r="K18" s="397">
        <f>VLOOKUP($B18,'[8]Table 1'!$B$13:$G$33,6,FALSE)</f>
        <v>-0.38227069588443002</v>
      </c>
      <c r="L18" s="396">
        <f t="shared" si="2"/>
        <v>3.720696703659641</v>
      </c>
      <c r="M18" s="394">
        <f t="shared" si="0"/>
        <v>-37.365217867497172</v>
      </c>
      <c r="N18" s="397">
        <f t="shared" ca="1" si="0"/>
        <v>-9.8231323526544756</v>
      </c>
      <c r="O18" s="396">
        <f t="shared" si="0"/>
        <v>1.0399448473395552</v>
      </c>
      <c r="P18" s="394">
        <f t="shared" si="1"/>
        <v>-0.16137529822709951</v>
      </c>
      <c r="Q18" s="397">
        <f t="shared" si="1"/>
        <v>0.12344242578050274</v>
      </c>
      <c r="R18" s="393"/>
      <c r="S18" s="394"/>
      <c r="T18" s="394"/>
      <c r="U18" s="394"/>
      <c r="V18" s="394"/>
    </row>
    <row r="19" spans="1:22">
      <c r="B19" s="395">
        <f t="shared" si="3"/>
        <v>2035</v>
      </c>
      <c r="C19" s="396">
        <f>VLOOKUP($B19,'[1]Table 1'!$B$13:$G$37,6,FALSE)</f>
        <v>36.416341300641747</v>
      </c>
      <c r="D19" s="394">
        <f>VLOOKUP($B19,'[2]Table 1'!$B$13:$G$34,6,FALSE)</f>
        <v>-11.348500059241543</v>
      </c>
      <c r="E19" s="397">
        <f ca="1">VLOOKUP($B19,'Table 1'!$B$13:$G$33,6,FALSE)</f>
        <v>-10.24156080009325</v>
      </c>
      <c r="F19" s="394">
        <f>VLOOKUP($B19,'[3]Table 1'!$B$13:$G$33,6,FALSE)</f>
        <v>32.793055072863851</v>
      </c>
      <c r="G19" s="394">
        <f>VLOOKUP($B19,'[4]Table 1'!$B$13:$G$33,6,FALSE)</f>
        <v>24.26687951606322</v>
      </c>
      <c r="H19" s="394">
        <f>VLOOKUP($B19,'[5]Table 1'!$B$13:$G$33,6,FALSE)</f>
        <v>0.29784811154703283</v>
      </c>
      <c r="I19" s="396">
        <f>VLOOKUP($B19,'[6]Table 1'!$B$13:$G$33,6,FALSE)</f>
        <v>32.189249794702775</v>
      </c>
      <c r="J19" s="394">
        <f>VLOOKUP($B19,'[7]Table 1'!$B$13:$G$33,6,FALSE)</f>
        <v>24.428985398771871</v>
      </c>
      <c r="K19" s="397">
        <f>VLOOKUP($B19,'[8]Table 1'!$B$13:$G$33,6,FALSE)</f>
        <v>0.60195757322987842</v>
      </c>
      <c r="L19" s="396">
        <f t="shared" si="2"/>
        <v>3.6232862277778963</v>
      </c>
      <c r="M19" s="394">
        <f t="shared" si="0"/>
        <v>-35.615379575304765</v>
      </c>
      <c r="N19" s="397">
        <f t="shared" ca="1" si="0"/>
        <v>-10.539408911640283</v>
      </c>
      <c r="O19" s="396">
        <f t="shared" si="0"/>
        <v>0.60380527816107588</v>
      </c>
      <c r="P19" s="394">
        <f t="shared" si="1"/>
        <v>-0.16210588270865145</v>
      </c>
      <c r="Q19" s="397">
        <f t="shared" si="1"/>
        <v>-0.30410946168284558</v>
      </c>
      <c r="R19" s="393"/>
      <c r="S19" s="394"/>
      <c r="T19" s="394"/>
      <c r="U19" s="394"/>
      <c r="V19" s="394"/>
    </row>
    <row r="20" spans="1:22">
      <c r="B20" s="395">
        <f t="shared" si="3"/>
        <v>2036</v>
      </c>
      <c r="C20" s="396">
        <f>VLOOKUP($B20,'[1]Table 1'!$B$13:$G$37,6,FALSE)</f>
        <v>36.21108759488628</v>
      </c>
      <c r="D20" s="394">
        <f>VLOOKUP($B20,'[2]Table 1'!$B$13:$G$34,6,FALSE)</f>
        <v>-11.377815185431851</v>
      </c>
      <c r="E20" s="397">
        <f ca="1">VLOOKUP($B20,'Table 1'!$B$13:$G$33,6,FALSE)</f>
        <v>-11.737056902544404</v>
      </c>
      <c r="F20" s="394">
        <f>VLOOKUP($B20,'[3]Table 1'!$B$13:$G$33,6,FALSE)</f>
        <v>18.689452232871812</v>
      </c>
      <c r="G20" s="394">
        <f>VLOOKUP($B20,'[4]Table 1'!$B$13:$G$33,6,FALSE)</f>
        <v>25.373148030016814</v>
      </c>
      <c r="H20" s="394">
        <f>VLOOKUP($B20,'[5]Table 1'!$B$13:$G$33,6,FALSE)</f>
        <v>9.0982012778875347</v>
      </c>
      <c r="I20" s="396">
        <f>VLOOKUP($B20,'[6]Table 1'!$B$13:$G$33,6,FALSE)</f>
        <v>18.617617259982023</v>
      </c>
      <c r="J20" s="394">
        <f>VLOOKUP($B20,'[7]Table 1'!$B$13:$G$33,6,FALSE)</f>
        <v>25.243653744118504</v>
      </c>
      <c r="K20" s="397">
        <f>VLOOKUP($B20,'[8]Table 1'!$B$13:$G$33,6,FALSE)</f>
        <v>9.1906779543932142</v>
      </c>
      <c r="L20" s="396">
        <f t="shared" si="2"/>
        <v>17.521635362014468</v>
      </c>
      <c r="M20" s="394">
        <f t="shared" si="0"/>
        <v>-36.750963215448664</v>
      </c>
      <c r="N20" s="397">
        <f t="shared" ca="1" si="0"/>
        <v>-20.835258180431939</v>
      </c>
      <c r="O20" s="396">
        <f t="shared" si="0"/>
        <v>7.1834972889789128E-2</v>
      </c>
      <c r="P20" s="394">
        <f t="shared" si="1"/>
        <v>0.12949428589831058</v>
      </c>
      <c r="Q20" s="397">
        <f t="shared" si="1"/>
        <v>-9.2476676505679478E-2</v>
      </c>
      <c r="R20" s="393"/>
      <c r="S20" s="394"/>
      <c r="T20" s="394"/>
      <c r="U20" s="394"/>
      <c r="V20" s="394"/>
    </row>
    <row r="21" spans="1:22">
      <c r="B21" s="395">
        <f t="shared" si="3"/>
        <v>2037</v>
      </c>
      <c r="C21" s="396">
        <f>VLOOKUP($B21,'[1]Table 1'!$B$13:$G$37,6,FALSE)</f>
        <v>38.785458326986728</v>
      </c>
      <c r="D21" s="394">
        <f>VLOOKUP($B21,'[2]Table 1'!$B$13:$G$34,6,FALSE)</f>
        <v>-13.239641752953498</v>
      </c>
      <c r="E21" s="397">
        <f ca="1">VLOOKUP($B21,'Table 1'!$B$13:$G$33,6,FALSE)</f>
        <v>-11.166452393269138</v>
      </c>
      <c r="F21" s="394">
        <f>VLOOKUP($B21,'[3]Table 1'!$B$13:$G$33,6,FALSE)</f>
        <v>22.162550085386599</v>
      </c>
      <c r="G21" s="394">
        <f>VLOOKUP($B21,'[4]Table 1'!$B$13:$G$33,6,FALSE)</f>
        <v>22.987244774540276</v>
      </c>
      <c r="H21" s="394">
        <f>VLOOKUP($B21,'[5]Table 1'!$B$13:$G$33,6,FALSE)</f>
        <v>12.160331836243436</v>
      </c>
      <c r="I21" s="396">
        <f>VLOOKUP($B21,'[6]Table 1'!$B$13:$G$33,6,FALSE)</f>
        <v>21.994568596351431</v>
      </c>
      <c r="J21" s="394">
        <f>VLOOKUP($B21,'[7]Table 1'!$B$13:$G$33,6,FALSE)</f>
        <v>22.910823719366007</v>
      </c>
      <c r="K21" s="397">
        <f>VLOOKUP($B21,'[8]Table 1'!$B$13:$G$33,6,FALSE)</f>
        <v>12.12066129365685</v>
      </c>
      <c r="L21" s="396">
        <f t="shared" si="2"/>
        <v>16.622908241600129</v>
      </c>
      <c r="M21" s="394">
        <f t="shared" si="0"/>
        <v>-36.226886527493775</v>
      </c>
      <c r="N21" s="397">
        <f t="shared" ca="1" si="0"/>
        <v>-23.326784229512576</v>
      </c>
      <c r="O21" s="396">
        <f t="shared" si="0"/>
        <v>0.16798148903516719</v>
      </c>
      <c r="P21" s="394">
        <f t="shared" si="1"/>
        <v>7.642105517426856E-2</v>
      </c>
      <c r="Q21" s="397">
        <f t="shared" si="1"/>
        <v>3.9670542586586421E-2</v>
      </c>
      <c r="R21" s="393"/>
      <c r="S21" s="394"/>
      <c r="T21" s="394"/>
      <c r="U21" s="394"/>
      <c r="V21" s="394"/>
    </row>
    <row r="22" spans="1:22">
      <c r="B22" s="395">
        <f t="shared" si="3"/>
        <v>2038</v>
      </c>
      <c r="C22" s="396">
        <f>VLOOKUP($B22,'[1]Table 1'!$B$13:$G$37,6,FALSE)</f>
        <v>41.131723498208885</v>
      </c>
      <c r="D22" s="394">
        <f>VLOOKUP($B22,'[2]Table 1'!$B$13:$G$34,6,FALSE)</f>
        <v>-11.917918657371088</v>
      </c>
      <c r="E22" s="397">
        <f ca="1">VLOOKUP($B22,'Table 1'!$B$13:$G$33,6,FALSE)</f>
        <v>-9.8985461781717543</v>
      </c>
      <c r="F22" s="394">
        <f>VLOOKUP($B22,'[3]Table 1'!$B$13:$G$33,6,FALSE)</f>
        <v>24.887103800046653</v>
      </c>
      <c r="G22" s="394">
        <f>VLOOKUP($B22,'[4]Table 1'!$B$13:$G$33,6,FALSE)</f>
        <v>18.123130400102202</v>
      </c>
      <c r="H22" s="394">
        <f>VLOOKUP($B22,'[5]Table 1'!$B$13:$G$33,6,FALSE)</f>
        <v>49.331639465255869</v>
      </c>
      <c r="I22" s="396">
        <f>VLOOKUP($B22,'[6]Table 1'!$B$13:$G$33,6,FALSE)</f>
        <v>24.684639357335303</v>
      </c>
      <c r="J22" s="394">
        <f>VLOOKUP($B22,'[7]Table 1'!$B$13:$G$33,6,FALSE)</f>
        <v>17.895981068038733</v>
      </c>
      <c r="K22" s="397">
        <f>VLOOKUP($B22,'[8]Table 1'!$B$13:$G$33,6,FALSE)</f>
        <v>49.317057479612757</v>
      </c>
      <c r="L22" s="396">
        <f t="shared" si="2"/>
        <v>16.244619698162232</v>
      </c>
      <c r="M22" s="394">
        <f t="shared" si="0"/>
        <v>-30.041049057473288</v>
      </c>
      <c r="N22" s="397">
        <f t="shared" ca="1" si="0"/>
        <v>-59.230185643427625</v>
      </c>
      <c r="O22" s="396">
        <f t="shared" si="0"/>
        <v>0.20246444271134934</v>
      </c>
      <c r="P22" s="394">
        <f t="shared" si="1"/>
        <v>0.22714933206346899</v>
      </c>
      <c r="Q22" s="397">
        <f t="shared" si="1"/>
        <v>1.458198564311175E-2</v>
      </c>
      <c r="R22" s="393"/>
      <c r="S22" s="394"/>
      <c r="T22" s="394"/>
      <c r="U22" s="394"/>
      <c r="V22" s="394"/>
    </row>
    <row r="23" spans="1:22">
      <c r="B23" s="395">
        <f t="shared" si="3"/>
        <v>2039</v>
      </c>
      <c r="C23" s="396">
        <f>VLOOKUP($B23,'[1]Table 1'!$B$13:$G$37,6,FALSE)</f>
        <v>42.076758405342197</v>
      </c>
      <c r="D23" s="394">
        <f>VLOOKUP($B23,'[2]Table 1'!$B$13:$G$34,6,FALSE)</f>
        <v>-12.380937370628997</v>
      </c>
      <c r="E23" s="397">
        <f ca="1">VLOOKUP($B23,'Table 1'!$B$13:$G$33,6,FALSE)</f>
        <v>44.028311333928961</v>
      </c>
      <c r="F23" s="394">
        <f>VLOOKUP($B23,'[3]Table 1'!$B$13:$G$33,6,FALSE)</f>
        <v>26.738218653043639</v>
      </c>
      <c r="G23" s="394">
        <f>VLOOKUP($B23,'[4]Table 1'!$B$13:$G$33,6,FALSE)</f>
        <v>16.708549711027747</v>
      </c>
      <c r="H23" s="394">
        <f>VLOOKUP($B23,'[5]Table 1'!$B$13:$G$33,6,FALSE)</f>
        <v>52.806525884032972</v>
      </c>
      <c r="I23" s="396">
        <f>VLOOKUP($B23,'[6]Table 1'!$B$13:$G$33,6,FALSE)</f>
        <v>26.442595434285685</v>
      </c>
      <c r="J23" s="394">
        <f>VLOOKUP($B23,'[7]Table 1'!$B$13:$G$33,6,FALSE)</f>
        <v>16.75876177957629</v>
      </c>
      <c r="K23" s="397">
        <f>VLOOKUP($B23,'[8]Table 1'!$B$13:$G$33,6,FALSE)</f>
        <v>52.081732003655489</v>
      </c>
      <c r="L23" s="396">
        <f t="shared" si="2"/>
        <v>15.338539752298558</v>
      </c>
      <c r="M23" s="394">
        <f t="shared" si="0"/>
        <v>-29.089487081656742</v>
      </c>
      <c r="N23" s="397">
        <f t="shared" ca="1" si="0"/>
        <v>-8.7782145501040105</v>
      </c>
      <c r="O23" s="396">
        <f t="shared" si="0"/>
        <v>0.29562321875795305</v>
      </c>
      <c r="P23" s="394">
        <f t="shared" si="1"/>
        <v>-5.0212068548542987E-2</v>
      </c>
      <c r="Q23" s="397">
        <f t="shared" si="1"/>
        <v>0.72479388037748294</v>
      </c>
      <c r="R23" s="393"/>
      <c r="S23" s="394"/>
      <c r="T23" s="394"/>
      <c r="U23" s="394"/>
      <c r="V23" s="394"/>
    </row>
    <row r="24" spans="1:22">
      <c r="B24" s="395">
        <f t="shared" si="3"/>
        <v>2040</v>
      </c>
      <c r="C24" s="396">
        <f>VLOOKUP($B24,'[1]Table 1'!$B$13:$G$37,6,FALSE)</f>
        <v>43.501923350057048</v>
      </c>
      <c r="D24" s="394">
        <f>VLOOKUP($B24,'[2]Table 1'!$B$13:$G$34,6,FALSE)</f>
        <v>-13.614416200823602</v>
      </c>
      <c r="E24" s="397">
        <f ca="1">VLOOKUP($B24,'Table 1'!$B$13:$G$33,6,FALSE)</f>
        <v>45.800997222212565</v>
      </c>
      <c r="F24" s="394">
        <f>VLOOKUP($B24,'[3]Table 1'!$B$13:$G$33,6,FALSE)</f>
        <v>28.064499549230241</v>
      </c>
      <c r="G24" s="394">
        <f>VLOOKUP($B24,'[4]Table 1'!$B$13:$G$33,6,FALSE)</f>
        <v>15.02843562293863</v>
      </c>
      <c r="H24" s="394">
        <f>VLOOKUP($B24,'[5]Table 1'!$B$13:$G$33,6,FALSE)</f>
        <v>53.773048806738721</v>
      </c>
      <c r="I24" s="396">
        <f>VLOOKUP($B24,'[6]Table 1'!$B$13:$G$33,6,FALSE)</f>
        <v>28.143480903514813</v>
      </c>
      <c r="J24" s="394">
        <f>VLOOKUP($B24,'[7]Table 1'!$B$13:$G$33,6,FALSE)</f>
        <v>15.357217922710381</v>
      </c>
      <c r="K24" s="397">
        <f>VLOOKUP($B24,'[8]Table 1'!$B$13:$G$33,6,FALSE)</f>
        <v>54.046979205570146</v>
      </c>
      <c r="L24" s="396">
        <f t="shared" si="2"/>
        <v>15.437423800826807</v>
      </c>
      <c r="M24" s="394">
        <f t="shared" si="0"/>
        <v>-28.642851823762232</v>
      </c>
      <c r="N24" s="397">
        <f t="shared" ca="1" si="0"/>
        <v>-7.9720515845261559</v>
      </c>
      <c r="O24" s="396">
        <f t="shared" si="0"/>
        <v>-7.8981354284572092E-2</v>
      </c>
      <c r="P24" s="394">
        <f t="shared" si="1"/>
        <v>-0.32878229977175089</v>
      </c>
      <c r="Q24" s="397">
        <f t="shared" si="1"/>
        <v>-0.27393039883142478</v>
      </c>
      <c r="R24" s="393"/>
      <c r="S24" s="394"/>
      <c r="T24" s="394"/>
      <c r="U24" s="394"/>
      <c r="V24" s="394"/>
    </row>
    <row r="25" spans="1:22">
      <c r="B25" s="398">
        <f t="shared" si="3"/>
        <v>2041</v>
      </c>
      <c r="C25" s="399">
        <f>VLOOKUP($B25,'[1]Table 1'!$B$13:$G$37,6,FALSE)</f>
        <v>46.285846450254333</v>
      </c>
      <c r="D25" s="400">
        <f>VLOOKUP($B25,'[2]Table 1'!$B$13:$G$34,6,FALSE)</f>
        <v>48.609147902633914</v>
      </c>
      <c r="E25" s="401">
        <f ca="1">VLOOKUP($B25,'Table 1'!$B$13:$G$33,6,FALSE)</f>
        <v>44.671521791934715</v>
      </c>
      <c r="F25" s="400">
        <f>VLOOKUP($B25,'[3]Table 1'!$B$13:$G$33,6,FALSE)</f>
        <v>32.72079652166515</v>
      </c>
      <c r="G25" s="400">
        <f>VLOOKUP($B25,'[4]Table 1'!$B$13:$G$33,6,FALSE)</f>
        <v>17.067096166853116</v>
      </c>
      <c r="H25" s="400">
        <f>VLOOKUP($B25,'[5]Table 1'!$B$13:$G$33,6,FALSE)</f>
        <v>57.129100226443335</v>
      </c>
      <c r="I25" s="399">
        <f>VLOOKUP($B25,'[6]Table 1'!$B$13:$G$33,6,FALSE)</f>
        <v>32.318272907301818</v>
      </c>
      <c r="J25" s="400">
        <f>VLOOKUP($B25,'[7]Table 1'!$B$13:$G$33,6,FALSE)</f>
        <v>17.373816256712139</v>
      </c>
      <c r="K25" s="401">
        <f>VLOOKUP($B25,'[8]Table 1'!$B$13:$G$33,6,FALSE)</f>
        <v>57.513935030075714</v>
      </c>
      <c r="L25" s="399">
        <f t="shared" si="2"/>
        <v>13.565049928589183</v>
      </c>
      <c r="M25" s="400">
        <f t="shared" si="0"/>
        <v>31.542051735780799</v>
      </c>
      <c r="N25" s="401">
        <f t="shared" ca="1" si="0"/>
        <v>-12.457578434508619</v>
      </c>
      <c r="O25" s="399">
        <f t="shared" si="0"/>
        <v>0.40252361436333217</v>
      </c>
      <c r="P25" s="400">
        <f t="shared" si="1"/>
        <v>-0.30672008985902366</v>
      </c>
      <c r="Q25" s="401">
        <f t="shared" si="1"/>
        <v>-0.38483480363237987</v>
      </c>
      <c r="R25" s="393"/>
      <c r="S25" s="394"/>
      <c r="T25" s="394"/>
      <c r="U25" s="394"/>
      <c r="V25" s="394"/>
    </row>
    <row r="26" spans="1:22">
      <c r="U26" s="394"/>
    </row>
    <row r="27" spans="1:22">
      <c r="B27" s="44" t="s">
        <v>367</v>
      </c>
      <c r="R27" s="402"/>
    </row>
    <row r="28" spans="1:22">
      <c r="A28" t="s">
        <v>362</v>
      </c>
      <c r="B28" s="403" t="s">
        <v>31</v>
      </c>
      <c r="C28" s="394">
        <f>ROUND('[1]Table 1'!$G$50,2)</f>
        <v>35.53</v>
      </c>
      <c r="D28" s="394">
        <f>ROUND('[2]Table 1'!$G$50,2)</f>
        <v>6.19</v>
      </c>
      <c r="E28" s="394">
        <f ca="1">ROUND('Table 1'!$G$50,2)</f>
        <v>5.47</v>
      </c>
      <c r="F28" s="394">
        <f>ROUND('[3]Table 1'!$G$50,2)</f>
        <v>31.5</v>
      </c>
      <c r="G28" s="394">
        <f>ROUND('[4]Table 1'!$G$50,2)</f>
        <v>23.93</v>
      </c>
      <c r="H28" s="394">
        <f>ROUND('[5]Table 1'!$G$50,2)</f>
        <v>16.66</v>
      </c>
      <c r="I28" s="394">
        <f>ROUND('[6]Table 1'!$G$50,2)</f>
        <v>30.71</v>
      </c>
      <c r="J28" s="394">
        <f>ROUND('[7]Table 1'!$G$50,2)</f>
        <v>23.59</v>
      </c>
      <c r="K28" s="394">
        <f>ROUND('[8]Table 1'!$G$50,2)</f>
        <v>16.21</v>
      </c>
      <c r="L28" s="394">
        <f t="shared" ref="L28:N28" si="4">C28-F28</f>
        <v>4.0300000000000011</v>
      </c>
      <c r="M28" s="394">
        <f t="shared" si="4"/>
        <v>-17.739999999999998</v>
      </c>
      <c r="N28" s="394">
        <f t="shared" ca="1" si="4"/>
        <v>-11.190000000000001</v>
      </c>
      <c r="O28" s="394">
        <f>F28-I28</f>
        <v>0.78999999999999915</v>
      </c>
      <c r="P28" s="394">
        <f t="shared" ref="P28:Q28" si="5">G28-J28</f>
        <v>0.33999999999999986</v>
      </c>
      <c r="Q28" s="394">
        <f t="shared" si="5"/>
        <v>0.44999999999999929</v>
      </c>
      <c r="R28" s="393"/>
      <c r="S28" s="404"/>
      <c r="T28" s="404"/>
      <c r="U28" s="404"/>
      <c r="V28" s="404"/>
    </row>
    <row r="29" spans="1:22" ht="17.25" customHeight="1">
      <c r="B29" s="405"/>
      <c r="C29" s="394"/>
      <c r="D29" s="394"/>
      <c r="E29" s="394"/>
      <c r="F29" s="394"/>
      <c r="G29" s="394"/>
      <c r="H29" s="394"/>
      <c r="I29" s="394"/>
      <c r="J29" s="394"/>
      <c r="K29" s="394"/>
      <c r="L29" s="406">
        <f t="shared" ref="L29:Q29" si="6">L28/F28</f>
        <v>0.12793650793650796</v>
      </c>
      <c r="M29" s="406">
        <f t="shared" si="6"/>
        <v>-0.74132887588800667</v>
      </c>
      <c r="N29" s="406">
        <f t="shared" ca="1" si="6"/>
        <v>-0.67166866746698684</v>
      </c>
      <c r="O29" s="406">
        <f t="shared" si="6"/>
        <v>2.5724519700423287E-2</v>
      </c>
      <c r="P29" s="406">
        <f t="shared" si="6"/>
        <v>1.4412886816447642E-2</v>
      </c>
      <c r="Q29" s="406">
        <f t="shared" si="6"/>
        <v>2.7760641579272008E-2</v>
      </c>
      <c r="R29" s="393"/>
    </row>
    <row r="30" spans="1:22">
      <c r="A30" t="s">
        <v>363</v>
      </c>
      <c r="B30" s="403" t="s">
        <v>31</v>
      </c>
      <c r="C30" s="394">
        <f>ROUND('[1]Table 1'!$G$55,2)</f>
        <v>36.82</v>
      </c>
      <c r="D30" s="394">
        <f>ROUND('[2]Table 1'!$G$55,2)</f>
        <v>3.84</v>
      </c>
      <c r="E30" s="394">
        <f ca="1">ROUND('Table 1'!$G$55,2)</f>
        <v>5.52</v>
      </c>
      <c r="F30" s="394">
        <f>ROUND('[3]Table 1'!$G$55,2)</f>
        <v>31.64</v>
      </c>
      <c r="G30" s="394">
        <f>ROUND('[9]Table 1'!$G$55,2)</f>
        <v>23.84</v>
      </c>
      <c r="H30" s="394">
        <f>ROUND('[5]Table 1'!$G$55,2)</f>
        <v>17.809999999999999</v>
      </c>
      <c r="I30" s="394">
        <f>ROUND('[6]Table 1'!$G$55,2)</f>
        <v>30.77</v>
      </c>
      <c r="J30" s="394">
        <f>ROUND('[7]Table 1'!$G$55,2)</f>
        <v>23.41</v>
      </c>
      <c r="K30" s="394">
        <f>ROUND('[8]Table 1'!$G$55,2)</f>
        <v>17.27</v>
      </c>
      <c r="L30" s="394">
        <f t="shared" ref="L30:N30" si="7">C30-F30</f>
        <v>5.18</v>
      </c>
      <c r="M30" s="394">
        <f t="shared" si="7"/>
        <v>-20</v>
      </c>
      <c r="N30" s="394">
        <f t="shared" ca="1" si="7"/>
        <v>-12.29</v>
      </c>
      <c r="O30" s="394">
        <f>F30-I30</f>
        <v>0.87000000000000099</v>
      </c>
      <c r="P30" s="394">
        <f t="shared" ref="P30:Q30" si="8">G30-J30</f>
        <v>0.42999999999999972</v>
      </c>
      <c r="Q30" s="394">
        <f t="shared" si="8"/>
        <v>0.53999999999999915</v>
      </c>
      <c r="R30" s="393"/>
      <c r="S30" s="404"/>
      <c r="T30" s="404"/>
      <c r="U30" s="404"/>
      <c r="V30" s="404"/>
    </row>
    <row r="31" spans="1:22" ht="17.25" customHeight="1">
      <c r="B31" s="405"/>
      <c r="C31" s="394"/>
      <c r="D31" s="394"/>
      <c r="E31" s="394"/>
      <c r="F31" s="394"/>
      <c r="G31" s="394"/>
      <c r="H31" s="394"/>
      <c r="I31" s="394"/>
      <c r="J31" s="394"/>
      <c r="K31" s="394"/>
      <c r="L31" s="406">
        <f t="shared" ref="L31:Q31" si="9">L30/F30</f>
        <v>0.16371681415929201</v>
      </c>
      <c r="M31" s="406">
        <f t="shared" si="9"/>
        <v>-0.83892617449664431</v>
      </c>
      <c r="N31" s="406">
        <f t="shared" ca="1" si="9"/>
        <v>-0.69006176305446376</v>
      </c>
      <c r="O31" s="406">
        <f t="shared" si="9"/>
        <v>2.8274293142671467E-2</v>
      </c>
      <c r="P31" s="406">
        <f t="shared" si="9"/>
        <v>1.8368218709952998E-2</v>
      </c>
      <c r="Q31" s="406">
        <f t="shared" si="9"/>
        <v>3.1268094962362429E-2</v>
      </c>
      <c r="R31" s="393"/>
    </row>
    <row r="32" spans="1:22">
      <c r="A32"/>
      <c r="B32" s="403"/>
      <c r="C32" s="394"/>
      <c r="D32" s="394"/>
      <c r="E32" s="394"/>
      <c r="F32" s="394"/>
      <c r="G32" s="394"/>
      <c r="H32" s="394"/>
      <c r="I32" s="394"/>
      <c r="J32" s="394"/>
      <c r="K32" s="394"/>
      <c r="L32" s="394"/>
      <c r="M32" s="394"/>
      <c r="N32" s="394"/>
      <c r="O32" s="394"/>
      <c r="P32" s="394"/>
      <c r="Q32" s="394"/>
      <c r="R32" s="393"/>
    </row>
    <row r="33" spans="2:18" ht="17.25" customHeight="1">
      <c r="B33" s="405"/>
      <c r="C33" s="394"/>
      <c r="D33" s="394"/>
      <c r="E33" s="394"/>
      <c r="F33" s="394"/>
      <c r="G33" s="394"/>
      <c r="H33" s="394"/>
      <c r="I33" s="394"/>
      <c r="J33" s="394"/>
      <c r="K33" s="394"/>
      <c r="L33" s="406"/>
      <c r="M33" s="406"/>
      <c r="N33" s="406"/>
      <c r="O33" s="406"/>
      <c r="P33" s="406"/>
      <c r="Q33" s="406"/>
      <c r="R33" s="393"/>
    </row>
    <row r="34" spans="2:18" ht="10.5" customHeight="1">
      <c r="B34" s="403"/>
      <c r="C34" s="394"/>
      <c r="D34" s="394"/>
      <c r="E34" s="394"/>
      <c r="F34" s="394"/>
      <c r="G34" s="394"/>
      <c r="H34" s="394"/>
      <c r="I34" s="394"/>
      <c r="J34" s="394"/>
      <c r="K34" s="394"/>
      <c r="L34" s="394"/>
      <c r="M34" s="394"/>
      <c r="N34" s="394"/>
      <c r="O34" s="394"/>
      <c r="P34" s="394"/>
      <c r="Q34" s="394"/>
    </row>
    <row r="35" spans="2:18" ht="5.25" customHeight="1">
      <c r="I35" s="404"/>
      <c r="J35" s="404"/>
      <c r="K35" s="404"/>
    </row>
    <row r="36" spans="2:18">
      <c r="B36" s="43" t="s">
        <v>364</v>
      </c>
      <c r="C36" s="407"/>
      <c r="D36" s="407"/>
      <c r="E36" s="407"/>
      <c r="F36" s="407"/>
      <c r="G36" s="407"/>
      <c r="H36" s="407"/>
      <c r="I36" s="408"/>
      <c r="J36" s="408"/>
      <c r="K36" s="408"/>
      <c r="L36" s="408"/>
      <c r="M36" s="408"/>
      <c r="N36" s="408"/>
      <c r="O36" s="408"/>
      <c r="P36" s="408"/>
      <c r="Q36" s="408"/>
    </row>
    <row r="37" spans="2:18">
      <c r="B37" s="41" t="s">
        <v>365</v>
      </c>
      <c r="C37" s="407"/>
      <c r="D37" s="407"/>
      <c r="E37" s="407"/>
      <c r="F37" s="407"/>
      <c r="G37" s="407"/>
      <c r="H37" s="407"/>
      <c r="I37" s="408"/>
      <c r="J37" s="408"/>
      <c r="K37" s="408"/>
      <c r="L37" s="408"/>
      <c r="M37" s="408"/>
      <c r="N37" s="408"/>
      <c r="O37" s="408"/>
      <c r="P37" s="408"/>
      <c r="Q37" s="408"/>
    </row>
    <row r="38" spans="2:18">
      <c r="B38" s="409" t="str">
        <f>"(2)   Total Avoided Costs with Capacity, based on stated CF"</f>
        <v>(2)   Total Avoided Costs with Capacity, based on stated CF</v>
      </c>
    </row>
    <row r="39" spans="2:18">
      <c r="B39" s="43" t="str">
        <f>"(3)   15-Years: "&amp;B9&amp;" - "&amp;B23&amp;", levelized monthly"</f>
        <v>(3)   15-Years: 2025 - 2039, levelized monthly</v>
      </c>
    </row>
    <row r="40" spans="2:18">
      <c r="B40" s="9"/>
    </row>
    <row r="41" spans="2:18">
      <c r="B41" s="9"/>
    </row>
    <row r="42" spans="2:18">
      <c r="B42" s="9"/>
    </row>
    <row r="43" spans="2:18" hidden="1"/>
    <row r="44" spans="2:18">
      <c r="C44" s="394"/>
      <c r="D44" s="394"/>
      <c r="E44" s="394"/>
      <c r="F44" s="394"/>
      <c r="G44" s="394"/>
      <c r="H44" s="394"/>
      <c r="I44" s="394"/>
      <c r="J44" s="394"/>
      <c r="K44" s="394"/>
    </row>
    <row r="46" spans="2:18">
      <c r="C46" s="404"/>
      <c r="D46" s="404"/>
      <c r="E46" s="404"/>
      <c r="F46" s="404"/>
      <c r="G46" s="404"/>
      <c r="H46" s="404"/>
      <c r="I46" s="404"/>
      <c r="J46" s="404"/>
      <c r="K46" s="404"/>
      <c r="L46" s="404"/>
      <c r="M46" s="404"/>
      <c r="N46" s="404"/>
      <c r="O46" s="404"/>
      <c r="P46" s="404"/>
      <c r="Q46" s="404"/>
    </row>
  </sheetData>
  <mergeCells count="5">
    <mergeCell ref="C8:E8"/>
    <mergeCell ref="F8:H8"/>
    <mergeCell ref="I8:K8"/>
    <mergeCell ref="L8:N8"/>
    <mergeCell ref="O8:Q8"/>
  </mergeCells>
  <conditionalFormatting sqref="L9:M25">
    <cfRule type="expression" dxfId="10" priority="6">
      <formula>ISNA(#REF!)</formula>
    </cfRule>
  </conditionalFormatting>
  <conditionalFormatting sqref="N9:N25">
    <cfRule type="expression" dxfId="9" priority="5">
      <formula>ISNA(XFD9)</formula>
    </cfRule>
  </conditionalFormatting>
  <conditionalFormatting sqref="O9:P25">
    <cfRule type="expression" dxfId="8" priority="8">
      <formula>ISNA(#REF!)</formula>
    </cfRule>
  </conditionalFormatting>
  <conditionalFormatting sqref="O28:P28">
    <cfRule type="expression" dxfId="7" priority="4">
      <formula>ISNA(#REF!)</formula>
    </cfRule>
  </conditionalFormatting>
  <conditionalFormatting sqref="O30:P30">
    <cfRule type="expression" dxfId="6" priority="2">
      <formula>ISNA(#REF!)</formula>
    </cfRule>
  </conditionalFormatting>
  <conditionalFormatting sqref="Q9:Q25">
    <cfRule type="expression" dxfId="5" priority="7">
      <formula>ISNA(C9)</formula>
    </cfRule>
  </conditionalFormatting>
  <conditionalFormatting sqref="Q28">
    <cfRule type="expression" dxfId="4" priority="3">
      <formula>ISNA(C28)</formula>
    </cfRule>
  </conditionalFormatting>
  <conditionalFormatting sqref="Q30">
    <cfRule type="expression" dxfId="3" priority="1">
      <formula>ISNA(C30)</formula>
    </cfRule>
  </conditionalFormatting>
  <printOptions horizontalCentered="1"/>
  <pageMargins left="0.25" right="0.25" top="0.75" bottom="0.75" header="0.3" footer="0.3"/>
  <pageSetup scale="4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37798-9896-4DEB-A0F6-AE841F6FCE46}">
  <sheetPr>
    <tabColor rgb="FFCCFFCC"/>
    <pageSetUpPr fitToPage="1"/>
  </sheetPr>
  <dimension ref="B1:AC89"/>
  <sheetViews>
    <sheetView workbookViewId="0">
      <selection activeCell="F16" sqref="F16"/>
    </sheetView>
  </sheetViews>
  <sheetFormatPr defaultColWidth="9.33203125" defaultRowHeight="12.75"/>
  <cols>
    <col min="1" max="1" width="13.33203125" style="60" customWidth="1"/>
    <col min="2" max="2" width="15" style="60" customWidth="1"/>
    <col min="3" max="3" width="19.33203125" style="60" customWidth="1"/>
    <col min="4" max="4" width="22.83203125" style="60" customWidth="1"/>
    <col min="5" max="5" width="11.1640625" style="60" customWidth="1"/>
    <col min="6" max="6" width="21.5" style="60" customWidth="1"/>
    <col min="7" max="7" width="17.6640625" style="60" customWidth="1"/>
    <col min="8" max="8" width="9.5" style="60" bestFit="1" customWidth="1"/>
    <col min="9" max="9" width="10.5" style="60" customWidth="1"/>
    <col min="10" max="10" width="12.6640625" style="60" customWidth="1"/>
    <col min="11" max="11" width="14" style="60" customWidth="1"/>
    <col min="12" max="12" width="13.33203125" style="60" customWidth="1"/>
    <col min="13" max="13" width="3.1640625" style="60" customWidth="1"/>
    <col min="14" max="14" width="15" style="60" hidden="1" customWidth="1"/>
    <col min="15" max="15" width="5.6640625" style="60" customWidth="1"/>
    <col min="16" max="16" width="9.33203125" style="60" customWidth="1"/>
    <col min="17" max="18" width="16" style="60" customWidth="1"/>
    <col min="19" max="19" width="23.5" style="60" customWidth="1"/>
    <col min="20" max="20" width="18.1640625" style="60" customWidth="1"/>
    <col min="21" max="21" width="13.33203125" style="60" customWidth="1"/>
    <col min="22" max="22" width="18.1640625" style="60" customWidth="1"/>
    <col min="23" max="23" width="12.83203125" style="60" customWidth="1"/>
    <col min="24" max="24" width="15.33203125" style="60" customWidth="1"/>
    <col min="25" max="26" width="9.33203125" style="60"/>
    <col min="27" max="27" width="13.33203125" style="60" customWidth="1"/>
    <col min="28" max="28" width="13.6640625" style="60" customWidth="1"/>
    <col min="29" max="29" width="12" style="60" bestFit="1" customWidth="1"/>
    <col min="30" max="16384" width="9.33203125" style="60"/>
  </cols>
  <sheetData>
    <row r="1" spans="2:29" ht="15.75">
      <c r="B1" s="58" t="s">
        <v>53</v>
      </c>
      <c r="C1" s="59"/>
      <c r="D1" s="59"/>
      <c r="E1" s="59"/>
      <c r="F1" s="59"/>
      <c r="G1" s="59"/>
      <c r="H1" s="59"/>
      <c r="I1" s="59"/>
      <c r="J1" s="59"/>
      <c r="K1" s="59"/>
    </row>
    <row r="2" spans="2:29" ht="15.75">
      <c r="B2" s="58" t="str">
        <f>T57</f>
        <v>WD_.PX.BDG._.PTC.Utility_Scale</v>
      </c>
      <c r="C2" s="59"/>
      <c r="D2" s="59"/>
      <c r="E2" s="59"/>
      <c r="F2" s="59"/>
      <c r="G2" s="59"/>
      <c r="H2" s="59"/>
      <c r="I2" s="59"/>
      <c r="J2" s="59"/>
      <c r="K2" s="59"/>
    </row>
    <row r="3" spans="2:29" ht="15.75">
      <c r="B3" s="58" t="str">
        <f>TEXT($C$61,"0%")&amp;" Capacity Factor"</f>
        <v>40% Capacity Factor</v>
      </c>
      <c r="C3" s="59"/>
      <c r="D3" s="59"/>
      <c r="E3" s="59"/>
      <c r="F3" s="59"/>
      <c r="G3" s="59"/>
      <c r="H3" s="59"/>
      <c r="I3" s="59"/>
      <c r="J3" s="59"/>
      <c r="K3" s="59"/>
    </row>
    <row r="4" spans="2:29">
      <c r="B4" s="59"/>
      <c r="C4" s="59"/>
      <c r="D4" s="59"/>
      <c r="E4" s="59"/>
      <c r="F4" s="59"/>
      <c r="G4" s="59"/>
      <c r="H4" s="59"/>
      <c r="I4" s="59"/>
    </row>
    <row r="5" spans="2:29" ht="51.75" customHeight="1">
      <c r="B5" s="61" t="s">
        <v>0</v>
      </c>
      <c r="C5" s="62" t="s">
        <v>10</v>
      </c>
      <c r="D5" s="62" t="s">
        <v>11</v>
      </c>
      <c r="E5" s="62" t="s">
        <v>12</v>
      </c>
      <c r="F5" s="14"/>
      <c r="G5" s="62" t="s">
        <v>58</v>
      </c>
      <c r="H5" s="14" t="s">
        <v>13</v>
      </c>
      <c r="I5" s="62" t="s">
        <v>113</v>
      </c>
      <c r="J5" s="62" t="s">
        <v>64</v>
      </c>
      <c r="K5" s="14" t="s">
        <v>49</v>
      </c>
      <c r="L5" s="62" t="s">
        <v>86</v>
      </c>
      <c r="N5" s="100"/>
      <c r="O5" s="100"/>
      <c r="Q5" s="100"/>
      <c r="T5" s="142"/>
      <c r="Z5" s="100"/>
      <c r="AA5" s="100"/>
    </row>
    <row r="6" spans="2:29" ht="24" customHeight="1">
      <c r="B6" s="63"/>
      <c r="C6" s="64" t="s">
        <v>8</v>
      </c>
      <c r="D6" s="65" t="s">
        <v>9</v>
      </c>
      <c r="E6" s="65" t="s">
        <v>9</v>
      </c>
      <c r="F6" s="16"/>
      <c r="G6" s="64" t="s">
        <v>31</v>
      </c>
      <c r="H6" s="15" t="s">
        <v>31</v>
      </c>
      <c r="I6" s="15" t="s">
        <v>31</v>
      </c>
      <c r="J6" s="64" t="s">
        <v>31</v>
      </c>
      <c r="K6" s="16" t="s">
        <v>9</v>
      </c>
      <c r="L6" s="65" t="s">
        <v>9</v>
      </c>
      <c r="W6" s="78"/>
      <c r="X6" s="78"/>
    </row>
    <row r="7" spans="2:29">
      <c r="C7" s="66" t="s">
        <v>1</v>
      </c>
      <c r="D7" s="66" t="s">
        <v>2</v>
      </c>
      <c r="E7" s="66" t="s">
        <v>3</v>
      </c>
      <c r="F7" s="66"/>
      <c r="G7" s="66" t="s">
        <v>5</v>
      </c>
      <c r="H7" s="66" t="s">
        <v>7</v>
      </c>
      <c r="I7" s="66" t="s">
        <v>22</v>
      </c>
      <c r="J7" s="66" t="s">
        <v>22</v>
      </c>
      <c r="K7" s="66" t="s">
        <v>23</v>
      </c>
      <c r="L7" s="66" t="s">
        <v>24</v>
      </c>
      <c r="R7" s="71"/>
      <c r="S7" s="78"/>
      <c r="U7" s="78"/>
    </row>
    <row r="8" spans="2:29" ht="21.75" customHeight="1">
      <c r="R8" s="71"/>
      <c r="X8" s="71"/>
    </row>
    <row r="9" spans="2:29">
      <c r="B9" s="67">
        <v>2024</v>
      </c>
      <c r="C9" s="157">
        <f>INDEX('2025 IRP Assumptions'!$E$2:$E$58,MATCH($T$57,'2025 IRP Assumptions'!$C$2:$C$58,0),1)</f>
        <v>1392.68</v>
      </c>
      <c r="D9" s="68"/>
      <c r="E9" s="232">
        <f>INDEX('2025 IRP Assumptions'!$E$62:$E$118,MATCH($T$57,'2025 IRP Assumptions'!$C$62:$C$118,0),1)</f>
        <v>31.65</v>
      </c>
      <c r="F9" s="68"/>
      <c r="G9" s="69"/>
      <c r="H9" s="68"/>
      <c r="I9" s="68"/>
      <c r="J9" s="69"/>
      <c r="K9" s="69"/>
      <c r="L9" s="68"/>
      <c r="S9" s="160"/>
      <c r="T9" s="70"/>
      <c r="X9" s="158"/>
    </row>
    <row r="10" spans="2:29">
      <c r="B10" s="67">
        <f t="shared" ref="B10:B46" si="0">B9+1</f>
        <v>2025</v>
      </c>
      <c r="C10" s="70">
        <f>$C$9*INDEX('2025 IRP Assumptions'!$E$238:$E$258,MATCH(B10,'2025 IRP Assumptions'!$S$238:$S$258,0),1)</f>
        <v>1393.4262466878001</v>
      </c>
      <c r="D10" s="68"/>
      <c r="E10" s="68" cm="1">
        <f t="array" ref="E10">$E$9*INDEX('2025 IRP Assumptions'!$E$373:$E$396,'WD_.PX.BDG._.PTC.2031'!$B10-2023,1)</f>
        <v>32.339970000000001</v>
      </c>
      <c r="F10" s="68"/>
      <c r="G10" s="69"/>
      <c r="H10" s="68"/>
      <c r="I10" s="68"/>
      <c r="J10" s="69"/>
      <c r="K10" s="69"/>
      <c r="L10" s="68"/>
      <c r="R10" s="158"/>
      <c r="S10" s="158"/>
      <c r="U10" s="156"/>
      <c r="X10" s="158"/>
    </row>
    <row r="11" spans="2:29">
      <c r="B11" s="67">
        <f t="shared" si="0"/>
        <v>2026</v>
      </c>
      <c r="C11" s="70">
        <f>$C$9*INDEX('2025 IRP Assumptions'!$E$238:$E$258,MATCH(B11,'2025 IRP Assumptions'!$S$238:$S$258,0),1)</f>
        <v>1394.5581390017201</v>
      </c>
      <c r="D11" s="68"/>
      <c r="E11" s="68" cm="1">
        <f t="array" ref="E11">$E$9*INDEX('2025 IRP Assumptions'!$E$373:$E$396,'WD_.PX.BDG._.PTC.2031'!$B11-2023,1)</f>
        <v>33.044981346</v>
      </c>
      <c r="F11" s="68"/>
      <c r="G11" s="69"/>
      <c r="H11" s="68"/>
      <c r="I11" s="68"/>
      <c r="J11" s="69"/>
      <c r="K11" s="69"/>
      <c r="L11" s="68"/>
      <c r="Q11" s="151"/>
      <c r="R11" s="158"/>
      <c r="S11" s="158"/>
      <c r="X11" s="158"/>
      <c r="AC11" s="144"/>
    </row>
    <row r="12" spans="2:29">
      <c r="B12" s="67">
        <f t="shared" si="0"/>
        <v>2027</v>
      </c>
      <c r="C12" s="70">
        <f>$C$9*INDEX('2025 IRP Assumptions'!$E$238:$E$258,MATCH(B12,'2025 IRP Assumptions'!$S$238:$S$258,0),1)</f>
        <v>1395.0771713402</v>
      </c>
      <c r="D12" s="68"/>
      <c r="E12" s="68" cm="1">
        <f t="array" ref="E12">$E$9*INDEX('2025 IRP Assumptions'!$E$373:$E$396,'WD_.PX.BDG._.PTC.2031'!$B12-2023,1)</f>
        <v>33.765361931999998</v>
      </c>
      <c r="F12" s="68"/>
      <c r="G12" s="69"/>
      <c r="H12" s="68"/>
      <c r="I12" s="68"/>
      <c r="J12" s="69"/>
      <c r="K12" s="69"/>
      <c r="L12" s="68"/>
      <c r="P12" s="78"/>
      <c r="Q12" s="69"/>
      <c r="R12" s="158"/>
      <c r="S12" s="158"/>
      <c r="U12" s="160"/>
      <c r="X12" s="158"/>
      <c r="Y12" s="160"/>
    </row>
    <row r="13" spans="2:29">
      <c r="B13" s="67">
        <f t="shared" si="0"/>
        <v>2028</v>
      </c>
      <c r="C13" s="70">
        <f>$C$9*INDEX('2025 IRP Assumptions'!$E$238:$E$258,MATCH(B13,'2025 IRP Assumptions'!$S$238:$S$258,0),1)</f>
        <v>1394.9560833849202</v>
      </c>
      <c r="D13" s="68"/>
      <c r="E13" s="68" cm="1">
        <f t="array" ref="E13">$E$9*INDEX('2025 IRP Assumptions'!$E$373:$E$396,'WD_.PX.BDG._.PTC.2031'!$B13-2023,1)</f>
        <v>34.501446836549995</v>
      </c>
      <c r="F13" s="264"/>
      <c r="G13" s="69"/>
      <c r="H13" s="68"/>
      <c r="I13" s="68"/>
      <c r="J13" s="69"/>
      <c r="K13" s="69"/>
      <c r="L13" s="68"/>
      <c r="P13" s="78"/>
      <c r="Q13" s="69"/>
      <c r="U13" s="160"/>
      <c r="W13" s="78"/>
      <c r="X13" s="158"/>
      <c r="Y13" s="160"/>
    </row>
    <row r="14" spans="2:29">
      <c r="B14" s="67">
        <f t="shared" si="0"/>
        <v>2029</v>
      </c>
      <c r="C14" s="70">
        <f>$C$9*INDEX('2025 IRP Assumptions'!$E$238:$E$258,MATCH(B14,'2025 IRP Assumptions'!$S$238:$S$258,0),1)</f>
        <v>1394.16671932432</v>
      </c>
      <c r="D14" s="68"/>
      <c r="E14" s="68" cm="1">
        <f t="array" ref="E14">$E$9*INDEX('2025 IRP Assumptions'!$E$373:$E$396,'WD_.PX.BDG._.PTC.2031'!$B14-2023,1)</f>
        <v>35.253578386050002</v>
      </c>
      <c r="F14" s="264"/>
      <c r="G14" s="69"/>
      <c r="H14" s="68"/>
      <c r="I14" s="68"/>
      <c r="J14" s="69"/>
      <c r="K14" s="69"/>
      <c r="L14" s="68"/>
      <c r="P14" s="78"/>
      <c r="Q14" s="69"/>
      <c r="U14" s="160"/>
      <c r="V14" s="78"/>
      <c r="W14" s="78"/>
      <c r="X14" s="158"/>
      <c r="Y14" s="160"/>
      <c r="Z14" s="78"/>
    </row>
    <row r="15" spans="2:29">
      <c r="B15" s="67">
        <f t="shared" si="0"/>
        <v>2030</v>
      </c>
      <c r="C15" s="70">
        <f>$C$9*INDEX('2025 IRP Assumptions'!$E$238:$E$258,MATCH(B15,'2025 IRP Assumptions'!$S$238:$S$258,0),1)</f>
        <v>1392.68</v>
      </c>
      <c r="D15" s="68"/>
      <c r="E15" s="68" cm="1">
        <f t="array" ref="E15">$E$9*INDEX('2025 IRP Assumptions'!$E$373:$E$396,'WD_.PX.BDG._.PTC.2031'!$B15-2023,1)</f>
        <v>36.022106376299995</v>
      </c>
      <c r="F15" s="264"/>
      <c r="G15" s="69"/>
      <c r="H15" s="68"/>
      <c r="I15" s="68"/>
      <c r="J15" s="69"/>
      <c r="K15" s="69"/>
      <c r="L15" s="68"/>
      <c r="P15" s="78"/>
      <c r="Q15" s="69"/>
      <c r="U15" s="160"/>
      <c r="V15" s="78"/>
      <c r="W15" s="78"/>
      <c r="X15" s="158"/>
      <c r="Y15" s="160"/>
      <c r="Z15" s="78"/>
      <c r="AA15" s="78"/>
    </row>
    <row r="16" spans="2:29">
      <c r="B16" s="67">
        <f t="shared" si="0"/>
        <v>2031</v>
      </c>
      <c r="C16" s="70">
        <f>$C$9*INDEX('2025 IRP Assumptions'!$E$238:$E$258,MATCH(B16,'2025 IRP Assumptions'!$S$238:$S$258,0),1)</f>
        <v>1408.2311634594403</v>
      </c>
      <c r="D16" s="232">
        <f>C16*$C$60</f>
        <v>88.943880284098242</v>
      </c>
      <c r="E16" s="68" cm="1">
        <f t="array" ref="E16">$E$9*INDEX('2025 IRP Assumptions'!$E$373:$E$396,'WD_.PX.BDG._.PTC.2031'!$B16-2023,1)</f>
        <v>36.80738829405</v>
      </c>
      <c r="F16" s="264"/>
      <c r="G16" s="69">
        <f t="shared" ref="G16:G46" si="1">(D16+E16+F16)/(8.76*$C$61)</f>
        <v>36.058122380098993</v>
      </c>
      <c r="H16" s="68"/>
      <c r="I16" s="68">
        <f>-I64</f>
        <v>-49.06</v>
      </c>
      <c r="J16" s="69">
        <f t="shared" ref="J16:J35" si="2">(G16+H16+I16)</f>
        <v>-13.001877619901009</v>
      </c>
      <c r="K16" s="69">
        <f t="shared" ref="K16:K46" si="3">ROUND(J16*$C$61*8.76,2)</f>
        <v>-45.34</v>
      </c>
      <c r="L16" s="68">
        <f t="shared" ref="L16:L35" si="4">(D16+E16+F16)</f>
        <v>125.75126857814824</v>
      </c>
      <c r="P16" s="78"/>
      <c r="Q16" s="69"/>
      <c r="U16" s="160"/>
      <c r="V16" s="78"/>
      <c r="W16" s="78"/>
      <c r="X16" s="158"/>
      <c r="Y16" s="160"/>
      <c r="Z16" s="78"/>
      <c r="AA16" s="78"/>
    </row>
    <row r="17" spans="2:27">
      <c r="B17" s="67">
        <f t="shared" si="0"/>
        <v>2032</v>
      </c>
      <c r="C17" s="70"/>
      <c r="D17" s="68" cm="1">
        <f t="array" ref="D17">D16*INDEX('2025 IRP Assumptions'!$E$373:$E$396,'WD_.PX.BDG._.PTC.2031'!$B17-2023,1)/INDEX('2025 IRP Assumptions'!$E$373:$E$396,'WD_.PX.BDG._.PTC.2031'!$B17-2023-1,1)</f>
        <v>90.882856849618747</v>
      </c>
      <c r="E17" s="68" cm="1">
        <f t="array" ref="E17">$E$9*INDEX('2025 IRP Assumptions'!$E$373:$E$396,'WD_.PX.BDG._.PTC.2031'!$B17-2023,1)</f>
        <v>37.609789348650004</v>
      </c>
      <c r="F17" s="264"/>
      <c r="G17" s="69">
        <f t="shared" si="1"/>
        <v>36.844189437982706</v>
      </c>
      <c r="H17" s="68"/>
      <c r="I17" s="68">
        <f t="shared" ref="I17:I25" si="5">-I65</f>
        <v>-50.39</v>
      </c>
      <c r="J17" s="69">
        <f t="shared" si="2"/>
        <v>-13.545810562017294</v>
      </c>
      <c r="K17" s="69">
        <f t="shared" si="3"/>
        <v>-47.24</v>
      </c>
      <c r="L17" s="68">
        <f t="shared" si="4"/>
        <v>128.49264619826874</v>
      </c>
      <c r="P17" s="78"/>
      <c r="Q17" s="69"/>
      <c r="T17" s="78"/>
      <c r="V17" s="78"/>
      <c r="W17" s="78"/>
      <c r="Y17" s="78"/>
      <c r="Z17" s="78"/>
      <c r="AA17" s="78"/>
    </row>
    <row r="18" spans="2:27">
      <c r="B18" s="67">
        <f t="shared" si="0"/>
        <v>2033</v>
      </c>
      <c r="C18" s="70"/>
      <c r="D18" s="68" cm="1">
        <f t="array" ref="D18">D17*INDEX('2025 IRP Assumptions'!$E$373:$E$396,'WD_.PX.BDG._.PTC.2031'!$B18-2023,1)/INDEX('2025 IRP Assumptions'!$E$373:$E$396,'WD_.PX.BDG._.PTC.2031'!$B18-2023-1,1)</f>
        <v>92.86410313002645</v>
      </c>
      <c r="E18" s="68" cm="1">
        <f t="array" ref="E18">$E$9*INDEX('2025 IRP Assumptions'!$E$373:$E$396,'WD_.PX.BDG._.PTC.2031'!$B18-2023,1)</f>
        <v>38.429682756899993</v>
      </c>
      <c r="F18" s="264"/>
      <c r="G18" s="69">
        <f t="shared" si="1"/>
        <v>37.647392768171009</v>
      </c>
      <c r="H18" s="68"/>
      <c r="I18" s="68">
        <f t="shared" si="5"/>
        <v>-50.39</v>
      </c>
      <c r="J18" s="69">
        <f t="shared" si="2"/>
        <v>-12.742607231828991</v>
      </c>
      <c r="K18" s="69">
        <f t="shared" si="3"/>
        <v>-44.44</v>
      </c>
      <c r="L18" s="68">
        <f t="shared" si="4"/>
        <v>131.29378588692646</v>
      </c>
      <c r="P18" s="78"/>
      <c r="Q18" s="69"/>
      <c r="T18" s="78"/>
      <c r="V18" s="78"/>
      <c r="W18" s="78"/>
      <c r="Y18" s="78"/>
      <c r="Z18" s="78"/>
      <c r="AA18" s="78"/>
    </row>
    <row r="19" spans="2:27">
      <c r="B19" s="67">
        <f t="shared" si="0"/>
        <v>2034</v>
      </c>
      <c r="C19" s="70"/>
      <c r="D19" s="68" cm="1">
        <f t="array" ref="D19">D18*INDEX('2025 IRP Assumptions'!$E$373:$E$396,'WD_.PX.BDG._.PTC.2031'!$B19-2023,1)/INDEX('2025 IRP Assumptions'!$E$373:$E$396,'WD_.PX.BDG._.PTC.2031'!$B19-2023-1,1)</f>
        <v>94.888540647491823</v>
      </c>
      <c r="E19" s="68" cm="1">
        <f t="array" ref="E19">$E$9*INDEX('2025 IRP Assumptions'!$E$373:$E$396,'WD_.PX.BDG._.PTC.2031'!$B19-2023,1)</f>
        <v>39.267449869649994</v>
      </c>
      <c r="F19" s="264"/>
      <c r="G19" s="69">
        <f t="shared" si="1"/>
        <v>38.468105958583514</v>
      </c>
      <c r="H19" s="68"/>
      <c r="I19" s="68">
        <f t="shared" si="5"/>
        <v>-51.71</v>
      </c>
      <c r="J19" s="69">
        <f t="shared" si="2"/>
        <v>-13.241894041416487</v>
      </c>
      <c r="K19" s="69">
        <f t="shared" si="3"/>
        <v>-46.18</v>
      </c>
      <c r="L19" s="68">
        <f t="shared" si="4"/>
        <v>134.15599051714182</v>
      </c>
      <c r="P19" s="78"/>
      <c r="Q19" s="69"/>
      <c r="T19" s="78"/>
      <c r="V19" s="78"/>
      <c r="W19" s="78"/>
      <c r="Y19" s="78"/>
      <c r="Z19" s="78"/>
      <c r="AA19" s="78"/>
    </row>
    <row r="20" spans="2:27">
      <c r="B20" s="67">
        <f t="shared" si="0"/>
        <v>2035</v>
      </c>
      <c r="C20" s="70"/>
      <c r="D20" s="68" cm="1">
        <f t="array" ref="D20">D19*INDEX('2025 IRP Assumptions'!$E$373:$E$396,'WD_.PX.BDG._.PTC.2031'!$B20-2023,1)/INDEX('2025 IRP Assumptions'!$E$373:$E$396,'WD_.PX.BDG._.PTC.2031'!$B20-2023-1,1)</f>
        <v>96.957110809301412</v>
      </c>
      <c r="E20" s="68" cm="1">
        <f t="array" ref="E20">$E$9*INDEX('2025 IRP Assumptions'!$E$373:$E$396,'WD_.PX.BDG._.PTC.2031'!$B20-2023,1)</f>
        <v>40.123480266749993</v>
      </c>
      <c r="F20" s="264"/>
      <c r="G20" s="69">
        <f t="shared" si="1"/>
        <v>39.306710658627011</v>
      </c>
      <c r="H20" s="68"/>
      <c r="I20" s="68">
        <f t="shared" si="5"/>
        <v>-53.04</v>
      </c>
      <c r="J20" s="69">
        <f t="shared" si="2"/>
        <v>-13.733289341372988</v>
      </c>
      <c r="K20" s="69">
        <f t="shared" si="3"/>
        <v>-47.89</v>
      </c>
      <c r="L20" s="68">
        <f t="shared" si="4"/>
        <v>137.08059107605141</v>
      </c>
      <c r="P20" s="78"/>
      <c r="Q20" s="69"/>
      <c r="T20" s="78"/>
      <c r="V20" s="78"/>
      <c r="W20" s="78"/>
      <c r="Y20" s="78"/>
      <c r="Z20" s="78"/>
      <c r="AA20" s="78"/>
    </row>
    <row r="21" spans="2:27">
      <c r="B21" s="67">
        <f t="shared" si="0"/>
        <v>2036</v>
      </c>
      <c r="C21" s="70"/>
      <c r="D21" s="68" cm="1">
        <f t="array" ref="D21">D20*INDEX('2025 IRP Assumptions'!$E$373:$E$396,'WD_.PX.BDG._.PTC.2031'!$B21-2023,1)/INDEX('2025 IRP Assumptions'!$E$373:$E$396,'WD_.PX.BDG._.PTC.2031'!$B21-2023-1,1)</f>
        <v>99.070775825632509</v>
      </c>
      <c r="E21" s="68" cm="1">
        <f t="array" ref="E21">$E$9*INDEX('2025 IRP Assumptions'!$E$373:$E$396,'WD_.PX.BDG._.PTC.2031'!$B21-2023,1)</f>
        <v>40.998172136849995</v>
      </c>
      <c r="F21" s="264"/>
      <c r="G21" s="69">
        <f t="shared" si="1"/>
        <v>40.163596951264132</v>
      </c>
      <c r="H21" s="68"/>
      <c r="I21" s="68">
        <f t="shared" si="5"/>
        <v>-54.37</v>
      </c>
      <c r="J21" s="69">
        <f t="shared" si="2"/>
        <v>-14.206403048735865</v>
      </c>
      <c r="K21" s="69">
        <f t="shared" si="3"/>
        <v>-49.54</v>
      </c>
      <c r="L21" s="68">
        <f t="shared" si="4"/>
        <v>140.0689479624825</v>
      </c>
      <c r="P21" s="78"/>
      <c r="Q21" s="69"/>
      <c r="T21" s="78"/>
      <c r="V21" s="78"/>
      <c r="W21" s="78"/>
      <c r="Y21" s="78"/>
      <c r="Z21" s="78"/>
      <c r="AA21" s="78"/>
    </row>
    <row r="22" spans="2:27">
      <c r="B22" s="67">
        <f t="shared" si="0"/>
        <v>2037</v>
      </c>
      <c r="C22" s="70"/>
      <c r="D22" s="68" cm="1">
        <f t="array" ref="D22">D21*INDEX('2025 IRP Assumptions'!$E$373:$E$396,'WD_.PX.BDG._.PTC.2031'!$B22-2023,1)/INDEX('2025 IRP Assumptions'!$E$373:$E$396,'WD_.PX.BDG._.PTC.2031'!$B22-2023-1,1)</f>
        <v>101.23051870955315</v>
      </c>
      <c r="E22" s="68" cm="1">
        <f t="array" ref="E22">$E$9*INDEX('2025 IRP Assumptions'!$E$373:$E$396,'WD_.PX.BDG._.PTC.2031'!$B22-2023,1)</f>
        <v>41.891932277399995</v>
      </c>
      <c r="F22" s="264"/>
      <c r="G22" s="69">
        <f t="shared" si="1"/>
        <v>41.039163353013315</v>
      </c>
      <c r="H22" s="68"/>
      <c r="I22" s="68">
        <f t="shared" si="5"/>
        <v>-55.69</v>
      </c>
      <c r="J22" s="69">
        <f t="shared" si="2"/>
        <v>-14.650836646986683</v>
      </c>
      <c r="K22" s="69">
        <f t="shared" si="3"/>
        <v>-51.09</v>
      </c>
      <c r="L22" s="68">
        <f t="shared" si="4"/>
        <v>143.12245098695314</v>
      </c>
      <c r="P22" s="78"/>
      <c r="Q22" s="69"/>
      <c r="T22" s="78"/>
      <c r="V22" s="78"/>
      <c r="W22" s="78"/>
      <c r="Y22" s="78"/>
      <c r="Z22" s="78"/>
      <c r="AA22" s="78"/>
    </row>
    <row r="23" spans="2:27">
      <c r="B23" s="67">
        <f t="shared" si="0"/>
        <v>2038</v>
      </c>
      <c r="C23" s="70"/>
      <c r="D23" s="68" cm="1">
        <f t="array" ref="D23">D22*INDEX('2025 IRP Assumptions'!$E$373:$E$396,'WD_.PX.BDG._.PTC.2031'!$B23-2023,1)/INDEX('2025 IRP Assumptions'!$E$373:$E$396,'WD_.PX.BDG._.PTC.2031'!$B23-2023-1,1)</f>
        <v>103.43734404183422</v>
      </c>
      <c r="E23" s="68" cm="1">
        <f t="array" ref="E23">$E$9*INDEX('2025 IRP Assumptions'!$E$373:$E$396,'WD_.PX.BDG._.PTC.2031'!$B23-2023,1)</f>
        <v>42.805176411150001</v>
      </c>
      <c r="F23" s="264"/>
      <c r="G23" s="69">
        <f t="shared" si="1"/>
        <v>41.93381712400604</v>
      </c>
      <c r="H23" s="68"/>
      <c r="I23" s="68">
        <f t="shared" si="5"/>
        <v>-55.69</v>
      </c>
      <c r="J23" s="69">
        <f t="shared" si="2"/>
        <v>-13.756182875993957</v>
      </c>
      <c r="K23" s="69">
        <f t="shared" si="3"/>
        <v>-47.97</v>
      </c>
      <c r="L23" s="68">
        <f t="shared" si="4"/>
        <v>146.24252045298422</v>
      </c>
      <c r="P23" s="78"/>
      <c r="Q23" s="69"/>
      <c r="T23" s="78"/>
      <c r="V23" s="78"/>
      <c r="W23" s="78"/>
      <c r="Y23" s="78"/>
      <c r="Z23" s="78"/>
      <c r="AA23" s="78"/>
    </row>
    <row r="24" spans="2:27">
      <c r="B24" s="67">
        <f t="shared" si="0"/>
        <v>2039</v>
      </c>
      <c r="C24" s="70"/>
      <c r="D24" s="68" cm="1">
        <f t="array" ref="D24">D23*INDEX('2025 IRP Assumptions'!$E$373:$E$396,'WD_.PX.BDG._.PTC.2031'!$B24-2023,1)/INDEX('2025 IRP Assumptions'!$E$373:$E$396,'WD_.PX.BDG._.PTC.2031'!$B24-2023-1,1)</f>
        <v>105.69227812391193</v>
      </c>
      <c r="E24" s="68" cm="1">
        <f t="array" ref="E24">$E$9*INDEX('2025 IRP Assumptions'!$E$373:$E$396,'WD_.PX.BDG._.PTC.2031'!$B24-2023,1)</f>
        <v>43.738329249449997</v>
      </c>
      <c r="F24" s="264"/>
      <c r="G24" s="69">
        <f t="shared" si="1"/>
        <v>42.847974329998223</v>
      </c>
      <c r="H24" s="68"/>
      <c r="I24" s="68">
        <f t="shared" si="5"/>
        <v>-57.02</v>
      </c>
      <c r="J24" s="69">
        <f t="shared" si="2"/>
        <v>-14.17202567000178</v>
      </c>
      <c r="K24" s="69">
        <f t="shared" si="3"/>
        <v>-49.42</v>
      </c>
      <c r="L24" s="68">
        <f t="shared" si="4"/>
        <v>149.43060737336194</v>
      </c>
      <c r="P24" s="78"/>
      <c r="Q24" s="69"/>
      <c r="T24" s="78"/>
      <c r="V24" s="78"/>
      <c r="W24" s="78"/>
      <c r="Y24" s="78"/>
      <c r="Z24" s="78"/>
      <c r="AA24" s="78"/>
    </row>
    <row r="25" spans="2:27">
      <c r="B25" s="67">
        <f t="shared" si="0"/>
        <v>2040</v>
      </c>
      <c r="C25" s="70"/>
      <c r="D25" s="68" cm="1">
        <f t="array" ref="D25">D24*INDEX('2025 IRP Assumptions'!$E$373:$E$396,'WD_.PX.BDG._.PTC.2031'!$B25-2023,1)/INDEX('2025 IRP Assumptions'!$E$373:$E$396,'WD_.PX.BDG._.PTC.2031'!$B25-2023-1,1)</f>
        <v>107.99636981918123</v>
      </c>
      <c r="E25" s="68" cm="1">
        <f t="array" ref="E25">$E$9*INDEX('2025 IRP Assumptions'!$E$373:$E$396,'WD_.PX.BDG._.PTC.2031'!$B25-2023,1)</f>
        <v>44.691824840399995</v>
      </c>
      <c r="F25" s="264"/>
      <c r="G25" s="69">
        <f t="shared" si="1"/>
        <v>43.782060183433195</v>
      </c>
      <c r="H25" s="68"/>
      <c r="I25" s="68">
        <f t="shared" si="5"/>
        <v>-58.35</v>
      </c>
      <c r="J25" s="69">
        <f t="shared" si="2"/>
        <v>-14.567939816566806</v>
      </c>
      <c r="K25" s="69">
        <f t="shared" si="3"/>
        <v>-50.81</v>
      </c>
      <c r="L25" s="68">
        <f t="shared" si="4"/>
        <v>152.68819465958123</v>
      </c>
      <c r="P25" s="78"/>
      <c r="Q25" s="69"/>
      <c r="T25" s="78"/>
      <c r="V25" s="78"/>
      <c r="W25" s="78"/>
      <c r="Y25" s="78"/>
      <c r="Z25" s="78"/>
      <c r="AA25" s="78"/>
    </row>
    <row r="26" spans="2:27">
      <c r="B26" s="67">
        <f t="shared" si="0"/>
        <v>2041</v>
      </c>
      <c r="C26" s="70"/>
      <c r="D26" s="68" cm="1">
        <f t="array" ref="D26">D25*INDEX('2025 IRP Assumptions'!$E$373:$E$396,'WD_.PX.BDG._.PTC.2031'!$B26-2023,1)/INDEX('2025 IRP Assumptions'!$E$373:$E$396,'WD_.PX.BDG._.PTC.2031'!$B26-2023-1,1)</f>
        <v>110.3506906294769</v>
      </c>
      <c r="E26" s="68" cm="1">
        <f t="array" ref="E26">$E$9*INDEX('2025 IRP Assumptions'!$E$373:$E$396,'WD_.PX.BDG._.PTC.2031'!$B26-2023,1)</f>
        <v>45.666106600499994</v>
      </c>
      <c r="F26" s="264"/>
      <c r="G26" s="69">
        <f t="shared" si="1"/>
        <v>44.736509074447369</v>
      </c>
      <c r="H26" s="68"/>
      <c r="I26" s="68"/>
      <c r="J26" s="69">
        <f t="shared" si="2"/>
        <v>44.736509074447369</v>
      </c>
      <c r="K26" s="69">
        <f t="shared" si="3"/>
        <v>156.02000000000001</v>
      </c>
      <c r="L26" s="68">
        <f t="shared" si="4"/>
        <v>156.0167972299769</v>
      </c>
      <c r="P26" s="78"/>
      <c r="Q26" s="69"/>
    </row>
    <row r="27" spans="2:27">
      <c r="B27" s="67">
        <f t="shared" si="0"/>
        <v>2042</v>
      </c>
      <c r="C27" s="70"/>
      <c r="D27" s="68" cm="1">
        <f t="array" ref="D27">D26*INDEX('2025 IRP Assumptions'!$E$373:$E$396,'WD_.PX.BDG._.PTC.2031'!$B27-2023,1)/INDEX('2025 IRP Assumptions'!$E$373:$E$396,'WD_.PX.BDG._.PTC.2031'!$B27-2023-1,1)</f>
        <v>112.75633568932949</v>
      </c>
      <c r="E27" s="68" cm="1">
        <f t="array" ref="E27">$E$9*INDEX('2025 IRP Assumptions'!$E$373:$E$396,'WD_.PX.BDG._.PTC.2031'!$B27-2023,1)</f>
        <v>46.661627726100001</v>
      </c>
      <c r="F27" s="264"/>
      <c r="G27" s="69">
        <f t="shared" si="1"/>
        <v>45.711764973944632</v>
      </c>
      <c r="H27" s="68"/>
      <c r="I27" s="68"/>
      <c r="J27" s="69">
        <f t="shared" si="2"/>
        <v>45.711764973944632</v>
      </c>
      <c r="K27" s="69">
        <f t="shared" si="3"/>
        <v>159.41999999999999</v>
      </c>
      <c r="L27" s="68">
        <f t="shared" si="4"/>
        <v>159.41796341542948</v>
      </c>
      <c r="P27" s="78"/>
      <c r="Q27" s="69"/>
    </row>
    <row r="28" spans="2:27">
      <c r="B28" s="67">
        <f t="shared" si="0"/>
        <v>2043</v>
      </c>
      <c r="C28" s="70"/>
      <c r="D28" s="68" cm="1">
        <f t="array" ref="D28">D27*INDEX('2025 IRP Assumptions'!$E$373:$E$396,'WD_.PX.BDG._.PTC.2031'!$B28-2023,1)/INDEX('2025 IRP Assumptions'!$E$373:$E$396,'WD_.PX.BDG._.PTC.2031'!$B28-2023-1,1)</f>
        <v>115.21442384244646</v>
      </c>
      <c r="E28" s="68" cm="1">
        <f t="array" ref="E28">$E$9*INDEX('2025 IRP Assumptions'!$E$373:$E$396,'WD_.PX.BDG._.PTC.2031'!$B28-2023,1)</f>
        <v>47.678851225049996</v>
      </c>
      <c r="F28" s="264"/>
      <c r="G28" s="69">
        <f t="shared" si="1"/>
        <v>46.708281464602052</v>
      </c>
      <c r="H28" s="68"/>
      <c r="I28" s="68"/>
      <c r="J28" s="69">
        <f t="shared" si="2"/>
        <v>46.708281464602052</v>
      </c>
      <c r="K28" s="69">
        <f t="shared" si="3"/>
        <v>162.88999999999999</v>
      </c>
      <c r="L28" s="68">
        <f t="shared" si="4"/>
        <v>162.89327506749646</v>
      </c>
      <c r="P28" s="78"/>
      <c r="Q28" s="69"/>
    </row>
    <row r="29" spans="2:27">
      <c r="B29" s="67">
        <f t="shared" si="0"/>
        <v>2044</v>
      </c>
      <c r="C29" s="70"/>
      <c r="D29" s="68" cm="1">
        <f t="array" ref="D29">D28*INDEX('2025 IRP Assumptions'!$E$373:$E$396,'WD_.PX.BDG._.PTC.2031'!$B29-2023,1)/INDEX('2025 IRP Assumptions'!$E$373:$E$396,'WD_.PX.BDG._.PTC.2031'!$B29-2023-1,1)</f>
        <v>117.72609825356193</v>
      </c>
      <c r="E29" s="68" cm="1">
        <f t="array" ref="E29">$E$9*INDEX('2025 IRP Assumptions'!$E$373:$E$396,'WD_.PX.BDG._.PTC.2031'!$B29-2023,1)</f>
        <v>48.718250169900003</v>
      </c>
      <c r="F29" s="264"/>
      <c r="G29" s="69">
        <f t="shared" si="1"/>
        <v>47.726521988915628</v>
      </c>
      <c r="H29" s="68"/>
      <c r="I29" s="68"/>
      <c r="J29" s="69">
        <f t="shared" si="2"/>
        <v>47.726521988915628</v>
      </c>
      <c r="K29" s="69">
        <f t="shared" si="3"/>
        <v>166.44</v>
      </c>
      <c r="L29" s="68">
        <f t="shared" si="4"/>
        <v>166.44434842346192</v>
      </c>
      <c r="P29" s="78"/>
      <c r="Q29" s="69"/>
    </row>
    <row r="30" spans="2:27">
      <c r="B30" s="67">
        <f t="shared" si="0"/>
        <v>2045</v>
      </c>
      <c r="C30" s="70"/>
      <c r="D30" s="68" cm="1">
        <f t="array" ref="D30">D29*INDEX('2025 IRP Assumptions'!$E$373:$E$396,'WD_.PX.BDG._.PTC.2031'!$B30-2023,1)/INDEX('2025 IRP Assumptions'!$E$373:$E$396,'WD_.PX.BDG._.PTC.2031'!$B30-2023-1,1)</f>
        <v>120.29252724973006</v>
      </c>
      <c r="E30" s="68" cm="1">
        <f t="array" ref="E30">$E$9*INDEX('2025 IRP Assumptions'!$E$373:$E$396,'WD_.PX.BDG._.PTC.2031'!$B30-2023,1)</f>
        <v>49.780308046050003</v>
      </c>
      <c r="F30" s="264"/>
      <c r="G30" s="69">
        <f t="shared" si="1"/>
        <v>48.766960190263255</v>
      </c>
      <c r="H30" s="68"/>
      <c r="I30" s="68"/>
      <c r="J30" s="69">
        <f t="shared" si="2"/>
        <v>48.766960190263255</v>
      </c>
      <c r="K30" s="69">
        <f t="shared" si="3"/>
        <v>170.07</v>
      </c>
      <c r="L30" s="68">
        <f t="shared" si="4"/>
        <v>170.07283529578007</v>
      </c>
      <c r="P30" s="78"/>
      <c r="Q30" s="69"/>
    </row>
    <row r="31" spans="2:27">
      <c r="B31" s="67">
        <f t="shared" si="0"/>
        <v>2046</v>
      </c>
      <c r="C31" s="70"/>
      <c r="D31" s="68" cm="1">
        <f t="array" ref="D31">D30*INDEX('2025 IRP Assumptions'!$E$373:$E$396,'WD_.PX.BDG._.PTC.2031'!$B31-2023,1)/INDEX('2025 IRP Assumptions'!$E$373:$E$396,'WD_.PX.BDG._.PTC.2031'!$B31-2023-1,1)</f>
        <v>122.91490432032502</v>
      </c>
      <c r="E31" s="68" cm="1">
        <f t="array" ref="E31">$E$9*INDEX('2025 IRP Assumptions'!$E$373:$E$396,'WD_.PX.BDG._.PTC.2031'!$B31-2023,1)</f>
        <v>50.865518751749995</v>
      </c>
      <c r="F31" s="264"/>
      <c r="G31" s="69">
        <f t="shared" si="1"/>
        <v>49.83007991290463</v>
      </c>
      <c r="H31" s="68"/>
      <c r="I31" s="68"/>
      <c r="J31" s="69">
        <f t="shared" si="2"/>
        <v>49.83007991290463</v>
      </c>
      <c r="K31" s="69">
        <f t="shared" si="3"/>
        <v>173.78</v>
      </c>
      <c r="L31" s="68">
        <f t="shared" si="4"/>
        <v>173.78042307207502</v>
      </c>
      <c r="P31" s="78"/>
      <c r="Q31" s="69"/>
    </row>
    <row r="32" spans="2:27">
      <c r="B32" s="67">
        <f t="shared" si="0"/>
        <v>2047</v>
      </c>
      <c r="C32" s="70"/>
      <c r="D32" s="68" cm="1">
        <f t="array" ref="D32">D31*INDEX('2025 IRP Assumptions'!$E$373:$E$396,'WD_.PX.BDG._.PTC.2031'!$B32-2023,1)/INDEX('2025 IRP Assumptions'!$E$373:$E$396,'WD_.PX.BDG._.PTC.2031'!$B32-2023-1,1)</f>
        <v>125.59444918777807</v>
      </c>
      <c r="E32" s="68" cm="1">
        <f t="array" ref="E32">$E$9*INDEX('2025 IRP Assumptions'!$E$373:$E$396,'WD_.PX.BDG._.PTC.2031'!$B32-2023,1)</f>
        <v>51.974387041199996</v>
      </c>
      <c r="F32" s="264"/>
      <c r="G32" s="69">
        <f t="shared" si="1"/>
        <v>50.916375636061453</v>
      </c>
      <c r="H32" s="68"/>
      <c r="I32" s="68"/>
      <c r="J32" s="69">
        <f t="shared" si="2"/>
        <v>50.916375636061453</v>
      </c>
      <c r="K32" s="69">
        <f t="shared" si="3"/>
        <v>177.57</v>
      </c>
      <c r="L32" s="68">
        <f t="shared" si="4"/>
        <v>177.56883622897806</v>
      </c>
      <c r="P32" s="78"/>
      <c r="Q32" s="69"/>
    </row>
    <row r="33" spans="2:17" ht="15">
      <c r="B33" s="67">
        <f t="shared" si="0"/>
        <v>2048</v>
      </c>
      <c r="C33" s="70"/>
      <c r="D33" s="259">
        <f t="shared" ref="D33:E35" si="6">D32*D32/D31</f>
        <v>128.33240813232288</v>
      </c>
      <c r="E33" s="259">
        <f t="shared" si="6"/>
        <v>53.107428658938439</v>
      </c>
      <c r="F33" s="264"/>
      <c r="G33" s="69">
        <f t="shared" si="1"/>
        <v>52.026352605570104</v>
      </c>
      <c r="H33" s="68"/>
      <c r="I33" s="349"/>
      <c r="J33" s="69">
        <f t="shared" si="2"/>
        <v>52.026352605570104</v>
      </c>
      <c r="K33" s="69">
        <f t="shared" si="3"/>
        <v>181.44</v>
      </c>
      <c r="L33" s="68">
        <f t="shared" si="4"/>
        <v>181.43983679126131</v>
      </c>
      <c r="P33" s="78"/>
      <c r="Q33" s="69"/>
    </row>
    <row r="34" spans="2:17" ht="15">
      <c r="B34" s="67">
        <f t="shared" si="0"/>
        <v>2049</v>
      </c>
      <c r="C34" s="70"/>
      <c r="D34" s="259">
        <f t="shared" si="6"/>
        <v>131.13005458081784</v>
      </c>
      <c r="E34" s="259">
        <f t="shared" si="6"/>
        <v>54.26517058351282</v>
      </c>
      <c r="F34" s="264"/>
      <c r="G34" s="69">
        <f t="shared" si="1"/>
        <v>53.160527072592053</v>
      </c>
      <c r="H34" s="68"/>
      <c r="I34" s="349"/>
      <c r="J34" s="69">
        <f t="shared" si="2"/>
        <v>53.160527072592053</v>
      </c>
      <c r="K34" s="69">
        <f t="shared" si="3"/>
        <v>185.4</v>
      </c>
      <c r="L34" s="68">
        <f t="shared" si="4"/>
        <v>185.39522516433067</v>
      </c>
      <c r="P34" s="78"/>
      <c r="Q34" s="69"/>
    </row>
    <row r="35" spans="2:17" ht="15">
      <c r="B35" s="67">
        <f t="shared" si="0"/>
        <v>2050</v>
      </c>
      <c r="C35" s="70"/>
      <c r="D35" s="259">
        <f t="shared" si="6"/>
        <v>133.98868972082636</v>
      </c>
      <c r="E35" s="259">
        <f t="shared" si="6"/>
        <v>55.448151281602769</v>
      </c>
      <c r="F35" s="264"/>
      <c r="G35" s="69">
        <f t="shared" si="1"/>
        <v>54.319426542563882</v>
      </c>
      <c r="H35" s="68"/>
      <c r="I35" s="349"/>
      <c r="J35" s="69">
        <f t="shared" si="2"/>
        <v>54.319426542563882</v>
      </c>
      <c r="K35" s="69">
        <f t="shared" si="3"/>
        <v>189.44</v>
      </c>
      <c r="L35" s="68">
        <f t="shared" si="4"/>
        <v>189.43684100242913</v>
      </c>
      <c r="P35" s="78"/>
      <c r="Q35" s="69"/>
    </row>
    <row r="36" spans="2:17" ht="15">
      <c r="B36" s="67">
        <f t="shared" si="0"/>
        <v>2051</v>
      </c>
      <c r="C36" s="70"/>
      <c r="D36" s="259">
        <f t="shared" ref="D36:E36" si="7">D35*D35/D34</f>
        <v>136.90964310580026</v>
      </c>
      <c r="E36" s="259">
        <f t="shared" si="7"/>
        <v>56.656920958461328</v>
      </c>
      <c r="F36" s="264"/>
      <c r="G36" s="69">
        <f t="shared" si="1"/>
        <v>55.503590020540493</v>
      </c>
      <c r="H36" s="68"/>
      <c r="I36" s="349"/>
      <c r="J36" s="69">
        <f t="shared" ref="J36:J45" si="8">(G36+H36+I36)</f>
        <v>55.503590020540493</v>
      </c>
      <c r="K36" s="69">
        <f t="shared" si="3"/>
        <v>193.57</v>
      </c>
      <c r="L36" s="68">
        <f t="shared" ref="L36:L45" si="9">(D36+E36+F36)</f>
        <v>193.56656406426157</v>
      </c>
      <c r="P36" s="78"/>
      <c r="Q36" s="69"/>
    </row>
    <row r="37" spans="2:17" ht="15">
      <c r="B37" s="67">
        <f t="shared" si="0"/>
        <v>2052</v>
      </c>
      <c r="C37" s="70"/>
      <c r="D37" s="259">
        <f t="shared" ref="D37:E37" si="10">D36*D36/D35</f>
        <v>139.89427327345609</v>
      </c>
      <c r="E37" s="259">
        <f t="shared" si="10"/>
        <v>57.892041813815851</v>
      </c>
      <c r="F37" s="264"/>
      <c r="G37" s="69">
        <f t="shared" si="1"/>
        <v>56.713568261886806</v>
      </c>
      <c r="H37" s="68"/>
      <c r="I37" s="349"/>
      <c r="J37" s="69">
        <f t="shared" si="8"/>
        <v>56.713568261886806</v>
      </c>
      <c r="K37" s="69">
        <f t="shared" si="3"/>
        <v>197.79</v>
      </c>
      <c r="L37" s="68">
        <f t="shared" si="9"/>
        <v>197.78631508727193</v>
      </c>
      <c r="P37" s="78"/>
      <c r="Q37" s="69"/>
    </row>
    <row r="38" spans="2:17" ht="15">
      <c r="B38" s="67">
        <f t="shared" si="0"/>
        <v>2053</v>
      </c>
      <c r="C38" s="70"/>
      <c r="D38" s="259">
        <f t="shared" ref="D38:E38" si="11">D37*D37/D36</f>
        <v>142.9439683776321</v>
      </c>
      <c r="E38" s="259">
        <f t="shared" si="11"/>
        <v>59.154088303347535</v>
      </c>
      <c r="F38" s="264"/>
      <c r="G38" s="69">
        <f t="shared" si="1"/>
        <v>57.949924028434452</v>
      </c>
      <c r="H38" s="68"/>
      <c r="I38" s="349"/>
      <c r="J38" s="69">
        <f t="shared" si="8"/>
        <v>57.949924028434452</v>
      </c>
      <c r="K38" s="69">
        <f t="shared" si="3"/>
        <v>202.1</v>
      </c>
      <c r="L38" s="68">
        <f t="shared" si="9"/>
        <v>202.09805668097965</v>
      </c>
      <c r="P38" s="78"/>
      <c r="Q38" s="69"/>
    </row>
    <row r="39" spans="2:17" ht="15">
      <c r="B39" s="67">
        <f t="shared" si="0"/>
        <v>2054</v>
      </c>
      <c r="C39" s="70"/>
      <c r="D39" s="259">
        <f t="shared" ref="D39:E39" si="12">D38*D38/D37</f>
        <v>146.06014683391973</v>
      </c>
      <c r="E39" s="259">
        <f t="shared" si="12"/>
        <v>60.443647405871204</v>
      </c>
      <c r="F39" s="264"/>
      <c r="G39" s="69">
        <f t="shared" si="1"/>
        <v>59.213232350222796</v>
      </c>
      <c r="H39" s="68"/>
      <c r="I39" s="349"/>
      <c r="J39" s="69">
        <f t="shared" si="8"/>
        <v>59.213232350222796</v>
      </c>
      <c r="K39" s="69">
        <f t="shared" si="3"/>
        <v>206.5</v>
      </c>
      <c r="L39" s="68">
        <f t="shared" si="9"/>
        <v>206.50379423979092</v>
      </c>
      <c r="P39" s="78"/>
      <c r="Q39" s="69"/>
    </row>
    <row r="40" spans="2:17" ht="15">
      <c r="B40" s="67">
        <f t="shared" si="0"/>
        <v>2055</v>
      </c>
      <c r="C40" s="70"/>
      <c r="D40" s="259">
        <f t="shared" ref="D40:E40" si="13">D39*D39/D38</f>
        <v>149.24425797936971</v>
      </c>
      <c r="E40" s="259">
        <f t="shared" si="13"/>
        <v>61.761318896339617</v>
      </c>
      <c r="F40" s="264"/>
      <c r="G40" s="69">
        <f t="shared" si="1"/>
        <v>60.504080792945842</v>
      </c>
      <c r="H40" s="68"/>
      <c r="I40" s="349"/>
      <c r="J40" s="69">
        <f t="shared" si="8"/>
        <v>60.504080792945842</v>
      </c>
      <c r="K40" s="69">
        <f t="shared" si="3"/>
        <v>211.01</v>
      </c>
      <c r="L40" s="68">
        <f t="shared" si="9"/>
        <v>211.00557687570932</v>
      </c>
      <c r="P40" s="78"/>
      <c r="Q40" s="69"/>
    </row>
    <row r="41" spans="2:17" ht="15">
      <c r="B41" s="67">
        <f t="shared" si="0"/>
        <v>2056</v>
      </c>
      <c r="C41" s="70"/>
      <c r="D41" s="259">
        <f t="shared" ref="D41:E41" si="14">D40*D40/D39</f>
        <v>152.49778274657996</v>
      </c>
      <c r="E41" s="259">
        <f t="shared" si="14"/>
        <v>63.10771562479929</v>
      </c>
      <c r="F41" s="264"/>
      <c r="G41" s="69">
        <f t="shared" si="1"/>
        <v>61.823069731229495</v>
      </c>
      <c r="H41" s="68"/>
      <c r="I41" s="349"/>
      <c r="J41" s="69">
        <f t="shared" si="8"/>
        <v>61.823069731229495</v>
      </c>
      <c r="K41" s="69">
        <f t="shared" si="3"/>
        <v>215.61</v>
      </c>
      <c r="L41" s="68">
        <f t="shared" si="9"/>
        <v>215.60549837137924</v>
      </c>
      <c r="P41" s="78"/>
      <c r="Q41" s="69"/>
    </row>
    <row r="42" spans="2:17" ht="15">
      <c r="B42" s="67">
        <f t="shared" si="0"/>
        <v>2057</v>
      </c>
      <c r="C42" s="70"/>
      <c r="D42" s="259">
        <f t="shared" ref="D42:E42" si="15">D41*D41/D40</f>
        <v>155.82223435247846</v>
      </c>
      <c r="E42" s="259">
        <f t="shared" si="15"/>
        <v>64.483463801427504</v>
      </c>
      <c r="F42" s="264"/>
      <c r="G42" s="69">
        <f t="shared" si="1"/>
        <v>63.170812627866269</v>
      </c>
      <c r="H42" s="68"/>
      <c r="I42" s="349"/>
      <c r="J42" s="69">
        <f t="shared" si="8"/>
        <v>63.170812627866269</v>
      </c>
      <c r="K42" s="69">
        <f t="shared" si="3"/>
        <v>220.31</v>
      </c>
      <c r="L42" s="68">
        <f t="shared" si="9"/>
        <v>220.30569815390595</v>
      </c>
      <c r="P42" s="78"/>
      <c r="Q42" s="69"/>
    </row>
    <row r="43" spans="2:17" ht="15">
      <c r="B43" s="67">
        <f t="shared" si="0"/>
        <v>2058</v>
      </c>
      <c r="C43" s="70"/>
      <c r="D43" s="259">
        <f t="shared" ref="D43:E43" si="16">D42*D42/D41</f>
        <v>159.21915900212167</v>
      </c>
      <c r="E43" s="259">
        <f t="shared" si="16"/>
        <v>65.889203287783189</v>
      </c>
      <c r="F43" s="264"/>
      <c r="G43" s="69">
        <f t="shared" si="1"/>
        <v>64.547936319137349</v>
      </c>
      <c r="H43" s="68"/>
      <c r="I43" s="349"/>
      <c r="J43" s="69">
        <f t="shared" si="8"/>
        <v>64.547936319137349</v>
      </c>
      <c r="K43" s="69">
        <f t="shared" si="3"/>
        <v>225.11</v>
      </c>
      <c r="L43" s="68">
        <f t="shared" si="9"/>
        <v>225.10836228990485</v>
      </c>
      <c r="P43" s="78"/>
      <c r="Q43" s="69"/>
    </row>
    <row r="44" spans="2:17" ht="15">
      <c r="B44" s="67">
        <f t="shared" si="0"/>
        <v>2059</v>
      </c>
      <c r="C44" s="70"/>
      <c r="D44" s="259">
        <f t="shared" ref="D44:E44" si="17">D43*D43/D42</f>
        <v>162.69013660783565</v>
      </c>
      <c r="E44" s="259">
        <f t="shared" si="17"/>
        <v>67.325587894406993</v>
      </c>
      <c r="F44" s="264"/>
      <c r="G44" s="69">
        <f t="shared" si="1"/>
        <v>65.955081306354586</v>
      </c>
      <c r="H44" s="68"/>
      <c r="I44" s="349"/>
      <c r="J44" s="69">
        <f t="shared" si="8"/>
        <v>65.955081306354586</v>
      </c>
      <c r="K44" s="69">
        <f t="shared" si="3"/>
        <v>230.02</v>
      </c>
      <c r="L44" s="68">
        <f t="shared" si="9"/>
        <v>230.01572450224265</v>
      </c>
      <c r="P44" s="78"/>
      <c r="Q44" s="69"/>
    </row>
    <row r="45" spans="2:17" ht="15">
      <c r="B45" s="67">
        <f t="shared" si="0"/>
        <v>2060</v>
      </c>
      <c r="C45" s="70"/>
      <c r="D45" s="259">
        <f t="shared" ref="D45:E46" si="18">D44*D44/D43</f>
        <v>166.2367815240346</v>
      </c>
      <c r="E45" s="259">
        <f t="shared" si="18"/>
        <v>68.793285684909108</v>
      </c>
      <c r="F45" s="264"/>
      <c r="G45" s="69">
        <f t="shared" si="1"/>
        <v>67.392902053758192</v>
      </c>
      <c r="H45" s="68"/>
      <c r="I45" s="349"/>
      <c r="J45" s="69">
        <f t="shared" si="8"/>
        <v>67.392902053758192</v>
      </c>
      <c r="K45" s="69">
        <f t="shared" si="3"/>
        <v>235.03</v>
      </c>
      <c r="L45" s="68">
        <f t="shared" si="9"/>
        <v>235.03006720894371</v>
      </c>
      <c r="P45" s="78"/>
      <c r="Q45" s="69"/>
    </row>
    <row r="46" spans="2:17" ht="15">
      <c r="B46" s="67">
        <f t="shared" si="0"/>
        <v>2061</v>
      </c>
      <c r="C46" s="70"/>
      <c r="D46" s="259">
        <f t="shared" si="18"/>
        <v>169.86074329805831</v>
      </c>
      <c r="E46" s="259">
        <f t="shared" si="18"/>
        <v>70.292979286686176</v>
      </c>
      <c r="F46" s="264"/>
      <c r="G46" s="69">
        <f t="shared" si="1"/>
        <v>68.862067292908549</v>
      </c>
      <c r="H46" s="68"/>
      <c r="I46" s="349"/>
      <c r="J46" s="69">
        <f t="shared" ref="J46" si="19">(G46+H46+I46)</f>
        <v>68.862067292908549</v>
      </c>
      <c r="K46" s="69">
        <f t="shared" si="3"/>
        <v>240.15</v>
      </c>
      <c r="L46" s="68">
        <f t="shared" ref="L46" si="20">(D46+E46+F46)</f>
        <v>240.15372258474449</v>
      </c>
      <c r="P46" s="78"/>
      <c r="Q46" s="69"/>
    </row>
    <row r="47" spans="2:17">
      <c r="B47" s="67"/>
      <c r="C47" s="70"/>
      <c r="D47" s="68"/>
      <c r="E47" s="68"/>
      <c r="F47" s="68"/>
      <c r="G47" s="69"/>
      <c r="H47" s="68"/>
      <c r="I47" s="68"/>
      <c r="J47" s="68"/>
      <c r="K47" s="68"/>
      <c r="L47" s="68"/>
      <c r="M47" s="68"/>
    </row>
    <row r="48" spans="2:17">
      <c r="B48" s="67" t="s">
        <v>307</v>
      </c>
      <c r="C48" s="70"/>
      <c r="D48" s="68"/>
      <c r="E48" s="68"/>
      <c r="F48" s="68">
        <f>NPV(Discount_Rate,F16:F45)</f>
        <v>0</v>
      </c>
      <c r="G48" s="69"/>
      <c r="H48" s="68"/>
      <c r="I48" s="68"/>
      <c r="J48" s="69">
        <f>-PMT(Discount_Rate,COUNT(J$16:J$45),NPV(Discount_Rate,J$16:J$45))</f>
        <v>16.532197477806097</v>
      </c>
      <c r="K48" s="69">
        <f>-PMT(Discount_Rate,COUNT(K$16:K$45),NPV(Discount_Rate,K$16:K$45))</f>
        <v>57.656960432582011</v>
      </c>
      <c r="L48" s="69">
        <f>-PMT(Discount_Rate,COUNT(L$16:L$45),NPV(Discount_Rate,L$16:L$45))</f>
        <v>158.8067412592269</v>
      </c>
      <c r="M48" s="72"/>
    </row>
    <row r="49" spans="2:20" ht="14.25">
      <c r="B49" s="73" t="s">
        <v>25</v>
      </c>
      <c r="C49" s="74"/>
      <c r="D49" s="74"/>
      <c r="E49" s="74"/>
      <c r="F49" s="74"/>
      <c r="G49" s="74"/>
      <c r="H49" s="74"/>
      <c r="I49" s="74"/>
    </row>
    <row r="51" spans="2:20">
      <c r="B51" s="60" t="s">
        <v>59</v>
      </c>
      <c r="C51" s="75" t="s">
        <v>60</v>
      </c>
      <c r="D51" s="146" t="s">
        <v>186</v>
      </c>
    </row>
    <row r="52" spans="2:20">
      <c r="C52" s="75" t="str">
        <f>C7</f>
        <v>(a)</v>
      </c>
      <c r="D52" s="60" t="s">
        <v>61</v>
      </c>
    </row>
    <row r="53" spans="2:20">
      <c r="C53" s="75" t="str">
        <f>D7</f>
        <v>(b)</v>
      </c>
      <c r="D53" s="69" t="str">
        <f>"= "&amp;C7&amp;" x "&amp;C60</f>
        <v>= (a) x 0.06316</v>
      </c>
    </row>
    <row r="54" spans="2:20">
      <c r="C54" s="75">
        <f>F7</f>
        <v>0</v>
      </c>
      <c r="D54" s="69" t="str">
        <f>"= ("&amp;$D$7&amp;" + "&amp;$E$7&amp;") /  (8.76 x "&amp;TEXT(C61,"0.0%")&amp;")"</f>
        <v>= ((b) + (c)) /  (8.76 x 39.8%)</v>
      </c>
    </row>
    <row r="55" spans="2:20">
      <c r="C55" s="75" t="str">
        <f>J7</f>
        <v>(g)</v>
      </c>
      <c r="D55" s="69" t="str">
        <f>"= "&amp;$G$7&amp;" + "&amp;$H$7</f>
        <v>= (e) + (f)</v>
      </c>
    </row>
    <row r="56" spans="2:20">
      <c r="C56" s="75" t="str">
        <f>K7</f>
        <v>(h)</v>
      </c>
      <c r="D56" t="str">
        <f>D51</f>
        <v>Plant Costs  - 2025 IRP - Table 7.1 &amp; 7.2</v>
      </c>
    </row>
    <row r="57" spans="2:20">
      <c r="Q57" s="60" t="s">
        <v>82</v>
      </c>
      <c r="R57" s="67">
        <v>2031</v>
      </c>
      <c r="T57" s="156" t="s">
        <v>146</v>
      </c>
    </row>
    <row r="58" spans="2:20">
      <c r="B58"/>
      <c r="C58" s="274"/>
      <c r="P58" s="143"/>
      <c r="T58" s="156"/>
    </row>
    <row r="59" spans="2:20">
      <c r="B59"/>
      <c r="C59" s="275"/>
      <c r="Q59" s="60" t="s">
        <v>189</v>
      </c>
      <c r="R59" s="78">
        <v>100</v>
      </c>
    </row>
    <row r="60" spans="2:20">
      <c r="C60" s="154">
        <v>6.3159999999999994E-2</v>
      </c>
      <c r="D60" s="60" t="s">
        <v>197</v>
      </c>
      <c r="E60" s="150"/>
      <c r="F60" s="273" t="s">
        <v>198</v>
      </c>
      <c r="J60" s="258"/>
      <c r="L60" s="145"/>
      <c r="M60" s="80"/>
      <c r="N60" s="80"/>
      <c r="P60" s="81"/>
    </row>
    <row r="61" spans="2:20">
      <c r="C61" s="155">
        <v>0.39811190096326704</v>
      </c>
      <c r="D61" s="60" t="s">
        <v>35</v>
      </c>
    </row>
    <row r="62" spans="2:20">
      <c r="C62" s="161"/>
      <c r="D62" s="79"/>
      <c r="H62" s="348">
        <v>1.1000000000000001</v>
      </c>
      <c r="I62" s="60" t="s">
        <v>305</v>
      </c>
    </row>
    <row r="63" spans="2:20" ht="15">
      <c r="I63" s="105" t="s">
        <v>31</v>
      </c>
      <c r="J63" s="105" t="s">
        <v>302</v>
      </c>
    </row>
    <row r="64" spans="2:20" ht="15">
      <c r="C64" s="105"/>
      <c r="D64" s="105"/>
      <c r="E64" s="105"/>
      <c r="F64" s="105"/>
      <c r="G64" s="260">
        <v>47849</v>
      </c>
      <c r="H64" s="67">
        <f>YEAR(G64)</f>
        <v>2031</v>
      </c>
      <c r="I64" s="68">
        <f>IF($H$62=110%,INDEX('2025 IRP Assumptions'!$E$341:$E$361,MATCH(H64,'2025 IRP Assumptions'!$S$341:$S$361,0),1),INDEX('2025 IRP Assumptions'!$E$309:$E$338,MATCH(H64,'2025 IRP Assumptions'!$S$341:$S$361,0)))</f>
        <v>49.06</v>
      </c>
      <c r="J64" s="78">
        <f>I64*(8.76*$C$61)</f>
        <v>171.09479998461904</v>
      </c>
    </row>
    <row r="65" spans="3:10" ht="15">
      <c r="C65" s="260"/>
      <c r="D65" s="105"/>
      <c r="E65" s="241"/>
      <c r="F65" s="265"/>
      <c r="G65" s="260">
        <v>48214</v>
      </c>
      <c r="H65" s="67">
        <f>YEAR(G65)</f>
        <v>2032</v>
      </c>
      <c r="I65" s="68">
        <f>IF($H$62=110%,INDEX('2025 IRP Assumptions'!$E$341:$E$361,MATCH(H65,'2025 IRP Assumptions'!$S$341:$S$361,0),1),INDEX('2025 IRP Assumptions'!$E$309:$E$338,MATCH(H65,'2025 IRP Assumptions'!$S$341:$S$361,0)))</f>
        <v>50.39</v>
      </c>
      <c r="J65" s="78">
        <f t="shared" ref="J65:J73" si="21">I65*(8.76*$C$61)</f>
        <v>175.73312212036186</v>
      </c>
    </row>
    <row r="66" spans="3:10" ht="15">
      <c r="C66" s="260"/>
      <c r="D66" s="105"/>
      <c r="E66" s="241"/>
      <c r="F66" s="265"/>
      <c r="G66" s="260">
        <v>48580</v>
      </c>
      <c r="H66" s="67">
        <f t="shared" ref="H66:H73" si="22">YEAR(G66)</f>
        <v>2033</v>
      </c>
      <c r="I66" s="68">
        <f>IF($H$62=110%,INDEX('2025 IRP Assumptions'!$E$341:$E$361,MATCH(H66,'2025 IRP Assumptions'!$S$341:$S$361,0),1),INDEX('2025 IRP Assumptions'!$E$309:$E$338,MATCH(H66,'2025 IRP Assumptions'!$S$341:$S$361,0)))</f>
        <v>50.39</v>
      </c>
      <c r="J66" s="78">
        <f t="shared" si="21"/>
        <v>175.73312212036186</v>
      </c>
    </row>
    <row r="67" spans="3:10" ht="15">
      <c r="C67" s="260"/>
      <c r="D67" s="105"/>
      <c r="E67" s="241"/>
      <c r="F67" s="265"/>
      <c r="G67" s="260">
        <v>48945</v>
      </c>
      <c r="H67" s="67">
        <f t="shared" si="22"/>
        <v>2034</v>
      </c>
      <c r="I67" s="68">
        <f>IF($H$62=110%,INDEX('2025 IRP Assumptions'!$E$341:$E$361,MATCH(H67,'2025 IRP Assumptions'!$S$341:$S$361,0),1),INDEX('2025 IRP Assumptions'!$E$309:$E$338,MATCH(H67,'2025 IRP Assumptions'!$S$341:$S$361,0)))</f>
        <v>51.71</v>
      </c>
      <c r="J67" s="78">
        <f t="shared" si="21"/>
        <v>180.33656965358031</v>
      </c>
    </row>
    <row r="68" spans="3:10" ht="15">
      <c r="C68" s="260"/>
      <c r="D68" s="105"/>
      <c r="E68" s="241"/>
      <c r="F68" s="265"/>
      <c r="G68" s="260">
        <v>49310</v>
      </c>
      <c r="H68" s="67">
        <f t="shared" si="22"/>
        <v>2035</v>
      </c>
      <c r="I68" s="68">
        <f>IF($H$62=110%,INDEX('2025 IRP Assumptions'!$E$341:$E$361,MATCH(H68,'2025 IRP Assumptions'!$S$341:$S$361,0),1),INDEX('2025 IRP Assumptions'!$E$309:$E$338,MATCH(H68,'2025 IRP Assumptions'!$S$341:$S$361,0)))</f>
        <v>53.04</v>
      </c>
      <c r="J68" s="78">
        <f t="shared" si="21"/>
        <v>184.97489178932315</v>
      </c>
    </row>
    <row r="69" spans="3:10" ht="15">
      <c r="C69" s="260"/>
      <c r="D69" s="105"/>
      <c r="E69" s="241"/>
      <c r="F69" s="265"/>
      <c r="G69" s="260">
        <v>49675</v>
      </c>
      <c r="H69" s="67">
        <f t="shared" si="22"/>
        <v>2036</v>
      </c>
      <c r="I69" s="68">
        <f>IF($H$62=110%,INDEX('2025 IRP Assumptions'!$E$341:$E$361,MATCH(H69,'2025 IRP Assumptions'!$S$341:$S$361,0),1),INDEX('2025 IRP Assumptions'!$E$309:$E$338,MATCH(H69,'2025 IRP Assumptions'!$S$341:$S$361,0)))</f>
        <v>54.37</v>
      </c>
      <c r="J69" s="78">
        <f t="shared" si="21"/>
        <v>189.61321392506596</v>
      </c>
    </row>
    <row r="70" spans="3:10" ht="15">
      <c r="C70" s="260"/>
      <c r="D70" s="105"/>
      <c r="E70" s="241"/>
      <c r="F70" s="265"/>
      <c r="G70" s="260">
        <v>50041</v>
      </c>
      <c r="H70" s="67">
        <f t="shared" si="22"/>
        <v>2037</v>
      </c>
      <c r="I70" s="68">
        <f>IF($H$62=110%,INDEX('2025 IRP Assumptions'!$E$341:$E$361,MATCH(H70,'2025 IRP Assumptions'!$S$341:$S$361,0),1),INDEX('2025 IRP Assumptions'!$E$309:$E$338,MATCH(H70,'2025 IRP Assumptions'!$S$341:$S$361,0)))</f>
        <v>55.69</v>
      </c>
      <c r="J70" s="78">
        <f t="shared" si="21"/>
        <v>194.21666145828442</v>
      </c>
    </row>
    <row r="71" spans="3:10" ht="15">
      <c r="C71" s="260"/>
      <c r="D71" s="105"/>
      <c r="E71" s="241"/>
      <c r="F71" s="265"/>
      <c r="G71" s="260">
        <v>50406</v>
      </c>
      <c r="H71" s="67">
        <f t="shared" si="22"/>
        <v>2038</v>
      </c>
      <c r="I71" s="68">
        <f>IF($H$62=110%,INDEX('2025 IRP Assumptions'!$E$341:$E$361,MATCH(H71,'2025 IRP Assumptions'!$S$341:$S$361,0),1),INDEX('2025 IRP Assumptions'!$E$309:$E$338,MATCH(H71,'2025 IRP Assumptions'!$S$341:$S$361,0)))</f>
        <v>55.69</v>
      </c>
      <c r="J71" s="78">
        <f t="shared" si="21"/>
        <v>194.21666145828442</v>
      </c>
    </row>
    <row r="72" spans="3:10" ht="15">
      <c r="C72" s="260"/>
      <c r="D72" s="105"/>
      <c r="E72" s="241"/>
      <c r="F72" s="265"/>
      <c r="G72" s="260">
        <v>50771</v>
      </c>
      <c r="H72" s="67">
        <f t="shared" si="22"/>
        <v>2039</v>
      </c>
      <c r="I72" s="68">
        <f>IF($H$62=110%,INDEX('2025 IRP Assumptions'!$E$341:$E$361,MATCH(H72,'2025 IRP Assumptions'!$S$341:$S$361,0),1),INDEX('2025 IRP Assumptions'!$E$309:$E$338,MATCH(H72,'2025 IRP Assumptions'!$S$341:$S$361,0)))</f>
        <v>57.02</v>
      </c>
      <c r="J72" s="78">
        <f t="shared" si="21"/>
        <v>198.85498359402726</v>
      </c>
    </row>
    <row r="73" spans="3:10" ht="15">
      <c r="C73" s="260"/>
      <c r="D73" s="105"/>
      <c r="E73" s="241"/>
      <c r="F73" s="265"/>
      <c r="G73" s="260">
        <v>51136</v>
      </c>
      <c r="H73" s="67">
        <f t="shared" si="22"/>
        <v>2040</v>
      </c>
      <c r="I73" s="68">
        <f>IF($H$62=110%,INDEX('2025 IRP Assumptions'!$E$341:$E$361,MATCH(H73,'2025 IRP Assumptions'!$S$341:$S$361,0),1),INDEX('2025 IRP Assumptions'!$E$309:$E$338,MATCH(H73,'2025 IRP Assumptions'!$S$341:$S$361,0)))</f>
        <v>58.35</v>
      </c>
      <c r="J73" s="78">
        <f t="shared" si="21"/>
        <v>203.4933057297701</v>
      </c>
    </row>
    <row r="74" spans="3:10" ht="15">
      <c r="C74" s="260"/>
      <c r="D74" s="105"/>
      <c r="E74" s="241"/>
      <c r="F74" s="265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177</v>
      </c>
      <c r="J76" s="60">
        <f>INDEX('2025 IRP Assumptions'!$E$126:$E$157,MATCH(T57,'2025 IRP Assumptions'!$C$126:$C$157,0),1)</f>
        <v>30</v>
      </c>
    </row>
    <row r="77" spans="3:10" ht="15">
      <c r="C77" s="105"/>
      <c r="D77" s="105"/>
      <c r="E77" s="261"/>
      <c r="F77" s="261"/>
      <c r="G77" s="105" t="s">
        <v>310</v>
      </c>
      <c r="I77" s="261"/>
      <c r="J77" s="261">
        <f>-PMT(Real_Discount_Rate,J76,NPV(Discount_Rate,J64:J73))</f>
        <v>78.387942811987912</v>
      </c>
    </row>
    <row r="80" spans="3:10">
      <c r="C80" s="77"/>
      <c r="D80" s="79"/>
    </row>
    <row r="81" spans="3:4">
      <c r="C81" s="77"/>
      <c r="D81" s="79"/>
    </row>
    <row r="82" spans="3:4">
      <c r="C82" s="77"/>
      <c r="D82" s="79"/>
    </row>
    <row r="83" spans="3:4">
      <c r="C83" s="77"/>
      <c r="D83" s="79"/>
    </row>
    <row r="84" spans="3:4">
      <c r="C84" s="77"/>
      <c r="D84" s="79"/>
    </row>
    <row r="85" spans="3:4">
      <c r="C85" s="77"/>
      <c r="D85" s="79"/>
    </row>
    <row r="86" spans="3:4">
      <c r="C86" s="77"/>
      <c r="D86" s="79"/>
    </row>
    <row r="87" spans="3:4">
      <c r="C87" s="77"/>
      <c r="D87" s="79"/>
    </row>
    <row r="88" spans="3:4">
      <c r="C88" s="77"/>
      <c r="D88" s="79"/>
    </row>
    <row r="89" spans="3:4">
      <c r="C89" s="77"/>
      <c r="D89" s="79"/>
    </row>
  </sheetData>
  <hyperlinks>
    <hyperlink ref="F60" r:id="rId1" xr:uid="{B8A2FE57-18D5-40B3-9A91-F46D8ADDDC1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97686-E1DE-4E78-9AFE-66E4A52646E2}">
  <sheetPr>
    <tabColor rgb="FFCCFFCC"/>
    <pageSetUpPr fitToPage="1"/>
  </sheetPr>
  <dimension ref="B1:AC89"/>
  <sheetViews>
    <sheetView zoomScale="80" zoomScaleNormal="80" workbookViewId="0">
      <selection activeCell="D17" sqref="D17"/>
    </sheetView>
  </sheetViews>
  <sheetFormatPr defaultColWidth="9.33203125" defaultRowHeight="12.75"/>
  <cols>
    <col min="1" max="1" width="13.33203125" style="60" customWidth="1"/>
    <col min="2" max="2" width="15" style="60" customWidth="1"/>
    <col min="3" max="3" width="19.33203125" style="60" customWidth="1"/>
    <col min="4" max="4" width="22.83203125" style="60" customWidth="1"/>
    <col min="5" max="5" width="11.1640625" style="60" customWidth="1"/>
    <col min="6" max="6" width="16.83203125" style="60" customWidth="1"/>
    <col min="7" max="7" width="18" style="60" customWidth="1"/>
    <col min="8" max="8" width="9.5" style="60" bestFit="1" customWidth="1"/>
    <col min="9" max="9" width="10.5" style="60" customWidth="1"/>
    <col min="10" max="10" width="12.6640625" style="60" customWidth="1"/>
    <col min="11" max="11" width="14" style="60" customWidth="1"/>
    <col min="12" max="12" width="13.33203125" style="60" customWidth="1"/>
    <col min="13" max="13" width="3.1640625" style="60" customWidth="1"/>
    <col min="14" max="14" width="15" style="60" hidden="1" customWidth="1"/>
    <col min="15" max="15" width="5.6640625" style="60" customWidth="1"/>
    <col min="16" max="16" width="9.33203125" style="60" customWidth="1"/>
    <col min="17" max="18" width="16" style="60" customWidth="1"/>
    <col min="19" max="19" width="23.5" style="60" customWidth="1"/>
    <col min="20" max="20" width="18.1640625" style="60" customWidth="1"/>
    <col min="21" max="21" width="13.33203125" style="60" customWidth="1"/>
    <col min="22" max="22" width="18.1640625" style="60" customWidth="1"/>
    <col min="23" max="23" width="12.83203125" style="60" customWidth="1"/>
    <col min="24" max="24" width="15.33203125" style="60" customWidth="1"/>
    <col min="25" max="26" width="9.33203125" style="60"/>
    <col min="27" max="27" width="13.33203125" style="60" customWidth="1"/>
    <col min="28" max="28" width="13.6640625" style="60" customWidth="1"/>
    <col min="29" max="29" width="12" style="60" bestFit="1" customWidth="1"/>
    <col min="30" max="16384" width="9.33203125" style="60"/>
  </cols>
  <sheetData>
    <row r="1" spans="2:29" ht="15.75">
      <c r="B1" s="58" t="s">
        <v>53</v>
      </c>
      <c r="C1" s="59"/>
      <c r="D1" s="59"/>
      <c r="E1" s="59"/>
      <c r="F1" s="59"/>
      <c r="G1" s="59"/>
      <c r="H1" s="59"/>
      <c r="I1" s="59"/>
      <c r="J1" s="59"/>
      <c r="K1" s="59"/>
    </row>
    <row r="2" spans="2:29" ht="15.75">
      <c r="B2" s="58" t="str">
        <f>T57</f>
        <v>WD_.PX.NUT._.PTC.Utility_Scale</v>
      </c>
      <c r="C2" s="59"/>
      <c r="D2" s="59"/>
      <c r="E2" s="59"/>
      <c r="F2" s="59"/>
      <c r="G2" s="59"/>
      <c r="H2" s="59"/>
      <c r="I2" s="59"/>
      <c r="J2" s="59"/>
      <c r="K2" s="59"/>
    </row>
    <row r="3" spans="2:29" ht="15.75">
      <c r="B3" s="58" t="str">
        <f>TEXT($C$61,"0%")&amp;" Capacity Factor"</f>
        <v>30% Capacity Factor</v>
      </c>
      <c r="C3" s="59"/>
      <c r="D3" s="59"/>
      <c r="E3" s="59"/>
      <c r="F3" s="59"/>
      <c r="G3" s="59"/>
      <c r="H3" s="59"/>
      <c r="I3" s="59"/>
      <c r="J3" s="59"/>
      <c r="K3" s="59"/>
    </row>
    <row r="4" spans="2:29" ht="51.75" customHeight="1">
      <c r="B4" s="61" t="s">
        <v>0</v>
      </c>
      <c r="C4" s="62" t="s">
        <v>10</v>
      </c>
      <c r="D4" s="62" t="s">
        <v>11</v>
      </c>
      <c r="E4" s="62" t="s">
        <v>12</v>
      </c>
      <c r="F4" s="14" t="s">
        <v>308</v>
      </c>
      <c r="G4" s="62" t="s">
        <v>58</v>
      </c>
      <c r="H4" s="14" t="s">
        <v>13</v>
      </c>
      <c r="I4" s="62" t="s">
        <v>113</v>
      </c>
      <c r="J4" s="62" t="s">
        <v>64</v>
      </c>
      <c r="K4" s="14" t="s">
        <v>49</v>
      </c>
      <c r="L4" s="62" t="s">
        <v>86</v>
      </c>
      <c r="N4" s="100"/>
      <c r="O4" s="100"/>
      <c r="Q4" s="100"/>
      <c r="T4" s="142"/>
      <c r="Z4" s="100"/>
      <c r="AA4" s="100"/>
    </row>
    <row r="5" spans="2:29" ht="24" customHeight="1">
      <c r="B5" s="63"/>
      <c r="C5" s="64" t="s">
        <v>8</v>
      </c>
      <c r="D5" s="65" t="s">
        <v>9</v>
      </c>
      <c r="E5" s="65" t="s">
        <v>9</v>
      </c>
      <c r="F5" s="16" t="s">
        <v>9</v>
      </c>
      <c r="G5" s="64" t="s">
        <v>31</v>
      </c>
      <c r="H5" s="15" t="s">
        <v>31</v>
      </c>
      <c r="I5" s="15" t="s">
        <v>31</v>
      </c>
      <c r="J5" s="64" t="s">
        <v>31</v>
      </c>
      <c r="K5" s="16" t="s">
        <v>9</v>
      </c>
      <c r="L5" s="65" t="s">
        <v>9</v>
      </c>
      <c r="W5" s="78"/>
      <c r="X5" s="78"/>
    </row>
    <row r="6" spans="2:29">
      <c r="C6" s="66" t="s">
        <v>1</v>
      </c>
      <c r="D6" s="66" t="s">
        <v>2</v>
      </c>
      <c r="E6" s="66" t="s">
        <v>3</v>
      </c>
      <c r="F6" s="66"/>
      <c r="G6" s="66" t="s">
        <v>5</v>
      </c>
      <c r="H6" s="66" t="s">
        <v>7</v>
      </c>
      <c r="I6" s="66" t="s">
        <v>22</v>
      </c>
      <c r="J6" s="66" t="s">
        <v>22</v>
      </c>
      <c r="K6" s="66" t="s">
        <v>23</v>
      </c>
      <c r="L6" s="66" t="s">
        <v>24</v>
      </c>
      <c r="R6" s="71"/>
      <c r="S6" s="78"/>
      <c r="U6" s="78"/>
    </row>
    <row r="7" spans="2:29" ht="21.75" hidden="1" customHeight="1">
      <c r="R7" s="71"/>
      <c r="X7" s="71"/>
    </row>
    <row r="8" spans="2:29" ht="21.75" customHeight="1">
      <c r="R8" s="71"/>
      <c r="X8" s="71"/>
    </row>
    <row r="9" spans="2:29">
      <c r="B9" s="67">
        <v>2024</v>
      </c>
      <c r="C9" s="157">
        <f>INDEX('2025 IRP Assumptions'!$E$2:$E$58,MATCH($T$57,'2025 IRP Assumptions'!$C$2:$C$58,0),1)</f>
        <v>1449.53</v>
      </c>
      <c r="D9" s="68"/>
      <c r="E9" s="232">
        <f>INDEX('2025 IRP Assumptions'!$E$62:$E$118,MATCH($T$57,'2025 IRP Assumptions'!$C$62:$C$118,0),1)</f>
        <v>31.65</v>
      </c>
      <c r="F9" s="68"/>
      <c r="G9" s="69"/>
      <c r="H9" s="68"/>
      <c r="I9" s="68"/>
      <c r="J9" s="69"/>
      <c r="K9" s="69"/>
      <c r="L9" s="68"/>
      <c r="S9" s="160"/>
      <c r="T9" s="70"/>
      <c r="X9" s="158"/>
    </row>
    <row r="10" spans="2:29">
      <c r="B10" s="67">
        <f t="shared" ref="B10:B46" si="0">B9+1</f>
        <v>2025</v>
      </c>
      <c r="C10" s="70">
        <f>$C$9*INDEX('2025 IRP Assumptions'!$E$238:$E$258,MATCH(B10,'2025 IRP Assumptions'!$S$238:$S$258,0),1)</f>
        <v>1450.30670890755</v>
      </c>
      <c r="D10" s="68"/>
      <c r="E10" s="68" cm="1">
        <f t="array" ref="E10">$E$9*INDEX('2025 IRP Assumptions'!$E$373:$E$396,'WD_.PX.NUT._.PTC.2029'!$B10-2023,1)</f>
        <v>32.339970000000001</v>
      </c>
      <c r="F10" s="68"/>
      <c r="G10" s="69"/>
      <c r="H10" s="68"/>
      <c r="I10" s="68"/>
      <c r="J10" s="69"/>
      <c r="K10" s="69"/>
      <c r="L10" s="68"/>
      <c r="R10" s="158"/>
      <c r="S10" s="158"/>
      <c r="U10" s="156"/>
      <c r="X10" s="158"/>
    </row>
    <row r="11" spans="2:29">
      <c r="B11" s="67">
        <f t="shared" si="0"/>
        <v>2026</v>
      </c>
      <c r="C11" s="70">
        <f>$C$9*INDEX('2025 IRP Assumptions'!$E$238:$E$258,MATCH(B11,'2025 IRP Assumptions'!$S$238:$S$258,0),1)</f>
        <v>1451.4848057178701</v>
      </c>
      <c r="D11" s="68"/>
      <c r="E11" s="68" cm="1">
        <f t="array" ref="E11">$E$9*INDEX('2025 IRP Assumptions'!$E$373:$E$396,'WD_.PX.NUT._.PTC.2029'!$B11-2023,1)</f>
        <v>33.044981346</v>
      </c>
      <c r="F11" s="68"/>
      <c r="G11" s="69"/>
      <c r="H11" s="68"/>
      <c r="I11" s="68"/>
      <c r="J11" s="69"/>
      <c r="K11" s="69"/>
      <c r="L11" s="68"/>
      <c r="Q11" s="151"/>
      <c r="R11" s="158"/>
      <c r="S11" s="158"/>
      <c r="X11" s="158"/>
      <c r="AC11" s="144"/>
    </row>
    <row r="12" spans="2:29">
      <c r="B12" s="67">
        <f t="shared" si="0"/>
        <v>2027</v>
      </c>
      <c r="C12" s="70">
        <f>$C$9*INDEX('2025 IRP Assumptions'!$E$238:$E$258,MATCH(B12,'2025 IRP Assumptions'!$S$238:$S$258,0),1)</f>
        <v>1452.0250252554499</v>
      </c>
      <c r="D12" s="68"/>
      <c r="E12" s="68" cm="1">
        <f t="array" ref="E12">$E$9*INDEX('2025 IRP Assumptions'!$E$373:$E$396,'WD_.PX.NUT._.PTC.2029'!$B12-2023,1)</f>
        <v>33.765361931999998</v>
      </c>
      <c r="F12" s="68"/>
      <c r="G12" s="69"/>
      <c r="H12" s="68"/>
      <c r="I12" s="68"/>
      <c r="J12" s="69"/>
      <c r="K12" s="69"/>
      <c r="L12" s="68"/>
      <c r="P12" s="78"/>
      <c r="Q12" s="69"/>
      <c r="R12" s="158"/>
      <c r="S12" s="158"/>
      <c r="U12" s="160"/>
      <c r="X12" s="158"/>
      <c r="Y12" s="160"/>
    </row>
    <row r="13" spans="2:29">
      <c r="B13" s="67">
        <f t="shared" si="0"/>
        <v>2028</v>
      </c>
      <c r="C13" s="70">
        <f>$C$9*INDEX('2025 IRP Assumptions'!$E$238:$E$258,MATCH(B13,'2025 IRP Assumptions'!$S$238:$S$258,0),1)</f>
        <v>1451.89899442007</v>
      </c>
      <c r="D13" s="68"/>
      <c r="E13" s="68" cm="1">
        <f t="array" ref="E13">$E$9*INDEX('2025 IRP Assumptions'!$E$373:$E$396,'WD_.PX.NUT._.PTC.2029'!$B13-2023,1)</f>
        <v>34.501446836549995</v>
      </c>
      <c r="F13" s="264"/>
      <c r="G13" s="69"/>
      <c r="H13" s="68"/>
      <c r="I13" s="68"/>
      <c r="J13" s="69"/>
      <c r="K13" s="69"/>
      <c r="L13" s="68"/>
      <c r="P13" s="78"/>
      <c r="Q13" s="69"/>
      <c r="U13" s="160"/>
      <c r="W13" s="78"/>
      <c r="X13" s="158"/>
      <c r="Y13" s="160"/>
    </row>
    <row r="14" spans="2:29">
      <c r="B14" s="67">
        <f t="shared" si="0"/>
        <v>2029</v>
      </c>
      <c r="C14" s="70">
        <f>$C$9*INDEX('2025 IRP Assumptions'!$E$238:$E$258,MATCH(B14,'2025 IRP Assumptions'!$S$238:$S$258,0),1)</f>
        <v>1451.07740806372</v>
      </c>
      <c r="D14" s="232">
        <f>C14*$C$60</f>
        <v>91.650049093304546</v>
      </c>
      <c r="E14" s="68" cm="1">
        <f t="array" ref="E14">$E$9*INDEX('2025 IRP Assumptions'!$E$373:$E$396,'WD_.PX.NUT._.PTC.2029'!$B14-2023,1)</f>
        <v>35.253578386050002</v>
      </c>
      <c r="F14" s="264"/>
      <c r="G14" s="69">
        <f t="shared" ref="G14:G46" si="1">(D14+E14+F14)/(8.76*$C$61)</f>
        <v>47.729234104764295</v>
      </c>
      <c r="H14" s="68"/>
      <c r="I14" s="68">
        <f t="shared" ref="I14:I23" si="2">-I64</f>
        <v>-42.43</v>
      </c>
      <c r="J14" s="69">
        <f t="shared" ref="J14:J46" si="3">(G14+H14+I14)</f>
        <v>5.2992341047642952</v>
      </c>
      <c r="K14" s="69">
        <f t="shared" ref="K14:K46" si="4">ROUND(J14*$C$61*8.76,2)</f>
        <v>14.09</v>
      </c>
      <c r="L14" s="68">
        <f t="shared" ref="L14:L46" si="5">(D14+E14+F14)</f>
        <v>126.90362747935455</v>
      </c>
      <c r="P14" s="78"/>
      <c r="Q14" s="69"/>
      <c r="U14" s="160"/>
      <c r="V14" s="78"/>
      <c r="W14" s="78"/>
      <c r="X14" s="158"/>
      <c r="Y14" s="160"/>
      <c r="Z14" s="78"/>
    </row>
    <row r="15" spans="2:29">
      <c r="B15" s="67">
        <f t="shared" si="0"/>
        <v>2030</v>
      </c>
      <c r="C15" s="70"/>
      <c r="D15" s="68" cm="1">
        <f t="array" ref="D15">D14*INDEX('2025 IRP Assumptions'!$E$373:$E$396,'WD_.PX.NUT._.PTC.2029'!$B15-2023,1)/INDEX('2025 IRP Assumptions'!$E$373:$E$396,'WD_.PX.NUT._.PTC.2029'!$B15-2023-1,1)</f>
        <v>93.648020115272132</v>
      </c>
      <c r="E15" s="68" cm="1">
        <f t="array" ref="E15">$E$9*INDEX('2025 IRP Assumptions'!$E$373:$E$396,'WD_.PX.NUT._.PTC.2029'!$B15-2023,1)</f>
        <v>36.022106376299995</v>
      </c>
      <c r="F15" s="264"/>
      <c r="G15" s="69">
        <f t="shared" si="1"/>
        <v>48.769731383112095</v>
      </c>
      <c r="H15" s="68"/>
      <c r="I15" s="68">
        <f t="shared" si="2"/>
        <v>-43.76</v>
      </c>
      <c r="J15" s="69">
        <f t="shared" si="3"/>
        <v>5.0097313831120971</v>
      </c>
      <c r="K15" s="69">
        <f t="shared" si="4"/>
        <v>13.32</v>
      </c>
      <c r="L15" s="68">
        <f t="shared" si="5"/>
        <v>129.67012649157212</v>
      </c>
      <c r="P15" s="78"/>
      <c r="Q15" s="69"/>
      <c r="U15" s="160"/>
      <c r="V15" s="78"/>
      <c r="W15" s="78"/>
      <c r="X15" s="158"/>
      <c r="Y15" s="160"/>
      <c r="Z15" s="78"/>
      <c r="AA15" s="78"/>
    </row>
    <row r="16" spans="2:29">
      <c r="B16" s="67">
        <f t="shared" si="0"/>
        <v>2031</v>
      </c>
      <c r="C16" s="70"/>
      <c r="D16" s="68" cm="1">
        <f t="array" ref="D16">D15*INDEX('2025 IRP Assumptions'!$E$373:$E$396,'WD_.PX.NUT._.PTC.2029'!$B16-2023,1)/INDEX('2025 IRP Assumptions'!$E$373:$E$396,'WD_.PX.NUT._.PTC.2029'!$B16-2023-1,1)</f>
        <v>95.689546950526719</v>
      </c>
      <c r="E16" s="68" cm="1">
        <f t="array" ref="E16">$E$9*INDEX('2025 IRP Assumptions'!$E$373:$E$396,'WD_.PX.NUT._.PTC.2029'!$B16-2023,1)</f>
        <v>36.80738829405</v>
      </c>
      <c r="F16" s="264"/>
      <c r="G16" s="69">
        <f t="shared" si="1"/>
        <v>49.83291152556707</v>
      </c>
      <c r="H16" s="68"/>
      <c r="I16" s="68">
        <f t="shared" si="2"/>
        <v>-45.08</v>
      </c>
      <c r="J16" s="69">
        <f t="shared" si="3"/>
        <v>4.7529115255670717</v>
      </c>
      <c r="K16" s="69">
        <f t="shared" si="4"/>
        <v>12.64</v>
      </c>
      <c r="L16" s="68">
        <f t="shared" si="5"/>
        <v>132.49693524457672</v>
      </c>
      <c r="P16" s="78"/>
      <c r="Q16" s="69"/>
      <c r="U16" s="160"/>
      <c r="V16" s="78"/>
      <c r="W16" s="78"/>
      <c r="X16" s="158"/>
      <c r="Y16" s="160"/>
      <c r="Z16" s="78"/>
      <c r="AA16" s="78"/>
    </row>
    <row r="17" spans="2:27">
      <c r="B17" s="67">
        <f t="shared" si="0"/>
        <v>2032</v>
      </c>
      <c r="C17" s="70"/>
      <c r="D17" s="68" cm="1">
        <f t="array" ref="D17">D16*INDEX('2025 IRP Assumptions'!$E$373:$E$396,'WD_.PX.NUT._.PTC.2029'!$B17-2023,1)/INDEX('2025 IRP Assumptions'!$E$373:$E$396,'WD_.PX.NUT._.PTC.2029'!$B17-2023-1,1)</f>
        <v>97.775579047504124</v>
      </c>
      <c r="E17" s="68" cm="1">
        <f t="array" ref="E17">$E$9*INDEX('2025 IRP Assumptions'!$E$373:$E$396,'WD_.PX.NUT._.PTC.2029'!$B17-2023,1)</f>
        <v>37.609789348650004</v>
      </c>
      <c r="F17" s="264"/>
      <c r="G17" s="69">
        <f t="shared" si="1"/>
        <v>50.919268983000883</v>
      </c>
      <c r="H17" s="68"/>
      <c r="I17" s="68">
        <f t="shared" si="2"/>
        <v>-45.08</v>
      </c>
      <c r="J17" s="69">
        <f t="shared" si="3"/>
        <v>5.8392689830008848</v>
      </c>
      <c r="K17" s="69">
        <f t="shared" si="4"/>
        <v>15.53</v>
      </c>
      <c r="L17" s="68">
        <f t="shared" si="5"/>
        <v>135.38536839615412</v>
      </c>
      <c r="P17" s="78"/>
      <c r="Q17" s="69"/>
      <c r="T17" s="78"/>
      <c r="V17" s="78"/>
      <c r="W17" s="78"/>
      <c r="Y17" s="78"/>
      <c r="Z17" s="78"/>
      <c r="AA17" s="78"/>
    </row>
    <row r="18" spans="2:27">
      <c r="B18" s="67">
        <f t="shared" si="0"/>
        <v>2033</v>
      </c>
      <c r="C18" s="70"/>
      <c r="D18" s="68" cm="1">
        <f t="array" ref="D18">D17*INDEX('2025 IRP Assumptions'!$E$373:$E$396,'WD_.PX.NUT._.PTC.2029'!$B18-2023,1)/INDEX('2025 IRP Assumptions'!$E$373:$E$396,'WD_.PX.NUT._.PTC.2029'!$B18-2023-1,1)</f>
        <v>99.907086671908104</v>
      </c>
      <c r="E18" s="68" cm="1">
        <f t="array" ref="E18">$E$9*INDEX('2025 IRP Assumptions'!$E$373:$E$396,'WD_.PX.NUT._.PTC.2029'!$B18-2023,1)</f>
        <v>38.429682756899993</v>
      </c>
      <c r="F18" s="264"/>
      <c r="G18" s="69">
        <f t="shared" si="1"/>
        <v>52.02930904743878</v>
      </c>
      <c r="H18" s="68"/>
      <c r="I18" s="68">
        <f t="shared" si="2"/>
        <v>-46.41</v>
      </c>
      <c r="J18" s="69">
        <f t="shared" si="3"/>
        <v>5.619309047438783</v>
      </c>
      <c r="K18" s="69">
        <f t="shared" si="4"/>
        <v>14.94</v>
      </c>
      <c r="L18" s="68">
        <f t="shared" si="5"/>
        <v>138.33676942880811</v>
      </c>
      <c r="P18" s="78"/>
      <c r="Q18" s="69"/>
      <c r="T18" s="78"/>
      <c r="V18" s="78"/>
      <c r="W18" s="78"/>
      <c r="Y18" s="78"/>
      <c r="Z18" s="78"/>
      <c r="AA18" s="78"/>
    </row>
    <row r="19" spans="2:27">
      <c r="B19" s="67">
        <f t="shared" si="0"/>
        <v>2034</v>
      </c>
      <c r="C19" s="70"/>
      <c r="D19" s="68" cm="1">
        <f t="array" ref="D19">D18*INDEX('2025 IRP Assumptions'!$E$373:$E$396,'WD_.PX.NUT._.PTC.2029'!$B19-2023,1)/INDEX('2025 IRP Assumptions'!$E$373:$E$396,'WD_.PX.NUT._.PTC.2029'!$B19-2023-1,1)</f>
        <v>102.08506123583709</v>
      </c>
      <c r="E19" s="68" cm="1">
        <f t="array" ref="E19">$E$9*INDEX('2025 IRP Assumptions'!$E$373:$E$396,'WD_.PX.NUT._.PTC.2029'!$B19-2023,1)</f>
        <v>39.267449869649994</v>
      </c>
      <c r="F19" s="264"/>
      <c r="G19" s="69">
        <f t="shared" si="1"/>
        <v>53.163548023461132</v>
      </c>
      <c r="H19" s="68"/>
      <c r="I19" s="68">
        <f t="shared" si="2"/>
        <v>-47.74</v>
      </c>
      <c r="J19" s="69">
        <f t="shared" si="3"/>
        <v>5.4235480234611302</v>
      </c>
      <c r="K19" s="69">
        <f t="shared" si="4"/>
        <v>14.42</v>
      </c>
      <c r="L19" s="68">
        <f t="shared" si="5"/>
        <v>141.35251110548708</v>
      </c>
      <c r="P19" s="78"/>
      <c r="Q19" s="69"/>
      <c r="T19" s="78"/>
      <c r="V19" s="78"/>
      <c r="W19" s="78"/>
      <c r="Y19" s="78"/>
      <c r="Z19" s="78"/>
      <c r="AA19" s="78"/>
    </row>
    <row r="20" spans="2:27">
      <c r="B20" s="67">
        <f t="shared" si="0"/>
        <v>2035</v>
      </c>
      <c r="C20" s="70"/>
      <c r="D20" s="68" cm="1">
        <f t="array" ref="D20">D19*INDEX('2025 IRP Assumptions'!$E$373:$E$396,'WD_.PX.NUT._.PTC.2029'!$B20-2023,1)/INDEX('2025 IRP Assumptions'!$E$373:$E$396,'WD_.PX.NUT._.PTC.2029'!$B20-2023-1,1)</f>
        <v>104.31051554462921</v>
      </c>
      <c r="E20" s="68" cm="1">
        <f t="array" ref="E20">$E$9*INDEX('2025 IRP Assumptions'!$E$373:$E$396,'WD_.PX.NUT._.PTC.2029'!$B20-2023,1)</f>
        <v>40.123480266749993</v>
      </c>
      <c r="F20" s="264"/>
      <c r="G20" s="69">
        <f t="shared" si="1"/>
        <v>54.322513356754719</v>
      </c>
      <c r="H20" s="68"/>
      <c r="I20" s="68">
        <f t="shared" si="2"/>
        <v>-47.74</v>
      </c>
      <c r="J20" s="69">
        <f t="shared" si="3"/>
        <v>6.5825133567547169</v>
      </c>
      <c r="K20" s="69">
        <f t="shared" si="4"/>
        <v>17.5</v>
      </c>
      <c r="L20" s="68">
        <f t="shared" si="5"/>
        <v>144.43399581137919</v>
      </c>
      <c r="P20" s="78"/>
      <c r="Q20" s="69"/>
      <c r="T20" s="78"/>
      <c r="V20" s="78"/>
      <c r="W20" s="78"/>
      <c r="Y20" s="78"/>
      <c r="Z20" s="78"/>
      <c r="AA20" s="78"/>
    </row>
    <row r="21" spans="2:27">
      <c r="B21" s="67">
        <f t="shared" si="0"/>
        <v>2036</v>
      </c>
      <c r="C21" s="70"/>
      <c r="D21" s="68" cm="1">
        <f t="array" ref="D21">D20*INDEX('2025 IRP Assumptions'!$E$373:$E$396,'WD_.PX.NUT._.PTC.2029'!$B21-2023,1)/INDEX('2025 IRP Assumptions'!$E$373:$E$396,'WD_.PX.NUT._.PTC.2029'!$B21-2023-1,1)</f>
        <v>106.58448478424266</v>
      </c>
      <c r="E21" s="68" cm="1">
        <f t="array" ref="E21">$E$9*INDEX('2025 IRP Assumptions'!$E$373:$E$396,'WD_.PX.NUT._.PTC.2029'!$B21-2023,1)</f>
        <v>40.998172136849995</v>
      </c>
      <c r="F21" s="264"/>
      <c r="G21" s="69">
        <f t="shared" si="1"/>
        <v>55.50674414831763</v>
      </c>
      <c r="H21" s="68"/>
      <c r="I21" s="68">
        <f t="shared" si="2"/>
        <v>-49.06</v>
      </c>
      <c r="J21" s="69">
        <f t="shared" si="3"/>
        <v>6.4467441483176273</v>
      </c>
      <c r="K21" s="69">
        <f t="shared" si="4"/>
        <v>17.14</v>
      </c>
      <c r="L21" s="68">
        <f t="shared" si="5"/>
        <v>147.58265692109265</v>
      </c>
      <c r="P21" s="78"/>
      <c r="Q21" s="69"/>
      <c r="T21" s="78"/>
      <c r="V21" s="78"/>
      <c r="W21" s="78"/>
      <c r="Y21" s="78"/>
      <c r="Z21" s="78"/>
      <c r="AA21" s="78"/>
    </row>
    <row r="22" spans="2:27">
      <c r="B22" s="67">
        <f t="shared" si="0"/>
        <v>2037</v>
      </c>
      <c r="C22" s="70"/>
      <c r="D22" s="68" cm="1">
        <f t="array" ref="D22">D21*INDEX('2025 IRP Assumptions'!$E$373:$E$396,'WD_.PX.NUT._.PTC.2029'!$B22-2023,1)/INDEX('2025 IRP Assumptions'!$E$373:$E$396,'WD_.PX.NUT._.PTC.2029'!$B22-2023-1,1)</f>
        <v>108.90802652125565</v>
      </c>
      <c r="E22" s="68" cm="1">
        <f t="array" ref="E22">$E$9*INDEX('2025 IRP Assumptions'!$E$373:$E$396,'WD_.PX.NUT._.PTC.2029'!$B22-2023,1)</f>
        <v>41.891932277399995</v>
      </c>
      <c r="F22" s="264"/>
      <c r="G22" s="69">
        <f t="shared" si="1"/>
        <v>56.716791154459223</v>
      </c>
      <c r="H22" s="68"/>
      <c r="I22" s="68">
        <f t="shared" si="2"/>
        <v>-50.39</v>
      </c>
      <c r="J22" s="69">
        <f t="shared" si="3"/>
        <v>6.3267911544592224</v>
      </c>
      <c r="K22" s="69">
        <f t="shared" si="4"/>
        <v>16.82</v>
      </c>
      <c r="L22" s="68">
        <f t="shared" si="5"/>
        <v>150.79995879865564</v>
      </c>
      <c r="P22" s="78"/>
      <c r="Q22" s="69"/>
      <c r="T22" s="78"/>
      <c r="V22" s="78"/>
      <c r="W22" s="78"/>
      <c r="Y22" s="78"/>
      <c r="Z22" s="78"/>
      <c r="AA22" s="78"/>
    </row>
    <row r="23" spans="2:27">
      <c r="B23" s="67">
        <f t="shared" si="0"/>
        <v>2038</v>
      </c>
      <c r="C23" s="70"/>
      <c r="D23" s="68" cm="1">
        <f t="array" ref="D23">D22*INDEX('2025 IRP Assumptions'!$E$373:$E$396,'WD_.PX.NUT._.PTC.2029'!$B23-2023,1)/INDEX('2025 IRP Assumptions'!$E$373:$E$396,'WD_.PX.NUT._.PTC.2029'!$B23-2023-1,1)</f>
        <v>111.28222152568334</v>
      </c>
      <c r="E23" s="68" cm="1">
        <f t="array" ref="E23">$E$9*INDEX('2025 IRP Assumptions'!$E$373:$E$396,'WD_.PX.NUT._.PTC.2029'!$B23-2023,1)</f>
        <v>42.805176411150001</v>
      </c>
      <c r="F23" s="264"/>
      <c r="G23" s="69">
        <f t="shared" si="1"/>
        <v>57.953217215304285</v>
      </c>
      <c r="H23" s="68"/>
      <c r="I23" s="68">
        <f t="shared" si="2"/>
        <v>-51.71</v>
      </c>
      <c r="J23" s="69">
        <f t="shared" si="3"/>
        <v>6.2432172153042842</v>
      </c>
      <c r="K23" s="69">
        <f t="shared" si="4"/>
        <v>16.600000000000001</v>
      </c>
      <c r="L23" s="68">
        <f t="shared" si="5"/>
        <v>154.08739793683333</v>
      </c>
      <c r="P23" s="78"/>
      <c r="Q23" s="69"/>
      <c r="T23" s="78"/>
      <c r="V23" s="78"/>
      <c r="W23" s="78"/>
      <c r="Y23" s="78"/>
      <c r="Z23" s="78"/>
      <c r="AA23" s="78"/>
    </row>
    <row r="24" spans="2:27">
      <c r="B24" s="67">
        <f t="shared" si="0"/>
        <v>2039</v>
      </c>
      <c r="C24" s="70"/>
      <c r="D24" s="68" cm="1">
        <f t="array" ref="D24">D23*INDEX('2025 IRP Assumptions'!$E$373:$E$396,'WD_.PX.NUT._.PTC.2029'!$B24-2023,1)/INDEX('2025 IRP Assumptions'!$E$373:$E$396,'WD_.PX.NUT._.PTC.2029'!$B24-2023-1,1)</f>
        <v>113.7081739355412</v>
      </c>
      <c r="E24" s="68" cm="1">
        <f t="array" ref="E24">$E$9*INDEX('2025 IRP Assumptions'!$E$373:$E$396,'WD_.PX.NUT._.PTC.2029'!$B24-2023,1)</f>
        <v>43.738329249449997</v>
      </c>
      <c r="F24" s="264"/>
      <c r="G24" s="69">
        <f t="shared" si="1"/>
        <v>59.216597340493792</v>
      </c>
      <c r="H24" s="68"/>
      <c r="I24" s="68"/>
      <c r="J24" s="69">
        <f t="shared" si="3"/>
        <v>59.216597340493792</v>
      </c>
      <c r="K24" s="69">
        <f t="shared" si="4"/>
        <v>157.44999999999999</v>
      </c>
      <c r="L24" s="68">
        <f t="shared" si="5"/>
        <v>157.4465031849912</v>
      </c>
      <c r="P24" s="78"/>
      <c r="Q24" s="69"/>
      <c r="T24" s="78"/>
      <c r="V24" s="78"/>
      <c r="W24" s="78"/>
      <c r="Y24" s="78"/>
      <c r="Z24" s="78"/>
      <c r="AA24" s="78"/>
    </row>
    <row r="25" spans="2:27">
      <c r="B25" s="67">
        <f t="shared" si="0"/>
        <v>2040</v>
      </c>
      <c r="C25" s="70"/>
      <c r="D25" s="68" cm="1">
        <f t="array" ref="D25">D24*INDEX('2025 IRP Assumptions'!$E$373:$E$396,'WD_.PX.NUT._.PTC.2029'!$B25-2023,1)/INDEX('2025 IRP Assumptions'!$E$373:$E$396,'WD_.PX.NUT._.PTC.2029'!$B25-2023-1,1)</f>
        <v>116.18701216194367</v>
      </c>
      <c r="E25" s="68" cm="1">
        <f t="array" ref="E25">$E$9*INDEX('2025 IRP Assumptions'!$E$373:$E$396,'WD_.PX.NUT._.PTC.2029'!$B25-2023,1)</f>
        <v>44.691824840399995</v>
      </c>
      <c r="F25" s="264"/>
      <c r="G25" s="69">
        <f t="shared" si="1"/>
        <v>60.507519180539433</v>
      </c>
      <c r="H25" s="68"/>
      <c r="I25" s="68"/>
      <c r="J25" s="69">
        <f t="shared" si="3"/>
        <v>60.507519180539433</v>
      </c>
      <c r="K25" s="69">
        <f t="shared" si="4"/>
        <v>160.88</v>
      </c>
      <c r="L25" s="68">
        <f t="shared" si="5"/>
        <v>160.87883700234366</v>
      </c>
      <c r="P25" s="78"/>
      <c r="Q25" s="69"/>
      <c r="T25" s="78"/>
      <c r="V25" s="78"/>
      <c r="W25" s="78"/>
      <c r="Y25" s="78"/>
      <c r="Z25" s="78"/>
      <c r="AA25" s="78"/>
    </row>
    <row r="26" spans="2:27">
      <c r="B26" s="67">
        <f t="shared" si="0"/>
        <v>2041</v>
      </c>
      <c r="C26" s="70"/>
      <c r="D26" s="68" cm="1">
        <f t="array" ref="D26">D25*INDEX('2025 IRP Assumptions'!$E$373:$E$396,'WD_.PX.NUT._.PTC.2029'!$B26-2023,1)/INDEX('2025 IRP Assumptions'!$E$373:$E$396,'WD_.PX.NUT._.PTC.2029'!$B26-2023-1,1)</f>
        <v>118.71988897138579</v>
      </c>
      <c r="E26" s="68" cm="1">
        <f t="array" ref="E26">$E$9*INDEX('2025 IRP Assumptions'!$E$373:$E$396,'WD_.PX.NUT._.PTC.2029'!$B26-2023,1)</f>
        <v>45.666106600499994</v>
      </c>
      <c r="F26" s="264"/>
      <c r="G26" s="69">
        <f t="shared" si="1"/>
        <v>61.826583069674037</v>
      </c>
      <c r="H26" s="68"/>
      <c r="I26" s="68"/>
      <c r="J26" s="69">
        <f t="shared" si="3"/>
        <v>61.826583069674037</v>
      </c>
      <c r="K26" s="69">
        <f t="shared" si="4"/>
        <v>164.39</v>
      </c>
      <c r="L26" s="68">
        <f t="shared" si="5"/>
        <v>164.38599557188579</v>
      </c>
      <c r="P26" s="78"/>
      <c r="Q26" s="69"/>
    </row>
    <row r="27" spans="2:27">
      <c r="B27" s="67">
        <f t="shared" si="0"/>
        <v>2042</v>
      </c>
      <c r="C27" s="70"/>
      <c r="D27" s="68" cm="1">
        <f t="array" ref="D27">D26*INDEX('2025 IRP Assumptions'!$E$373:$E$396,'WD_.PX.NUT._.PTC.2029'!$B27-2023,1)/INDEX('2025 IRP Assumptions'!$E$373:$E$396,'WD_.PX.NUT._.PTC.2029'!$B27-2023-1,1)</f>
        <v>121.30798255540522</v>
      </c>
      <c r="E27" s="68" cm="1">
        <f t="array" ref="E27">$E$9*INDEX('2025 IRP Assumptions'!$E$373:$E$396,'WD_.PX.NUT._.PTC.2029'!$B27-2023,1)</f>
        <v>46.661627726100001</v>
      </c>
      <c r="F27" s="264"/>
      <c r="G27" s="69">
        <f t="shared" si="1"/>
        <v>63.174402582906858</v>
      </c>
      <c r="H27" s="68"/>
      <c r="I27" s="68"/>
      <c r="J27" s="69">
        <f t="shared" si="3"/>
        <v>63.174402582906858</v>
      </c>
      <c r="K27" s="69">
        <f t="shared" si="4"/>
        <v>167.97</v>
      </c>
      <c r="L27" s="68">
        <f t="shared" si="5"/>
        <v>167.96961028150523</v>
      </c>
      <c r="P27" s="78"/>
      <c r="Q27" s="69"/>
    </row>
    <row r="28" spans="2:27">
      <c r="B28" s="67">
        <f t="shared" si="0"/>
        <v>2043</v>
      </c>
      <c r="C28" s="70"/>
      <c r="D28" s="68" cm="1">
        <f t="array" ref="D28">D27*INDEX('2025 IRP Assumptions'!$E$373:$E$396,'WD_.PX.NUT._.PTC.2029'!$B28-2023,1)/INDEX('2025 IRP Assumptions'!$E$373:$E$396,'WD_.PX.NUT._.PTC.2029'!$B28-2023-1,1)</f>
        <v>123.95249661286388</v>
      </c>
      <c r="E28" s="68" cm="1">
        <f t="array" ref="E28">$E$9*INDEX('2025 IRP Assumptions'!$E$373:$E$396,'WD_.PX.NUT._.PTC.2029'!$B28-2023,1)</f>
        <v>47.678851225049996</v>
      </c>
      <c r="F28" s="264"/>
      <c r="G28" s="69">
        <f t="shared" si="1"/>
        <v>64.551604578873992</v>
      </c>
      <c r="H28" s="68"/>
      <c r="I28" s="68"/>
      <c r="J28" s="69">
        <f t="shared" si="3"/>
        <v>64.551604578873992</v>
      </c>
      <c r="K28" s="69">
        <f t="shared" si="4"/>
        <v>171.63</v>
      </c>
      <c r="L28" s="68">
        <f t="shared" si="5"/>
        <v>171.63134783791389</v>
      </c>
      <c r="P28" s="78"/>
      <c r="Q28" s="69"/>
    </row>
    <row r="29" spans="2:27">
      <c r="B29" s="67">
        <f t="shared" si="0"/>
        <v>2044</v>
      </c>
      <c r="C29" s="70"/>
      <c r="D29" s="68" cm="1">
        <f t="array" ref="D29">D28*INDEX('2025 IRP Assumptions'!$E$373:$E$396,'WD_.PX.NUT._.PTC.2029'!$B29-2023,1)/INDEX('2025 IRP Assumptions'!$E$373:$E$396,'WD_.PX.NUT._.PTC.2029'!$B29-2023-1,1)</f>
        <v>126.6546610082016</v>
      </c>
      <c r="E29" s="68" cm="1">
        <f t="array" ref="E29">$E$9*INDEX('2025 IRP Assumptions'!$E$373:$E$396,'WD_.PX.NUT._.PTC.2029'!$B29-2023,1)</f>
        <v>48.718250169900003</v>
      </c>
      <c r="F29" s="264"/>
      <c r="G29" s="69">
        <f t="shared" si="1"/>
        <v>65.958829542641695</v>
      </c>
      <c r="H29" s="68"/>
      <c r="I29" s="68"/>
      <c r="J29" s="69">
        <f t="shared" si="3"/>
        <v>65.958829542641695</v>
      </c>
      <c r="K29" s="69">
        <f t="shared" si="4"/>
        <v>175.37</v>
      </c>
      <c r="L29" s="68">
        <f t="shared" si="5"/>
        <v>175.37291117810162</v>
      </c>
      <c r="P29" s="78"/>
      <c r="Q29" s="69"/>
    </row>
    <row r="30" spans="2:27">
      <c r="B30" s="67">
        <f t="shared" si="0"/>
        <v>2045</v>
      </c>
      <c r="C30" s="70"/>
      <c r="D30" s="68" cm="1">
        <f t="array" ref="D30">D29*INDEX('2025 IRP Assumptions'!$E$373:$E$396,'WD_.PX.NUT._.PTC.2029'!$B30-2023,1)/INDEX('2025 IRP Assumptions'!$E$373:$E$396,'WD_.PX.NUT._.PTC.2029'!$B30-2023-1,1)</f>
        <v>129.41573267653456</v>
      </c>
      <c r="E30" s="68" cm="1">
        <f t="array" ref="E30">$E$9*INDEX('2025 IRP Assumptions'!$E$373:$E$396,'WD_.PX.NUT._.PTC.2029'!$B30-2023,1)</f>
        <v>49.780308046050003</v>
      </c>
      <c r="F30" s="264"/>
      <c r="G30" s="69">
        <f t="shared" si="1"/>
        <v>67.396732057060788</v>
      </c>
      <c r="H30" s="68"/>
      <c r="I30" s="68"/>
      <c r="J30" s="69">
        <f t="shared" si="3"/>
        <v>67.396732057060788</v>
      </c>
      <c r="K30" s="69">
        <f t="shared" si="4"/>
        <v>179.2</v>
      </c>
      <c r="L30" s="68">
        <f t="shared" si="5"/>
        <v>179.19604072258457</v>
      </c>
      <c r="P30" s="78"/>
      <c r="Q30" s="69"/>
    </row>
    <row r="31" spans="2:27">
      <c r="B31" s="67">
        <f t="shared" si="0"/>
        <v>2046</v>
      </c>
      <c r="C31" s="70"/>
      <c r="D31" s="68" cm="1">
        <f t="array" ref="D31">D30*INDEX('2025 IRP Assumptions'!$E$373:$E$396,'WD_.PX.NUT._.PTC.2029'!$B31-2023,1)/INDEX('2025 IRP Assumptions'!$E$373:$E$396,'WD_.PX.NUT._.PTC.2029'!$B31-2023-1,1)</f>
        <v>132.23699562365545</v>
      </c>
      <c r="E31" s="68" cm="1">
        <f t="array" ref="E31">$E$9*INDEX('2025 IRP Assumptions'!$E$373:$E$396,'WD_.PX.NUT._.PTC.2029'!$B31-2023,1)</f>
        <v>50.865518751749995</v>
      </c>
      <c r="F31" s="264"/>
      <c r="G31" s="69">
        <f t="shared" si="1"/>
        <v>68.865980802766757</v>
      </c>
      <c r="H31" s="68"/>
      <c r="I31" s="68"/>
      <c r="J31" s="69">
        <f t="shared" si="3"/>
        <v>68.865980802766757</v>
      </c>
      <c r="K31" s="69">
        <f t="shared" si="4"/>
        <v>183.1</v>
      </c>
      <c r="L31" s="68">
        <f t="shared" si="5"/>
        <v>183.10251437540543</v>
      </c>
      <c r="P31" s="78"/>
      <c r="Q31" s="69"/>
    </row>
    <row r="32" spans="2:27">
      <c r="B32" s="67">
        <f t="shared" si="0"/>
        <v>2047</v>
      </c>
      <c r="C32" s="70"/>
      <c r="D32" s="68" cm="1">
        <f t="array" ref="D32">D31*INDEX('2025 IRP Assumptions'!$E$373:$E$396,'WD_.PX.NUT._.PTC.2029'!$B32-2023,1)/INDEX('2025 IRP Assumptions'!$E$373:$E$396,'WD_.PX.NUT._.PTC.2029'!$B32-2023-1,1)</f>
        <v>135.11976207797701</v>
      </c>
      <c r="E32" s="68" cm="1">
        <f t="array" ref="E32">$E$9*INDEX('2025 IRP Assumptions'!$E$373:$E$396,'WD_.PX.NUT._.PTC.2029'!$B32-2023,1)</f>
        <v>51.974387041199996</v>
      </c>
      <c r="F32" s="264"/>
      <c r="G32" s="69">
        <f t="shared" si="1"/>
        <v>70.367259158085488</v>
      </c>
      <c r="H32" s="68"/>
      <c r="I32" s="68"/>
      <c r="J32" s="69">
        <f t="shared" si="3"/>
        <v>70.367259158085488</v>
      </c>
      <c r="K32" s="69">
        <f t="shared" si="4"/>
        <v>187.09</v>
      </c>
      <c r="L32" s="68">
        <f t="shared" si="5"/>
        <v>187.09414911917702</v>
      </c>
      <c r="P32" s="78"/>
      <c r="Q32" s="69"/>
    </row>
    <row r="33" spans="2:17" ht="15">
      <c r="B33" s="67">
        <f t="shared" si="0"/>
        <v>2048</v>
      </c>
      <c r="C33" s="70"/>
      <c r="D33" s="259">
        <f t="shared" ref="D33:E46" si="6">D32*D32/D31</f>
        <v>138.06537283990681</v>
      </c>
      <c r="E33" s="259">
        <f t="shared" si="6"/>
        <v>53.107428658938439</v>
      </c>
      <c r="F33" s="264"/>
      <c r="G33" s="69">
        <f t="shared" si="1"/>
        <v>71.901265380979382</v>
      </c>
      <c r="H33" s="68"/>
      <c r="I33" s="68"/>
      <c r="J33" s="69">
        <f t="shared" si="3"/>
        <v>71.901265380979382</v>
      </c>
      <c r="K33" s="69">
        <f t="shared" si="4"/>
        <v>191.17</v>
      </c>
      <c r="L33" s="68">
        <f t="shared" si="5"/>
        <v>191.17280149884525</v>
      </c>
      <c r="P33" s="78"/>
      <c r="Q33" s="69"/>
    </row>
    <row r="34" spans="2:17" ht="15">
      <c r="B34" s="67">
        <f t="shared" si="0"/>
        <v>2049</v>
      </c>
      <c r="C34" s="70"/>
      <c r="D34" s="259">
        <f t="shared" si="6"/>
        <v>141.07519791532681</v>
      </c>
      <c r="E34" s="259">
        <f t="shared" si="6"/>
        <v>54.26517058351282</v>
      </c>
      <c r="F34" s="264"/>
      <c r="G34" s="69">
        <f t="shared" si="1"/>
        <v>73.468712938949167</v>
      </c>
      <c r="H34" s="68"/>
      <c r="I34" s="68"/>
      <c r="J34" s="69">
        <f t="shared" si="3"/>
        <v>73.468712938949167</v>
      </c>
      <c r="K34" s="69">
        <f t="shared" si="4"/>
        <v>195.34</v>
      </c>
      <c r="L34" s="68">
        <f t="shared" si="5"/>
        <v>195.34036849883964</v>
      </c>
      <c r="P34" s="78"/>
      <c r="Q34" s="69"/>
    </row>
    <row r="35" spans="2:17" ht="15">
      <c r="B35" s="67">
        <f t="shared" si="0"/>
        <v>2050</v>
      </c>
      <c r="C35" s="70"/>
      <c r="D35" s="259">
        <f t="shared" si="6"/>
        <v>144.1506371762467</v>
      </c>
      <c r="E35" s="259">
        <f t="shared" si="6"/>
        <v>55.448151281602769</v>
      </c>
      <c r="F35" s="264"/>
      <c r="G35" s="69">
        <f t="shared" si="1"/>
        <v>75.070330853086787</v>
      </c>
      <c r="H35" s="68"/>
      <c r="I35" s="68"/>
      <c r="J35" s="69">
        <f t="shared" si="3"/>
        <v>75.070330853086787</v>
      </c>
      <c r="K35" s="69">
        <f t="shared" si="4"/>
        <v>199.6</v>
      </c>
      <c r="L35" s="68">
        <f t="shared" si="5"/>
        <v>199.59878845784948</v>
      </c>
      <c r="P35" s="78"/>
      <c r="Q35" s="69"/>
    </row>
    <row r="36" spans="2:17" ht="15">
      <c r="B36" s="67">
        <f t="shared" si="0"/>
        <v>2051</v>
      </c>
      <c r="C36" s="70"/>
      <c r="D36" s="259">
        <f t="shared" si="6"/>
        <v>147.29312101188543</v>
      </c>
      <c r="E36" s="259">
        <f t="shared" si="6"/>
        <v>56.656920958461328</v>
      </c>
      <c r="F36" s="264"/>
      <c r="G36" s="69">
        <f t="shared" si="1"/>
        <v>76.706864037143717</v>
      </c>
      <c r="H36" s="68"/>
      <c r="I36" s="68"/>
      <c r="J36" s="69">
        <f t="shared" si="3"/>
        <v>76.706864037143717</v>
      </c>
      <c r="K36" s="69">
        <f t="shared" si="4"/>
        <v>203.95</v>
      </c>
      <c r="L36" s="68">
        <f t="shared" si="5"/>
        <v>203.95004197034677</v>
      </c>
      <c r="P36" s="78"/>
      <c r="Q36" s="69"/>
    </row>
    <row r="37" spans="2:17" ht="15">
      <c r="B37" s="67">
        <f t="shared" si="0"/>
        <v>2052</v>
      </c>
      <c r="C37" s="70"/>
      <c r="D37" s="259">
        <f t="shared" si="6"/>
        <v>150.50411099394637</v>
      </c>
      <c r="E37" s="259">
        <f t="shared" si="6"/>
        <v>57.892041813815851</v>
      </c>
      <c r="F37" s="264"/>
      <c r="G37" s="69">
        <f t="shared" si="1"/>
        <v>78.379073643990893</v>
      </c>
      <c r="H37" s="68"/>
      <c r="I37" s="68"/>
      <c r="J37" s="69">
        <f t="shared" si="3"/>
        <v>78.379073643990893</v>
      </c>
      <c r="K37" s="69">
        <f t="shared" si="4"/>
        <v>208.4</v>
      </c>
      <c r="L37" s="68">
        <f t="shared" si="5"/>
        <v>208.39615280776223</v>
      </c>
      <c r="P37" s="78"/>
      <c r="Q37" s="69"/>
    </row>
    <row r="38" spans="2:17" ht="15">
      <c r="B38" s="67">
        <f t="shared" si="0"/>
        <v>2053</v>
      </c>
      <c r="C38" s="70"/>
      <c r="D38" s="259">
        <f t="shared" si="6"/>
        <v>153.78510055639549</v>
      </c>
      <c r="E38" s="259">
        <f t="shared" si="6"/>
        <v>59.154088303347535</v>
      </c>
      <c r="F38" s="264"/>
      <c r="G38" s="69">
        <f t="shared" si="1"/>
        <v>80.087737419631594</v>
      </c>
      <c r="H38" s="68"/>
      <c r="I38" s="68"/>
      <c r="J38" s="69">
        <f t="shared" si="3"/>
        <v>80.087737419631594</v>
      </c>
      <c r="K38" s="69">
        <f t="shared" si="4"/>
        <v>212.94</v>
      </c>
      <c r="L38" s="68">
        <f t="shared" si="5"/>
        <v>212.93918885974301</v>
      </c>
      <c r="P38" s="78"/>
      <c r="Q38" s="69"/>
    </row>
    <row r="39" spans="2:17" ht="15">
      <c r="B39" s="67">
        <f t="shared" si="0"/>
        <v>2054</v>
      </c>
      <c r="C39" s="70"/>
      <c r="D39" s="259">
        <f t="shared" si="6"/>
        <v>157.13761569005865</v>
      </c>
      <c r="E39" s="259">
        <f t="shared" si="6"/>
        <v>60.443647405871204</v>
      </c>
      <c r="F39" s="264"/>
      <c r="G39" s="69">
        <f t="shared" si="1"/>
        <v>81.833650064931675</v>
      </c>
      <c r="H39" s="68"/>
      <c r="I39" s="68"/>
      <c r="J39" s="69">
        <f t="shared" si="3"/>
        <v>81.833650064931675</v>
      </c>
      <c r="K39" s="69">
        <f t="shared" si="4"/>
        <v>217.58</v>
      </c>
      <c r="L39" s="68">
        <f t="shared" si="5"/>
        <v>217.58126309592984</v>
      </c>
      <c r="P39" s="78"/>
      <c r="Q39" s="69"/>
    </row>
    <row r="40" spans="2:17" ht="15">
      <c r="B40" s="67">
        <f t="shared" si="0"/>
        <v>2055</v>
      </c>
      <c r="C40" s="70"/>
      <c r="D40" s="259">
        <f t="shared" si="6"/>
        <v>160.56321565236109</v>
      </c>
      <c r="E40" s="259">
        <f t="shared" si="6"/>
        <v>61.761318896339617</v>
      </c>
      <c r="F40" s="264"/>
      <c r="G40" s="69">
        <f t="shared" si="1"/>
        <v>83.617623605235522</v>
      </c>
      <c r="H40" s="68"/>
      <c r="I40" s="68"/>
      <c r="J40" s="69">
        <f t="shared" si="3"/>
        <v>83.617623605235522</v>
      </c>
      <c r="K40" s="69">
        <f t="shared" si="4"/>
        <v>222.32</v>
      </c>
      <c r="L40" s="68">
        <f t="shared" si="5"/>
        <v>222.32453454870071</v>
      </c>
      <c r="P40" s="78"/>
      <c r="Q40" s="69"/>
    </row>
    <row r="41" spans="2:17" ht="15">
      <c r="B41" s="67">
        <f t="shared" si="0"/>
        <v>2056</v>
      </c>
      <c r="C41" s="70"/>
      <c r="D41" s="259">
        <f t="shared" si="6"/>
        <v>164.0634936925394</v>
      </c>
      <c r="E41" s="259">
        <f t="shared" si="6"/>
        <v>63.10771562479929</v>
      </c>
      <c r="F41" s="264"/>
      <c r="G41" s="69">
        <f t="shared" si="1"/>
        <v>85.440487768039773</v>
      </c>
      <c r="H41" s="68"/>
      <c r="I41" s="68"/>
      <c r="J41" s="69">
        <f t="shared" si="3"/>
        <v>85.440487768039773</v>
      </c>
      <c r="K41" s="69">
        <f t="shared" si="4"/>
        <v>227.17</v>
      </c>
      <c r="L41" s="68">
        <f t="shared" si="5"/>
        <v>227.17120931733868</v>
      </c>
      <c r="P41" s="78"/>
      <c r="Q41" s="69"/>
    </row>
    <row r="42" spans="2:17" ht="15">
      <c r="B42" s="67">
        <f t="shared" si="0"/>
        <v>2057</v>
      </c>
      <c r="C42" s="70"/>
      <c r="D42" s="259">
        <f t="shared" si="6"/>
        <v>167.64007779266285</v>
      </c>
      <c r="E42" s="259">
        <f t="shared" si="6"/>
        <v>64.483463801427504</v>
      </c>
      <c r="F42" s="264"/>
      <c r="G42" s="69">
        <f t="shared" si="1"/>
        <v>87.303090368900143</v>
      </c>
      <c r="H42" s="68"/>
      <c r="I42" s="68"/>
      <c r="J42" s="69">
        <f t="shared" si="3"/>
        <v>87.303090368900143</v>
      </c>
      <c r="K42" s="69">
        <f t="shared" si="4"/>
        <v>232.12</v>
      </c>
      <c r="L42" s="68">
        <f t="shared" si="5"/>
        <v>232.12354159409034</v>
      </c>
      <c r="P42" s="78"/>
      <c r="Q42" s="69"/>
    </row>
    <row r="43" spans="2:17" ht="15">
      <c r="B43" s="67">
        <f t="shared" si="0"/>
        <v>2058</v>
      </c>
      <c r="C43" s="70"/>
      <c r="D43" s="259">
        <f t="shared" si="6"/>
        <v>171.29463142480924</v>
      </c>
      <c r="E43" s="259">
        <f t="shared" si="6"/>
        <v>65.889203287783189</v>
      </c>
      <c r="F43" s="264"/>
      <c r="G43" s="69">
        <f t="shared" si="1"/>
        <v>89.20629770575114</v>
      </c>
      <c r="H43" s="68"/>
      <c r="I43" s="68"/>
      <c r="J43" s="69">
        <f t="shared" si="3"/>
        <v>89.20629770575114</v>
      </c>
      <c r="K43" s="69">
        <f t="shared" si="4"/>
        <v>237.18</v>
      </c>
      <c r="L43" s="68">
        <f t="shared" si="5"/>
        <v>237.18383471259244</v>
      </c>
      <c r="P43" s="78"/>
      <c r="Q43" s="69"/>
    </row>
    <row r="44" spans="2:17" ht="15">
      <c r="B44" s="67">
        <f t="shared" si="0"/>
        <v>2059</v>
      </c>
      <c r="C44" s="70"/>
      <c r="D44" s="259">
        <f t="shared" si="6"/>
        <v>175.02885432474702</v>
      </c>
      <c r="E44" s="259">
        <f t="shared" si="6"/>
        <v>67.325587894406993</v>
      </c>
      <c r="F44" s="264"/>
      <c r="G44" s="69">
        <f t="shared" si="1"/>
        <v>91.150994961821922</v>
      </c>
      <c r="H44" s="68"/>
      <c r="I44" s="68"/>
      <c r="J44" s="69">
        <f t="shared" si="3"/>
        <v>91.150994961821922</v>
      </c>
      <c r="K44" s="69">
        <f t="shared" si="4"/>
        <v>242.35</v>
      </c>
      <c r="L44" s="68">
        <f t="shared" si="5"/>
        <v>242.35444221915401</v>
      </c>
      <c r="P44" s="78"/>
      <c r="Q44" s="69"/>
    </row>
    <row r="45" spans="2:17" ht="15">
      <c r="B45" s="67">
        <f t="shared" si="0"/>
        <v>2060</v>
      </c>
      <c r="C45" s="70"/>
      <c r="D45" s="259">
        <f t="shared" si="6"/>
        <v>178.84448328248376</v>
      </c>
      <c r="E45" s="259">
        <f t="shared" si="6"/>
        <v>68.793285684909108</v>
      </c>
      <c r="F45" s="264"/>
      <c r="G45" s="69">
        <f t="shared" si="1"/>
        <v>93.138086617335716</v>
      </c>
      <c r="H45" s="68"/>
      <c r="I45" s="68"/>
      <c r="J45" s="69">
        <f t="shared" si="3"/>
        <v>93.138086617335716</v>
      </c>
      <c r="K45" s="69">
        <f t="shared" si="4"/>
        <v>247.64</v>
      </c>
      <c r="L45" s="68">
        <f t="shared" si="5"/>
        <v>247.63776896739287</v>
      </c>
      <c r="P45" s="78"/>
      <c r="Q45" s="69"/>
    </row>
    <row r="46" spans="2:17" ht="15">
      <c r="B46" s="67">
        <f t="shared" si="0"/>
        <v>2061</v>
      </c>
      <c r="C46" s="70"/>
      <c r="D46" s="259">
        <f t="shared" si="6"/>
        <v>182.74329295004853</v>
      </c>
      <c r="E46" s="259">
        <f t="shared" si="6"/>
        <v>70.292979286686176</v>
      </c>
      <c r="F46" s="264"/>
      <c r="G46" s="69">
        <f t="shared" si="1"/>
        <v>95.168496870184242</v>
      </c>
      <c r="H46" s="68"/>
      <c r="I46" s="68"/>
      <c r="J46" s="69">
        <f t="shared" si="3"/>
        <v>95.168496870184242</v>
      </c>
      <c r="K46" s="69">
        <f t="shared" si="4"/>
        <v>253.04</v>
      </c>
      <c r="L46" s="68">
        <f t="shared" si="5"/>
        <v>253.0362722367347</v>
      </c>
      <c r="P46" s="78"/>
      <c r="Q46" s="69"/>
    </row>
    <row r="47" spans="2:17" ht="15">
      <c r="B47" s="67"/>
      <c r="C47" s="70"/>
      <c r="D47" s="259"/>
      <c r="E47" s="259"/>
      <c r="F47" s="68"/>
      <c r="G47" s="69"/>
      <c r="H47" s="68"/>
      <c r="I47" s="68"/>
      <c r="J47" s="69"/>
      <c r="K47" s="69"/>
      <c r="L47" s="68"/>
      <c r="P47" s="78"/>
      <c r="Q47" s="69"/>
    </row>
    <row r="48" spans="2:17">
      <c r="B48" s="67" t="s">
        <v>307</v>
      </c>
      <c r="C48" s="70"/>
      <c r="D48" s="68"/>
      <c r="E48" s="68"/>
      <c r="F48" s="68">
        <f>NPV(Discount_Rate,F14:F43)</f>
        <v>0</v>
      </c>
      <c r="G48" s="69"/>
      <c r="H48" s="68"/>
      <c r="I48" s="68"/>
      <c r="J48" s="69">
        <f>-PMT(Discount_Rate,COUNT(J$14:J$43),NPV(Discount_Rate,J$14:J$43))</f>
        <v>34.878320274686892</v>
      </c>
      <c r="K48" s="69">
        <f>-PMT(Discount_Rate,COUNT(K$14:K$43),NPV(Discount_Rate,K$14:K$43))</f>
        <v>92.735520393835927</v>
      </c>
      <c r="L48" s="69">
        <f>-PMT(Discount_Rate,COUNT(L$14:L$43),NPV(Discount_Rate,L$14:L$43))</f>
        <v>160.2620137017513</v>
      </c>
      <c r="M48" s="68"/>
    </row>
    <row r="49" spans="2:20" ht="14.25">
      <c r="B49" s="73" t="s">
        <v>25</v>
      </c>
      <c r="C49" s="74"/>
      <c r="D49" s="74"/>
      <c r="E49" s="74"/>
      <c r="F49" s="74"/>
      <c r="G49" s="74"/>
      <c r="H49" s="74"/>
      <c r="I49" s="74"/>
    </row>
    <row r="51" spans="2:20">
      <c r="B51" s="60" t="s">
        <v>59</v>
      </c>
      <c r="C51" s="75" t="s">
        <v>60</v>
      </c>
      <c r="D51" s="146" t="s">
        <v>186</v>
      </c>
    </row>
    <row r="52" spans="2:20">
      <c r="C52" s="75" t="str">
        <f>C6</f>
        <v>(a)</v>
      </c>
      <c r="D52" s="60" t="s">
        <v>61</v>
      </c>
    </row>
    <row r="53" spans="2:20">
      <c r="C53" s="75" t="str">
        <f>D6</f>
        <v>(b)</v>
      </c>
      <c r="D53" s="69" t="str">
        <f>"= "&amp;C6&amp;" x "&amp;C60</f>
        <v>= (a) x 0.06316</v>
      </c>
    </row>
    <row r="54" spans="2:20">
      <c r="C54" s="75">
        <f>F6</f>
        <v>0</v>
      </c>
      <c r="D54" s="69" t="str">
        <f>"= ("&amp;$D$6&amp;" + "&amp;$E$6&amp;") /  (8.76 x "&amp;TEXT(C61,"0.0%")&amp;")"</f>
        <v>= ((b) + (c)) /  (8.76 x 30.4%)</v>
      </c>
    </row>
    <row r="55" spans="2:20">
      <c r="C55" s="75" t="str">
        <f>J6</f>
        <v>(g)</v>
      </c>
      <c r="D55" s="69" t="str">
        <f>"= "&amp;$G$6&amp;" + "&amp;$H$6</f>
        <v>= (e) + (f)</v>
      </c>
    </row>
    <row r="56" spans="2:20">
      <c r="C56" s="75" t="str">
        <f>K6</f>
        <v>(h)</v>
      </c>
      <c r="D56" t="str">
        <f>D51</f>
        <v>Plant Costs  - 2025 IRP - Table 7.1 &amp; 7.2</v>
      </c>
    </row>
    <row r="57" spans="2:20">
      <c r="Q57" s="60" t="s">
        <v>82</v>
      </c>
      <c r="R57" s="67">
        <v>2029</v>
      </c>
      <c r="T57" s="156" t="s">
        <v>275</v>
      </c>
    </row>
    <row r="58" spans="2:20">
      <c r="B58"/>
      <c r="C58" s="274"/>
      <c r="P58" s="143"/>
      <c r="T58" s="156"/>
    </row>
    <row r="59" spans="2:20">
      <c r="B59"/>
      <c r="C59" s="275"/>
      <c r="Q59" s="60" t="s">
        <v>189</v>
      </c>
      <c r="R59" s="78">
        <v>100</v>
      </c>
    </row>
    <row r="60" spans="2:20">
      <c r="C60" s="154">
        <v>6.3159999999999994E-2</v>
      </c>
      <c r="D60" s="60" t="s">
        <v>197</v>
      </c>
      <c r="E60" s="150"/>
      <c r="F60" s="273" t="s">
        <v>198</v>
      </c>
      <c r="J60" s="258"/>
      <c r="L60" s="145"/>
      <c r="M60" s="80"/>
      <c r="N60" s="80"/>
      <c r="P60" s="81"/>
    </row>
    <row r="61" spans="2:20">
      <c r="C61" s="154">
        <v>0.30351870792399099</v>
      </c>
      <c r="D61" s="60" t="s">
        <v>35</v>
      </c>
    </row>
    <row r="62" spans="2:20">
      <c r="C62" s="161"/>
      <c r="D62" s="79"/>
      <c r="H62" s="348">
        <v>1</v>
      </c>
      <c r="I62" s="60" t="s">
        <v>305</v>
      </c>
    </row>
    <row r="63" spans="2:20" ht="15">
      <c r="I63" s="105" t="s">
        <v>31</v>
      </c>
      <c r="J63" s="105" t="s">
        <v>302</v>
      </c>
    </row>
    <row r="64" spans="2:20" ht="15">
      <c r="C64" s="105"/>
      <c r="D64" s="105"/>
      <c r="E64" s="105"/>
      <c r="F64" s="260"/>
      <c r="G64" s="260">
        <v>47119</v>
      </c>
      <c r="H64" s="67">
        <f>YEAR(G64)</f>
        <v>2029</v>
      </c>
      <c r="I64" s="68">
        <f>IF($H$62=110%,INDEX('2025 IRP Assumptions'!$E$341:$E$361,MATCH(H64,'2025 IRP Assumptions'!$S$341:$S$361,0),1),INDEX('2025 IRP Assumptions'!$E$309:$E$338,MATCH(H64,'2025 IRP Assumptions'!$S$341:$S$361,0)))</f>
        <v>42.43</v>
      </c>
      <c r="J64" s="78">
        <f>I64*(8.76*$C$61)</f>
        <v>112.81389728840286</v>
      </c>
    </row>
    <row r="65" spans="3:10" ht="15">
      <c r="C65" s="260"/>
      <c r="D65" s="105"/>
      <c r="E65" s="241"/>
      <c r="F65" s="260"/>
      <c r="G65" s="260">
        <v>47484</v>
      </c>
      <c r="H65" s="67">
        <f>YEAR(G65)</f>
        <v>2030</v>
      </c>
      <c r="I65" s="68">
        <f>IF($H$62=110%,INDEX('2025 IRP Assumptions'!$E$341:$E$361,MATCH(H65,'2025 IRP Assumptions'!$S$341:$S$361,0),1),INDEX('2025 IRP Assumptions'!$E$309:$E$338,MATCH(H65,'2025 IRP Assumptions'!$S$341:$S$361,0)))</f>
        <v>43.76</v>
      </c>
      <c r="J65" s="78">
        <f t="shared" ref="J65:J73" si="7">I65*(8.76*$C$61)</f>
        <v>116.35013305068368</v>
      </c>
    </row>
    <row r="66" spans="3:10" ht="15">
      <c r="C66" s="260"/>
      <c r="D66" s="105"/>
      <c r="E66" s="241"/>
      <c r="F66" s="260"/>
      <c r="G66" s="260">
        <v>47849</v>
      </c>
      <c r="H66" s="67">
        <f t="shared" ref="H66:H73" si="8">YEAR(G66)</f>
        <v>2031</v>
      </c>
      <c r="I66" s="68">
        <f>IF($H$62=110%,INDEX('2025 IRP Assumptions'!$E$341:$E$361,MATCH(H66,'2025 IRP Assumptions'!$S$341:$S$361,0),1),INDEX('2025 IRP Assumptions'!$E$309:$E$338,MATCH(H66,'2025 IRP Assumptions'!$S$341:$S$361,0)))</f>
        <v>45.08</v>
      </c>
      <c r="J66" s="78">
        <f t="shared" si="7"/>
        <v>119.85978057415038</v>
      </c>
    </row>
    <row r="67" spans="3:10" ht="15">
      <c r="C67" s="260"/>
      <c r="D67" s="105"/>
      <c r="E67" s="241"/>
      <c r="F67" s="260"/>
      <c r="G67" s="260">
        <v>48214</v>
      </c>
      <c r="H67" s="67">
        <f t="shared" si="8"/>
        <v>2032</v>
      </c>
      <c r="I67" s="68">
        <f>IF($H$62=110%,INDEX('2025 IRP Assumptions'!$E$341:$E$361,MATCH(H67,'2025 IRP Assumptions'!$S$341:$S$361,0),1),INDEX('2025 IRP Assumptions'!$E$309:$E$338,MATCH(H67,'2025 IRP Assumptions'!$S$341:$S$361,0)))</f>
        <v>45.08</v>
      </c>
      <c r="J67" s="78">
        <f t="shared" si="7"/>
        <v>119.85978057415038</v>
      </c>
    </row>
    <row r="68" spans="3:10" ht="15">
      <c r="C68" s="260"/>
      <c r="D68" s="105"/>
      <c r="E68" s="241"/>
      <c r="F68" s="260"/>
      <c r="G68" s="260">
        <v>48580</v>
      </c>
      <c r="H68" s="67">
        <f t="shared" si="8"/>
        <v>2033</v>
      </c>
      <c r="I68" s="68">
        <f>IF($H$62=110%,INDEX('2025 IRP Assumptions'!$E$341:$E$361,MATCH(H68,'2025 IRP Assumptions'!$S$341:$S$361,0),1),INDEX('2025 IRP Assumptions'!$E$309:$E$338,MATCH(H68,'2025 IRP Assumptions'!$S$341:$S$361,0)))</f>
        <v>46.41</v>
      </c>
      <c r="J68" s="78">
        <f t="shared" si="7"/>
        <v>123.39601633643122</v>
      </c>
    </row>
    <row r="69" spans="3:10" ht="15">
      <c r="C69" s="260"/>
      <c r="D69" s="105"/>
      <c r="E69" s="241"/>
      <c r="F69" s="260"/>
      <c r="G69" s="260">
        <v>48945</v>
      </c>
      <c r="H69" s="67">
        <f t="shared" si="8"/>
        <v>2034</v>
      </c>
      <c r="I69" s="68">
        <f>IF($H$62=110%,INDEX('2025 IRP Assumptions'!$E$341:$E$361,MATCH(H69,'2025 IRP Assumptions'!$S$341:$S$361,0),1),INDEX('2025 IRP Assumptions'!$E$309:$E$338,MATCH(H69,'2025 IRP Assumptions'!$S$341:$S$361,0)))</f>
        <v>47.74</v>
      </c>
      <c r="J69" s="78">
        <f t="shared" si="7"/>
        <v>126.93225209871206</v>
      </c>
    </row>
    <row r="70" spans="3:10" ht="15">
      <c r="C70" s="260"/>
      <c r="D70" s="105"/>
      <c r="E70" s="241"/>
      <c r="F70" s="260"/>
      <c r="G70" s="260">
        <v>49310</v>
      </c>
      <c r="H70" s="67">
        <f t="shared" si="8"/>
        <v>2035</v>
      </c>
      <c r="I70" s="68">
        <f>IF($H$62=110%,INDEX('2025 IRP Assumptions'!$E$341:$E$361,MATCH(H70,'2025 IRP Assumptions'!$S$341:$S$361,0),1),INDEX('2025 IRP Assumptions'!$E$309:$E$338,MATCH(H70,'2025 IRP Assumptions'!$S$341:$S$361,0)))</f>
        <v>47.74</v>
      </c>
      <c r="J70" s="78">
        <f t="shared" si="7"/>
        <v>126.93225209871206</v>
      </c>
    </row>
    <row r="71" spans="3:10" ht="15">
      <c r="C71" s="260"/>
      <c r="D71" s="105"/>
      <c r="E71" s="241"/>
      <c r="F71" s="260"/>
      <c r="G71" s="260">
        <v>49675</v>
      </c>
      <c r="H71" s="67">
        <f t="shared" si="8"/>
        <v>2036</v>
      </c>
      <c r="I71" s="68">
        <f>IF($H$62=110%,INDEX('2025 IRP Assumptions'!$E$341:$E$361,MATCH(H71,'2025 IRP Assumptions'!$S$341:$S$361,0),1),INDEX('2025 IRP Assumptions'!$E$309:$E$338,MATCH(H71,'2025 IRP Assumptions'!$S$341:$S$361,0)))</f>
        <v>49.06</v>
      </c>
      <c r="J71" s="78">
        <f t="shared" si="7"/>
        <v>130.44189962217874</v>
      </c>
    </row>
    <row r="72" spans="3:10" ht="15">
      <c r="C72" s="260"/>
      <c r="D72" s="105"/>
      <c r="E72" s="241"/>
      <c r="F72" s="260"/>
      <c r="G72" s="260">
        <v>50041</v>
      </c>
      <c r="H72" s="67">
        <f t="shared" si="8"/>
        <v>2037</v>
      </c>
      <c r="I72" s="68">
        <f>IF($H$62=110%,INDEX('2025 IRP Assumptions'!$E$341:$E$361,MATCH(H72,'2025 IRP Assumptions'!$S$341:$S$361,0),1),INDEX('2025 IRP Assumptions'!$E$309:$E$338,MATCH(H72,'2025 IRP Assumptions'!$S$341:$S$361,0)))</f>
        <v>50.39</v>
      </c>
      <c r="J72" s="78">
        <f t="shared" si="7"/>
        <v>133.97813538445959</v>
      </c>
    </row>
    <row r="73" spans="3:10" ht="15">
      <c r="C73" s="260"/>
      <c r="D73" s="105"/>
      <c r="E73" s="241"/>
      <c r="F73" s="260"/>
      <c r="G73" s="260">
        <v>50406</v>
      </c>
      <c r="H73" s="67">
        <f t="shared" si="8"/>
        <v>2038</v>
      </c>
      <c r="I73" s="68">
        <f>IF($H$62=110%,INDEX('2025 IRP Assumptions'!$E$341:$E$361,MATCH(H73,'2025 IRP Assumptions'!$S$341:$S$361,0),1),INDEX('2025 IRP Assumptions'!$E$309:$E$338,MATCH(H73,'2025 IRP Assumptions'!$S$341:$S$361,0)))</f>
        <v>51.71</v>
      </c>
      <c r="J73" s="78">
        <f t="shared" si="7"/>
        <v>137.48778290792629</v>
      </c>
    </row>
    <row r="74" spans="3:10" ht="15">
      <c r="C74" s="260"/>
      <c r="D74" s="105"/>
      <c r="E74" s="241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177</v>
      </c>
      <c r="J76" s="60">
        <f>INDEX('2025 IRP Assumptions'!$E$126:$E$157,MATCH(T57,'2025 IRP Assumptions'!$C$126:$C$157,0),1)</f>
        <v>30</v>
      </c>
    </row>
    <row r="77" spans="3:10" ht="15">
      <c r="C77" s="105"/>
      <c r="D77" s="105"/>
      <c r="E77" s="261"/>
      <c r="F77" s="105"/>
      <c r="G77" s="105" t="s">
        <v>303</v>
      </c>
      <c r="I77" s="261"/>
      <c r="J77" s="261">
        <f>-PMT(Real_Discount_Rate,J76,NPV(Discount_Rate,J64:J73))</f>
        <v>52.330283404660996</v>
      </c>
    </row>
    <row r="80" spans="3:10">
      <c r="C80" s="77"/>
      <c r="D80" s="79"/>
    </row>
    <row r="81" spans="3:4">
      <c r="C81" s="77"/>
      <c r="D81" s="79"/>
    </row>
    <row r="82" spans="3:4">
      <c r="C82" s="77"/>
      <c r="D82" s="79"/>
    </row>
    <row r="83" spans="3:4">
      <c r="C83" s="77"/>
      <c r="D83" s="79"/>
    </row>
    <row r="84" spans="3:4">
      <c r="C84" s="77"/>
      <c r="D84" s="79"/>
    </row>
    <row r="85" spans="3:4">
      <c r="C85" s="77"/>
      <c r="D85" s="79"/>
    </row>
    <row r="86" spans="3:4">
      <c r="C86" s="77"/>
      <c r="D86" s="79"/>
    </row>
    <row r="87" spans="3:4">
      <c r="C87" s="77"/>
      <c r="D87" s="79"/>
    </row>
    <row r="88" spans="3:4">
      <c r="C88" s="77"/>
      <c r="D88" s="79"/>
    </row>
    <row r="89" spans="3:4">
      <c r="C89" s="77"/>
      <c r="D89" s="79"/>
    </row>
  </sheetData>
  <hyperlinks>
    <hyperlink ref="F60" r:id="rId1" xr:uid="{4BB68BD6-19F0-4DE6-A715-8A83126A38F3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view="pageBreakPreview" zoomScale="60" zoomScaleNormal="80" workbookViewId="0">
      <selection activeCell="E43" sqref="E43"/>
    </sheetView>
  </sheetViews>
  <sheetFormatPr defaultColWidth="9.33203125" defaultRowHeight="12.75"/>
  <cols>
    <col min="1" max="1" width="13.33203125" style="60" customWidth="1"/>
    <col min="2" max="2" width="15" style="60" customWidth="1"/>
    <col min="3" max="3" width="19.33203125" style="60" customWidth="1"/>
    <col min="4" max="4" width="22.83203125" style="60" customWidth="1"/>
    <col min="5" max="5" width="11.1640625" style="60" customWidth="1"/>
    <col min="6" max="6" width="2.83203125" style="60" customWidth="1"/>
    <col min="7" max="7" width="20.5" style="60" customWidth="1"/>
    <col min="8" max="8" width="9.5" style="60" bestFit="1" customWidth="1"/>
    <col min="9" max="9" width="10.5" style="60" customWidth="1"/>
    <col min="10" max="10" width="12.6640625" style="60" customWidth="1"/>
    <col min="11" max="11" width="14" style="60" customWidth="1"/>
    <col min="12" max="12" width="13.33203125" style="60" customWidth="1"/>
    <col min="13" max="13" width="3.1640625" style="60" customWidth="1"/>
    <col min="14" max="14" width="15" style="60" hidden="1" customWidth="1"/>
    <col min="15" max="15" width="5.6640625" style="60" customWidth="1"/>
    <col min="16" max="16" width="9.33203125" style="60" customWidth="1"/>
    <col min="17" max="18" width="16" style="60" customWidth="1"/>
    <col min="19" max="19" width="23.5" style="60" customWidth="1"/>
    <col min="20" max="20" width="18.1640625" style="60" customWidth="1"/>
    <col min="21" max="21" width="13.33203125" style="60" customWidth="1"/>
    <col min="22" max="22" width="18.1640625" style="60" customWidth="1"/>
    <col min="23" max="23" width="12.83203125" style="60" customWidth="1"/>
    <col min="24" max="24" width="15.33203125" style="60" customWidth="1"/>
    <col min="25" max="26" width="9.33203125" style="60"/>
    <col min="27" max="27" width="13.33203125" style="60" customWidth="1"/>
    <col min="28" max="28" width="13.6640625" style="60" customWidth="1"/>
    <col min="29" max="29" width="12" style="60" bestFit="1" customWidth="1"/>
    <col min="30" max="16384" width="9.33203125" style="60"/>
  </cols>
  <sheetData>
    <row r="1" spans="2:29" ht="15.75">
      <c r="B1" s="58" t="s">
        <v>53</v>
      </c>
      <c r="C1" s="59"/>
      <c r="D1" s="59"/>
      <c r="E1" s="59"/>
      <c r="F1" s="59"/>
      <c r="G1" s="59"/>
      <c r="H1" s="59"/>
      <c r="I1" s="59"/>
      <c r="J1" s="59"/>
      <c r="K1" s="59"/>
    </row>
    <row r="2" spans="2:29" ht="15.75">
      <c r="B2" s="58" t="str">
        <f>T57</f>
        <v>WD_.PX.DJW._.PTC.Utility_Scale</v>
      </c>
      <c r="C2" s="59"/>
      <c r="D2" s="59"/>
      <c r="E2" s="59"/>
      <c r="F2" s="59"/>
      <c r="G2" s="59"/>
      <c r="H2" s="59"/>
      <c r="I2" s="59"/>
      <c r="J2" s="59"/>
      <c r="K2" s="59"/>
    </row>
    <row r="3" spans="2:29" ht="15.75">
      <c r="B3" s="58" t="str">
        <f>TEXT($C$61,"0%")&amp;" Capacity Factor"</f>
        <v>42% Capacity Factor</v>
      </c>
      <c r="C3" s="59"/>
      <c r="D3" s="59"/>
      <c r="E3" s="59"/>
      <c r="F3" s="59"/>
      <c r="G3" s="59"/>
      <c r="H3" s="59"/>
      <c r="I3" s="59"/>
      <c r="J3" s="59"/>
      <c r="K3" s="59"/>
    </row>
    <row r="4" spans="2:29" ht="51.75" customHeight="1">
      <c r="B4" s="61" t="s">
        <v>0</v>
      </c>
      <c r="C4" s="62" t="s">
        <v>10</v>
      </c>
      <c r="D4" s="62" t="s">
        <v>11</v>
      </c>
      <c r="E4" s="62" t="s">
        <v>12</v>
      </c>
      <c r="F4" s="14"/>
      <c r="G4" s="62" t="s">
        <v>58</v>
      </c>
      <c r="H4" s="14" t="s">
        <v>13</v>
      </c>
      <c r="I4" s="62" t="s">
        <v>113</v>
      </c>
      <c r="J4" s="62" t="s">
        <v>64</v>
      </c>
      <c r="K4" s="14" t="s">
        <v>49</v>
      </c>
      <c r="L4" s="62" t="s">
        <v>86</v>
      </c>
      <c r="N4" s="100"/>
      <c r="O4" s="100"/>
      <c r="Q4" s="100"/>
      <c r="T4" s="142"/>
      <c r="Z4" s="100"/>
      <c r="AA4" s="100"/>
    </row>
    <row r="5" spans="2:29" ht="24" customHeight="1">
      <c r="B5" s="63"/>
      <c r="C5" s="64" t="s">
        <v>8</v>
      </c>
      <c r="D5" s="65" t="s">
        <v>9</v>
      </c>
      <c r="E5" s="65" t="s">
        <v>9</v>
      </c>
      <c r="F5" s="16"/>
      <c r="G5" s="64" t="s">
        <v>31</v>
      </c>
      <c r="H5" s="15" t="s">
        <v>31</v>
      </c>
      <c r="I5" s="15" t="s">
        <v>31</v>
      </c>
      <c r="J5" s="64" t="s">
        <v>31</v>
      </c>
      <c r="K5" s="16" t="s">
        <v>9</v>
      </c>
      <c r="L5" s="65" t="s">
        <v>9</v>
      </c>
      <c r="W5" s="78"/>
      <c r="X5" s="78"/>
    </row>
    <row r="6" spans="2:29">
      <c r="C6" s="66" t="s">
        <v>1</v>
      </c>
      <c r="D6" s="66" t="s">
        <v>2</v>
      </c>
      <c r="E6" s="66" t="s">
        <v>3</v>
      </c>
      <c r="F6" s="66"/>
      <c r="G6" s="66" t="s">
        <v>5</v>
      </c>
      <c r="H6" s="66" t="s">
        <v>7</v>
      </c>
      <c r="I6" s="66" t="s">
        <v>22</v>
      </c>
      <c r="J6" s="66" t="s">
        <v>22</v>
      </c>
      <c r="K6" s="66" t="s">
        <v>23</v>
      </c>
      <c r="L6" s="66" t="s">
        <v>24</v>
      </c>
      <c r="R6" s="71"/>
      <c r="S6" s="78"/>
      <c r="U6" s="78"/>
    </row>
    <row r="7" spans="2:29" ht="21.75" hidden="1" customHeight="1">
      <c r="R7" s="71"/>
      <c r="X7" s="71"/>
    </row>
    <row r="8" spans="2:29" ht="21.75" customHeight="1">
      <c r="R8" s="71"/>
      <c r="X8" s="71"/>
    </row>
    <row r="9" spans="2:29">
      <c r="B9" s="67">
        <v>2024</v>
      </c>
      <c r="C9" s="157">
        <f>INDEX('2025 IRP Assumptions'!$E$2:$E$58,MATCH($T$57,'2025 IRP Assumptions'!$C$2:$C$58,0),1)</f>
        <v>1392.68</v>
      </c>
      <c r="D9" s="68"/>
      <c r="E9" s="232">
        <f>INDEX('2025 IRP Assumptions'!$E$62:$E$118,MATCH($T$57,'2025 IRP Assumptions'!$C$62:$C$118,0),1)</f>
        <v>31.65</v>
      </c>
      <c r="F9" s="68"/>
      <c r="G9" s="69"/>
      <c r="H9" s="68"/>
      <c r="I9" s="68"/>
      <c r="J9" s="69"/>
      <c r="K9" s="69"/>
      <c r="L9" s="68"/>
      <c r="S9" s="160"/>
      <c r="T9" s="70"/>
      <c r="X9" s="158"/>
    </row>
    <row r="10" spans="2:29">
      <c r="B10" s="67">
        <f t="shared" ref="B10:B46" si="0">B9+1</f>
        <v>2025</v>
      </c>
      <c r="C10" s="70">
        <f>$C$9*INDEX('2025 IRP Assumptions'!$E$238:$E$258,MATCH(B10,'2025 IRP Assumptions'!$S$238:$S$258,0),1)</f>
        <v>1393.4262466878001</v>
      </c>
      <c r="D10" s="68"/>
      <c r="E10" s="68" cm="1">
        <f t="array" ref="E10">$E$9*INDEX('2025 IRP Assumptions'!$E$373:$E$396,'Table 3 WD_.PX.DJW._.PTC.2029'!$B10-2023,1)</f>
        <v>32.339970000000001</v>
      </c>
      <c r="F10" s="68"/>
      <c r="G10" s="69"/>
      <c r="H10" s="68"/>
      <c r="I10" s="68"/>
      <c r="J10" s="69"/>
      <c r="K10" s="69"/>
      <c r="L10" s="68"/>
      <c r="R10" s="158"/>
      <c r="S10" s="158"/>
      <c r="U10" s="156"/>
      <c r="X10" s="158"/>
    </row>
    <row r="11" spans="2:29">
      <c r="B11" s="67">
        <f t="shared" si="0"/>
        <v>2026</v>
      </c>
      <c r="C11" s="70">
        <f>$C$9*INDEX('2025 IRP Assumptions'!$E$238:$E$258,MATCH(B11,'2025 IRP Assumptions'!$S$238:$S$258,0),1)</f>
        <v>1394.5581390017201</v>
      </c>
      <c r="D11" s="68"/>
      <c r="E11" s="68" cm="1">
        <f t="array" ref="E11">$E$9*INDEX('2025 IRP Assumptions'!$E$373:$E$396,'Table 3 WD_.PX.DJW._.PTC.2029'!$B11-2023,1)</f>
        <v>33.044981346</v>
      </c>
      <c r="F11" s="68"/>
      <c r="G11" s="69"/>
      <c r="H11" s="68"/>
      <c r="I11" s="68"/>
      <c r="J11" s="69"/>
      <c r="K11" s="69"/>
      <c r="L11" s="68"/>
      <c r="Q11" s="151"/>
      <c r="R11" s="158"/>
      <c r="S11" s="158"/>
      <c r="X11" s="158"/>
      <c r="AC11" s="144"/>
    </row>
    <row r="12" spans="2:29">
      <c r="B12" s="67">
        <f t="shared" si="0"/>
        <v>2027</v>
      </c>
      <c r="C12" s="70">
        <f>$C$9*INDEX('2025 IRP Assumptions'!$E$238:$E$258,MATCH(B12,'2025 IRP Assumptions'!$S$238:$S$258,0),1)</f>
        <v>1395.0771713402</v>
      </c>
      <c r="D12" s="68"/>
      <c r="E12" s="68" cm="1">
        <f t="array" ref="E12">$E$9*INDEX('2025 IRP Assumptions'!$E$373:$E$396,'Table 3 WD_.PX.DJW._.PTC.2029'!$B12-2023,1)</f>
        <v>33.765361931999998</v>
      </c>
      <c r="F12" s="68"/>
      <c r="G12" s="69"/>
      <c r="H12" s="68"/>
      <c r="I12" s="68"/>
      <c r="J12" s="69"/>
      <c r="K12" s="69"/>
      <c r="L12" s="68"/>
      <c r="P12" s="78"/>
      <c r="Q12" s="69"/>
      <c r="R12" s="158"/>
      <c r="S12" s="158"/>
      <c r="U12" s="160"/>
      <c r="X12" s="158"/>
      <c r="Y12" s="160"/>
    </row>
    <row r="13" spans="2:29">
      <c r="B13" s="67">
        <f t="shared" si="0"/>
        <v>2028</v>
      </c>
      <c r="C13" s="70">
        <f>$C$9*INDEX('2025 IRP Assumptions'!$E$238:$E$258,MATCH(B13,'2025 IRP Assumptions'!$S$238:$S$258,0),1)</f>
        <v>1394.9560833849202</v>
      </c>
      <c r="D13" s="68"/>
      <c r="E13" s="68" cm="1">
        <f t="array" ref="E13">$E$9*INDEX('2025 IRP Assumptions'!$E$373:$E$396,'Table 3 WD_.PX.DJW._.PTC.2029'!$B13-2023,1)</f>
        <v>34.501446836549995</v>
      </c>
      <c r="F13" s="264"/>
      <c r="G13" s="69"/>
      <c r="H13" s="68"/>
      <c r="I13" s="68"/>
      <c r="J13" s="69"/>
      <c r="K13" s="69"/>
      <c r="L13" s="68"/>
      <c r="P13" s="78"/>
      <c r="Q13" s="69"/>
      <c r="U13" s="160"/>
      <c r="W13" s="78"/>
      <c r="X13" s="158"/>
      <c r="Y13" s="160"/>
    </row>
    <row r="14" spans="2:29">
      <c r="B14" s="67">
        <f t="shared" si="0"/>
        <v>2029</v>
      </c>
      <c r="C14" s="70">
        <f>$C$9*INDEX('2025 IRP Assumptions'!$E$238:$E$258,MATCH(B14,'2025 IRP Assumptions'!$S$238:$S$258,0),1)</f>
        <v>1394.16671932432</v>
      </c>
      <c r="D14" s="232">
        <f>C14*$C$60</f>
        <v>88.055569992524042</v>
      </c>
      <c r="E14" s="68" cm="1">
        <f t="array" ref="E14">$E$9*INDEX('2025 IRP Assumptions'!$E$373:$E$396,'Table 3 WD_.PX.DJW._.PTC.2029'!$B14-2023,1)</f>
        <v>35.253578386050002</v>
      </c>
      <c r="F14" s="264"/>
      <c r="G14" s="69">
        <f t="shared" ref="G14:G46" si="1">(D14+E14+F14)/(8.76*$C$61)</f>
        <v>33.825964309469285</v>
      </c>
      <c r="H14" s="68"/>
      <c r="I14" s="68">
        <f t="shared" ref="I14:I23" si="2">-I64</f>
        <v>-47.74</v>
      </c>
      <c r="J14" s="69">
        <f t="shared" ref="J14:J33" si="3">(G14+H14+I14)</f>
        <v>-13.914035690530717</v>
      </c>
      <c r="K14" s="69">
        <f t="shared" ref="K14:K46" si="4">ROUND(J14*$C$61*8.76,2)</f>
        <v>-50.72</v>
      </c>
      <c r="L14" s="68">
        <f t="shared" ref="L14:L33" si="5">(D14+E14+F14)</f>
        <v>123.30914837857404</v>
      </c>
      <c r="P14" s="78"/>
      <c r="Q14" s="69"/>
      <c r="U14" s="160"/>
      <c r="V14" s="78"/>
      <c r="W14" s="78"/>
      <c r="X14" s="158"/>
      <c r="Y14" s="160"/>
      <c r="Z14" s="78"/>
    </row>
    <row r="15" spans="2:29">
      <c r="B15" s="67">
        <f t="shared" si="0"/>
        <v>2030</v>
      </c>
      <c r="C15" s="70"/>
      <c r="D15" s="68" cm="1">
        <f t="array" ref="D15">D14*INDEX('2025 IRP Assumptions'!$E$373:$E$396,'Table 3 WD_.PX.DJW._.PTC.2029'!$B15-2023,1)/INDEX('2025 IRP Assumptions'!$E$373:$E$396,'Table 3 WD_.PX.DJW._.PTC.2029'!$B15-2023-1,1)</f>
        <v>89.975181371987603</v>
      </c>
      <c r="E15" s="68" cm="1">
        <f t="array" ref="E15">$E$9*INDEX('2025 IRP Assumptions'!$E$373:$E$396,'Table 3 WD_.PX.DJW._.PTC.2029'!$B15-2023,1)</f>
        <v>36.022106376299995</v>
      </c>
      <c r="F15" s="264"/>
      <c r="G15" s="69">
        <f t="shared" si="1"/>
        <v>34.563370313601652</v>
      </c>
      <c r="H15" s="68"/>
      <c r="I15" s="68">
        <f t="shared" si="2"/>
        <v>-47.74</v>
      </c>
      <c r="J15" s="69">
        <f t="shared" si="3"/>
        <v>-13.17662968639835</v>
      </c>
      <c r="K15" s="69">
        <f t="shared" si="4"/>
        <v>-48.03</v>
      </c>
      <c r="L15" s="68">
        <f t="shared" si="5"/>
        <v>125.99728774828759</v>
      </c>
      <c r="P15" s="78"/>
      <c r="Q15" s="69"/>
      <c r="U15" s="160"/>
      <c r="V15" s="78"/>
      <c r="W15" s="78"/>
      <c r="X15" s="158"/>
      <c r="Y15" s="160"/>
      <c r="Z15" s="78"/>
      <c r="AA15" s="78"/>
    </row>
    <row r="16" spans="2:29">
      <c r="B16" s="67">
        <f t="shared" si="0"/>
        <v>2031</v>
      </c>
      <c r="C16" s="70"/>
      <c r="D16" s="68" cm="1">
        <f t="array" ref="D16">D15*INDEX('2025 IRP Assumptions'!$E$373:$E$396,'Table 3 WD_.PX.DJW._.PTC.2029'!$B16-2023,1)/INDEX('2025 IRP Assumptions'!$E$373:$E$396,'Table 3 WD_.PX.DJW._.PTC.2029'!$B16-2023-1,1)</f>
        <v>91.93664032276638</v>
      </c>
      <c r="E16" s="68" cm="1">
        <f t="array" ref="E16">$E$9*INDEX('2025 IRP Assumptions'!$E$373:$E$396,'Table 3 WD_.PX.DJW._.PTC.2029'!$B16-2023,1)</f>
        <v>36.80738829405</v>
      </c>
      <c r="F16" s="264"/>
      <c r="G16" s="69">
        <f t="shared" si="1"/>
        <v>35.316851785235585</v>
      </c>
      <c r="H16" s="68"/>
      <c r="I16" s="68">
        <f t="shared" si="2"/>
        <v>-49.06</v>
      </c>
      <c r="J16" s="69">
        <f t="shared" si="3"/>
        <v>-13.743148214764418</v>
      </c>
      <c r="K16" s="69">
        <f t="shared" si="4"/>
        <v>-50.1</v>
      </c>
      <c r="L16" s="68">
        <f t="shared" si="5"/>
        <v>128.74402861681637</v>
      </c>
      <c r="P16" s="78"/>
      <c r="Q16" s="69"/>
      <c r="U16" s="160"/>
      <c r="V16" s="78"/>
      <c r="W16" s="78"/>
      <c r="X16" s="158"/>
      <c r="Y16" s="160"/>
      <c r="Z16" s="78"/>
      <c r="AA16" s="78"/>
    </row>
    <row r="17" spans="2:27">
      <c r="B17" s="67">
        <f t="shared" si="0"/>
        <v>2032</v>
      </c>
      <c r="C17" s="70"/>
      <c r="D17" s="68" cm="1">
        <f t="array" ref="D17">D16*INDEX('2025 IRP Assumptions'!$E$373:$E$396,'Table 3 WD_.PX.DJW._.PTC.2029'!$B17-2023,1)/INDEX('2025 IRP Assumptions'!$E$373:$E$396,'Table 3 WD_.PX.DJW._.PTC.2029'!$B17-2023-1,1)</f>
        <v>93.940859056299658</v>
      </c>
      <c r="E17" s="68" cm="1">
        <f t="array" ref="E17">$E$9*INDEX('2025 IRP Assumptions'!$E$373:$E$396,'Table 3 WD_.PX.DJW._.PTC.2029'!$B17-2023,1)</f>
        <v>37.609789348650004</v>
      </c>
      <c r="F17" s="264"/>
      <c r="G17" s="69">
        <f t="shared" si="1"/>
        <v>36.086759144356911</v>
      </c>
      <c r="H17" s="68"/>
      <c r="I17" s="68">
        <f t="shared" si="2"/>
        <v>-50.39</v>
      </c>
      <c r="J17" s="69">
        <f t="shared" si="3"/>
        <v>-14.303240855643089</v>
      </c>
      <c r="K17" s="69">
        <f t="shared" si="4"/>
        <v>-52.14</v>
      </c>
      <c r="L17" s="68">
        <f t="shared" si="5"/>
        <v>131.55064840494967</v>
      </c>
      <c r="P17" s="78"/>
      <c r="Q17" s="69"/>
      <c r="T17" s="78"/>
      <c r="V17" s="78"/>
      <c r="W17" s="78"/>
      <c r="Y17" s="78"/>
      <c r="Z17" s="78"/>
      <c r="AA17" s="78"/>
    </row>
    <row r="18" spans="2:27">
      <c r="B18" s="67">
        <f t="shared" si="0"/>
        <v>2033</v>
      </c>
      <c r="C18" s="70"/>
      <c r="D18" s="68" cm="1">
        <f t="array" ref="D18">D17*INDEX('2025 IRP Assumptions'!$E$373:$E$396,'Table 3 WD_.PX.DJW._.PTC.2029'!$B18-2023,1)/INDEX('2025 IRP Assumptions'!$E$373:$E$396,'Table 3 WD_.PX.DJW._.PTC.2029'!$B18-2023-1,1)</f>
        <v>95.988769784849552</v>
      </c>
      <c r="E18" s="68" cm="1">
        <f t="array" ref="E18">$E$9*INDEX('2025 IRP Assumptions'!$E$373:$E$396,'Table 3 WD_.PX.DJW._.PTC.2029'!$B18-2023,1)</f>
        <v>38.429682756899993</v>
      </c>
      <c r="F18" s="264"/>
      <c r="G18" s="69">
        <f t="shared" si="1"/>
        <v>36.873450494135113</v>
      </c>
      <c r="H18" s="68"/>
      <c r="I18" s="68">
        <f t="shared" si="2"/>
        <v>-50.39</v>
      </c>
      <c r="J18" s="69">
        <f t="shared" si="3"/>
        <v>-13.516549505864887</v>
      </c>
      <c r="K18" s="69">
        <f t="shared" si="4"/>
        <v>-49.27</v>
      </c>
      <c r="L18" s="68">
        <f t="shared" si="5"/>
        <v>134.41845254174956</v>
      </c>
      <c r="P18" s="78"/>
      <c r="Q18" s="69"/>
      <c r="T18" s="78"/>
      <c r="V18" s="78"/>
      <c r="W18" s="78"/>
      <c r="Y18" s="78"/>
      <c r="Z18" s="78"/>
      <c r="AA18" s="78"/>
    </row>
    <row r="19" spans="2:27">
      <c r="B19" s="67">
        <f t="shared" si="0"/>
        <v>2034</v>
      </c>
      <c r="C19" s="70"/>
      <c r="D19" s="68" cm="1">
        <f t="array" ref="D19">D18*INDEX('2025 IRP Assumptions'!$E$373:$E$396,'Table 3 WD_.PX.DJW._.PTC.2029'!$B19-2023,1)/INDEX('2025 IRP Assumptions'!$E$373:$E$396,'Table 3 WD_.PX.DJW._.PTC.2029'!$B19-2023-1,1)</f>
        <v>98.081325037719537</v>
      </c>
      <c r="E19" s="68" cm="1">
        <f t="array" ref="E19">$E$9*INDEX('2025 IRP Assumptions'!$E$373:$E$396,'Table 3 WD_.PX.DJW._.PTC.2029'!$B19-2023,1)</f>
        <v>39.267449869649994</v>
      </c>
      <c r="F19" s="264"/>
      <c r="G19" s="69">
        <f t="shared" si="1"/>
        <v>37.677291742396662</v>
      </c>
      <c r="H19" s="68"/>
      <c r="I19" s="68">
        <f t="shared" si="2"/>
        <v>-51.71</v>
      </c>
      <c r="J19" s="69">
        <f t="shared" si="3"/>
        <v>-14.032708257603339</v>
      </c>
      <c r="K19" s="69">
        <f t="shared" si="4"/>
        <v>-51.15</v>
      </c>
      <c r="L19" s="68">
        <f t="shared" si="5"/>
        <v>137.34877490736955</v>
      </c>
      <c r="P19" s="78"/>
      <c r="Q19" s="69"/>
      <c r="T19" s="78"/>
      <c r="V19" s="78"/>
      <c r="W19" s="78"/>
      <c r="Y19" s="78"/>
      <c r="Z19" s="78"/>
      <c r="AA19" s="78"/>
    </row>
    <row r="20" spans="2:27">
      <c r="B20" s="67">
        <f t="shared" si="0"/>
        <v>2035</v>
      </c>
      <c r="C20" s="70"/>
      <c r="D20" s="68" cm="1">
        <f t="array" ref="D20">D19*INDEX('2025 IRP Assumptions'!$E$373:$E$396,'Table 3 WD_.PX.DJW._.PTC.2029'!$B20-2023,1)/INDEX('2025 IRP Assumptions'!$E$373:$E$396,'Table 3 WD_.PX.DJW._.PTC.2029'!$B20-2023-1,1)</f>
        <v>100.21949789841825</v>
      </c>
      <c r="E20" s="68" cm="1">
        <f t="array" ref="E20">$E$9*INDEX('2025 IRP Assumptions'!$E$373:$E$396,'Table 3 WD_.PX.DJW._.PTC.2029'!$B20-2023,1)</f>
        <v>40.123480266749993</v>
      </c>
      <c r="F20" s="264"/>
      <c r="G20" s="69">
        <f t="shared" si="1"/>
        <v>38.498656692729853</v>
      </c>
      <c r="H20" s="68"/>
      <c r="I20" s="68">
        <f t="shared" si="2"/>
        <v>-53.04</v>
      </c>
      <c r="J20" s="69">
        <f t="shared" si="3"/>
        <v>-14.541343307270147</v>
      </c>
      <c r="K20" s="69">
        <f t="shared" si="4"/>
        <v>-53.01</v>
      </c>
      <c r="L20" s="68">
        <f t="shared" si="5"/>
        <v>140.34297816516823</v>
      </c>
      <c r="P20" s="78"/>
      <c r="Q20" s="69"/>
      <c r="T20" s="78"/>
      <c r="V20" s="78"/>
      <c r="W20" s="78"/>
      <c r="Y20" s="78"/>
      <c r="Z20" s="78"/>
      <c r="AA20" s="78"/>
    </row>
    <row r="21" spans="2:27">
      <c r="B21" s="67">
        <f t="shared" si="0"/>
        <v>2036</v>
      </c>
      <c r="C21" s="70"/>
      <c r="D21" s="68" cm="1">
        <f t="array" ref="D21">D20*INDEX('2025 IRP Assumptions'!$E$373:$E$396,'Table 3 WD_.PX.DJW._.PTC.2029'!$B21-2023,1)/INDEX('2025 IRP Assumptions'!$E$373:$E$396,'Table 3 WD_.PX.DJW._.PTC.2029'!$B21-2023-1,1)</f>
        <v>102.40428295331526</v>
      </c>
      <c r="E21" s="68" cm="1">
        <f t="array" ref="E21">$E$9*INDEX('2025 IRP Assumptions'!$E$373:$E$396,'Table 3 WD_.PX.DJW._.PTC.2029'!$B21-2023,1)</f>
        <v>40.998172136849995</v>
      </c>
      <c r="F21" s="264"/>
      <c r="G21" s="69">
        <f t="shared" si="1"/>
        <v>39.337927408904683</v>
      </c>
      <c r="H21" s="68"/>
      <c r="I21" s="68">
        <f t="shared" si="2"/>
        <v>-54.37</v>
      </c>
      <c r="J21" s="69">
        <f t="shared" si="3"/>
        <v>-15.032072591095314</v>
      </c>
      <c r="K21" s="69">
        <f t="shared" si="4"/>
        <v>-54.8</v>
      </c>
      <c r="L21" s="68">
        <f t="shared" si="5"/>
        <v>143.40245509016526</v>
      </c>
      <c r="P21" s="78"/>
      <c r="Q21" s="69"/>
      <c r="T21" s="78"/>
      <c r="V21" s="78"/>
      <c r="W21" s="78"/>
      <c r="Y21" s="78"/>
      <c r="Z21" s="78"/>
      <c r="AA21" s="78"/>
    </row>
    <row r="22" spans="2:27">
      <c r="B22" s="67">
        <f t="shared" si="0"/>
        <v>2037</v>
      </c>
      <c r="C22" s="70"/>
      <c r="D22" s="68" cm="1">
        <f t="array" ref="D22">D21*INDEX('2025 IRP Assumptions'!$E$373:$E$396,'Table 3 WD_.PX.DJW._.PTC.2029'!$B22-2023,1)/INDEX('2025 IRP Assumptions'!$E$373:$E$396,'Table 3 WD_.PX.DJW._.PTC.2029'!$B22-2023-1,1)</f>
        <v>104.63669629164096</v>
      </c>
      <c r="E22" s="68" cm="1">
        <f t="array" ref="E22">$E$9*INDEX('2025 IRP Assumptions'!$E$373:$E$396,'Table 3 WD_.PX.DJW._.PTC.2029'!$B22-2023,1)</f>
        <v>41.891932277399995</v>
      </c>
      <c r="F22" s="264"/>
      <c r="G22" s="69">
        <f t="shared" si="1"/>
        <v>40.195494214872767</v>
      </c>
      <c r="H22" s="68"/>
      <c r="I22" s="68">
        <f t="shared" si="2"/>
        <v>-55.69</v>
      </c>
      <c r="J22" s="69">
        <f t="shared" si="3"/>
        <v>-15.494505785127231</v>
      </c>
      <c r="K22" s="69">
        <f t="shared" si="4"/>
        <v>-56.48</v>
      </c>
      <c r="L22" s="68">
        <f t="shared" si="5"/>
        <v>146.52862856904096</v>
      </c>
      <c r="P22" s="78"/>
      <c r="Q22" s="69"/>
      <c r="T22" s="78"/>
      <c r="V22" s="78"/>
      <c r="W22" s="78"/>
      <c r="Y22" s="78"/>
      <c r="Z22" s="78"/>
      <c r="AA22" s="78"/>
    </row>
    <row r="23" spans="2:27">
      <c r="B23" s="67">
        <f t="shared" si="0"/>
        <v>2038</v>
      </c>
      <c r="C23" s="70"/>
      <c r="D23" s="68" cm="1">
        <f t="array" ref="D23">D22*INDEX('2025 IRP Assumptions'!$E$373:$E$396,'Table 3 WD_.PX.DJW._.PTC.2029'!$B23-2023,1)/INDEX('2025 IRP Assumptions'!$E$373:$E$396,'Table 3 WD_.PX.DJW._.PTC.2029'!$B23-2023-1,1)</f>
        <v>106.91777629603298</v>
      </c>
      <c r="E23" s="68" cm="1">
        <f t="array" ref="E23">$E$9*INDEX('2025 IRP Assumptions'!$E$373:$E$396,'Table 3 WD_.PX.DJW._.PTC.2029'!$B23-2023,1)</f>
        <v>42.805176411150001</v>
      </c>
      <c r="F23" s="264"/>
      <c r="G23" s="69">
        <f t="shared" si="1"/>
        <v>41.071755998450563</v>
      </c>
      <c r="H23" s="68"/>
      <c r="I23" s="68">
        <f t="shared" si="2"/>
        <v>-55.69</v>
      </c>
      <c r="J23" s="69">
        <f t="shared" si="3"/>
        <v>-14.618244001549435</v>
      </c>
      <c r="K23" s="69">
        <f t="shared" si="4"/>
        <v>-53.29</v>
      </c>
      <c r="L23" s="68">
        <f t="shared" si="5"/>
        <v>149.72295270718297</v>
      </c>
      <c r="P23" s="78"/>
      <c r="Q23" s="69"/>
      <c r="T23" s="78"/>
      <c r="V23" s="78"/>
      <c r="W23" s="78"/>
      <c r="Y23" s="78"/>
      <c r="Z23" s="78"/>
      <c r="AA23" s="78"/>
    </row>
    <row r="24" spans="2:27">
      <c r="B24" s="67">
        <f t="shared" si="0"/>
        <v>2039</v>
      </c>
      <c r="C24" s="70"/>
      <c r="D24" s="68" cm="1">
        <f t="array" ref="D24">D23*INDEX('2025 IRP Assumptions'!$E$373:$E$396,'Table 3 WD_.PX.DJW._.PTC.2029'!$B24-2023,1)/INDEX('2025 IRP Assumptions'!$E$373:$E$396,'Table 3 WD_.PX.DJW._.PTC.2029'!$B24-2023-1,1)</f>
        <v>109.24858380064542</v>
      </c>
      <c r="E24" s="68" cm="1">
        <f t="array" ref="E24">$E$9*INDEX('2025 IRP Assumptions'!$E$373:$E$396,'Table 3 WD_.PX.DJW._.PTC.2029'!$B24-2023,1)</f>
        <v>43.738329249449997</v>
      </c>
      <c r="F24" s="264"/>
      <c r="G24" s="69">
        <f t="shared" si="1"/>
        <v>41.967120272055936</v>
      </c>
      <c r="H24" s="68"/>
      <c r="I24" s="68"/>
      <c r="J24" s="69">
        <f t="shared" si="3"/>
        <v>41.967120272055936</v>
      </c>
      <c r="K24" s="69">
        <f t="shared" si="4"/>
        <v>152.99</v>
      </c>
      <c r="L24" s="68">
        <f t="shared" si="5"/>
        <v>152.98691305009541</v>
      </c>
      <c r="P24" s="78"/>
      <c r="Q24" s="69"/>
      <c r="T24" s="78"/>
      <c r="V24" s="78"/>
      <c r="W24" s="78"/>
      <c r="Y24" s="78"/>
      <c r="Z24" s="78"/>
      <c r="AA24" s="78"/>
    </row>
    <row r="25" spans="2:27">
      <c r="B25" s="67">
        <f t="shared" si="0"/>
        <v>2040</v>
      </c>
      <c r="C25" s="70"/>
      <c r="D25" s="68" cm="1">
        <f t="array" ref="D25">D24*INDEX('2025 IRP Assumptions'!$E$373:$E$396,'Table 3 WD_.PX.DJW._.PTC.2029'!$B25-2023,1)/INDEX('2025 IRP Assumptions'!$E$373:$E$396,'Table 3 WD_.PX.DJW._.PTC.2029'!$B25-2023-1,1)</f>
        <v>111.63020296074988</v>
      </c>
      <c r="E25" s="68" cm="1">
        <f t="array" ref="E25">$E$9*INDEX('2025 IRP Assumptions'!$E$373:$E$396,'Table 3 WD_.PX.DJW._.PTC.2029'!$B25-2023,1)</f>
        <v>44.691824840399995</v>
      </c>
      <c r="F25" s="264"/>
      <c r="G25" s="69">
        <f t="shared" si="1"/>
        <v>42.882003506759673</v>
      </c>
      <c r="H25" s="68"/>
      <c r="I25" s="68"/>
      <c r="J25" s="69">
        <f t="shared" si="3"/>
        <v>42.882003506759673</v>
      </c>
      <c r="K25" s="69">
        <f t="shared" si="4"/>
        <v>156.32</v>
      </c>
      <c r="L25" s="68">
        <f t="shared" si="5"/>
        <v>156.32202780114989</v>
      </c>
      <c r="P25" s="78"/>
      <c r="Q25" s="69"/>
      <c r="T25" s="78"/>
      <c r="V25" s="78"/>
      <c r="W25" s="78"/>
      <c r="Y25" s="78"/>
      <c r="Z25" s="78"/>
      <c r="AA25" s="78"/>
    </row>
    <row r="26" spans="2:27">
      <c r="B26" s="67">
        <f t="shared" si="0"/>
        <v>2041</v>
      </c>
      <c r="C26" s="70"/>
      <c r="D26" s="68" cm="1">
        <f t="array" ref="D26">D25*INDEX('2025 IRP Assumptions'!$E$373:$E$396,'Table 3 WD_.PX.DJW._.PTC.2029'!$B26-2023,1)/INDEX('2025 IRP Assumptions'!$E$373:$E$396,'Table 3 WD_.PX.DJW._.PTC.2029'!$B26-2023-1,1)</f>
        <v>114.06374133179006</v>
      </c>
      <c r="E26" s="68" cm="1">
        <f t="array" ref="E26">$E$9*INDEX('2025 IRP Assumptions'!$E$373:$E$396,'Table 3 WD_.PX.DJW._.PTC.2029'!$B26-2023,1)</f>
        <v>45.666106600499994</v>
      </c>
      <c r="F26" s="264"/>
      <c r="G26" s="69">
        <f t="shared" si="1"/>
        <v>43.816831162653763</v>
      </c>
      <c r="H26" s="68"/>
      <c r="I26" s="68"/>
      <c r="J26" s="69">
        <f t="shared" si="3"/>
        <v>43.816831162653763</v>
      </c>
      <c r="K26" s="69">
        <f t="shared" si="4"/>
        <v>159.72999999999999</v>
      </c>
      <c r="L26" s="68">
        <f t="shared" si="5"/>
        <v>159.72984793229006</v>
      </c>
      <c r="P26" s="78"/>
      <c r="Q26" s="69"/>
    </row>
    <row r="27" spans="2:27">
      <c r="B27" s="67">
        <f t="shared" si="0"/>
        <v>2042</v>
      </c>
      <c r="C27" s="70"/>
      <c r="D27" s="68" cm="1">
        <f t="array" ref="D27">D26*INDEX('2025 IRP Assumptions'!$E$373:$E$396,'Table 3 WD_.PX.DJW._.PTC.2029'!$B27-2023,1)/INDEX('2025 IRP Assumptions'!$E$373:$E$396,'Table 3 WD_.PX.DJW._.PTC.2029'!$B27-2023-1,1)</f>
        <v>116.55033089709202</v>
      </c>
      <c r="E27" s="68" cm="1">
        <f t="array" ref="E27">$E$9*INDEX('2025 IRP Assumptions'!$E$373:$E$396,'Table 3 WD_.PX.DJW._.PTC.2029'!$B27-2023,1)</f>
        <v>46.661627726100001</v>
      </c>
      <c r="F27" s="264"/>
      <c r="G27" s="69">
        <f t="shared" si="1"/>
        <v>44.772038083639501</v>
      </c>
      <c r="H27" s="68"/>
      <c r="I27" s="68"/>
      <c r="J27" s="69">
        <f t="shared" si="3"/>
        <v>44.772038083639501</v>
      </c>
      <c r="K27" s="69">
        <f t="shared" si="4"/>
        <v>163.21</v>
      </c>
      <c r="L27" s="68">
        <f t="shared" si="5"/>
        <v>163.21195862319203</v>
      </c>
      <c r="P27" s="78"/>
      <c r="Q27" s="69"/>
    </row>
    <row r="28" spans="2:27">
      <c r="B28" s="67">
        <f t="shared" si="0"/>
        <v>2043</v>
      </c>
      <c r="C28" s="70"/>
      <c r="D28" s="68" cm="1">
        <f t="array" ref="D28">D27*INDEX('2025 IRP Assumptions'!$E$373:$E$396,'Table 3 WD_.PX.DJW._.PTC.2029'!$B28-2023,1)/INDEX('2025 IRP Assumptions'!$E$373:$E$396,'Table 3 WD_.PX.DJW._.PTC.2029'!$B28-2023-1,1)</f>
        <v>119.0911281469189</v>
      </c>
      <c r="E28" s="68" cm="1">
        <f t="array" ref="E28">$E$9*INDEX('2025 IRP Assumptions'!$E$373:$E$396,'Table 3 WD_.PX.DJW._.PTC.2029'!$B28-2023,1)</f>
        <v>47.678851225049996</v>
      </c>
      <c r="F28" s="264"/>
      <c r="G28" s="69">
        <f t="shared" si="1"/>
        <v>45.748068527795823</v>
      </c>
      <c r="H28" s="68"/>
      <c r="I28" s="68"/>
      <c r="J28" s="69">
        <f t="shared" si="3"/>
        <v>45.748068527795823</v>
      </c>
      <c r="K28" s="69">
        <f t="shared" si="4"/>
        <v>166.77</v>
      </c>
      <c r="L28" s="68">
        <f t="shared" si="5"/>
        <v>166.7699793719689</v>
      </c>
      <c r="P28" s="78"/>
      <c r="Q28" s="69"/>
    </row>
    <row r="29" spans="2:27">
      <c r="B29" s="67">
        <f t="shared" si="0"/>
        <v>2044</v>
      </c>
      <c r="C29" s="70"/>
      <c r="D29" s="68" cm="1">
        <f t="array" ref="D29">D28*INDEX('2025 IRP Assumptions'!$E$373:$E$396,'Table 3 WD_.PX.DJW._.PTC.2029'!$B29-2023,1)/INDEX('2025 IRP Assumptions'!$E$373:$E$396,'Table 3 WD_.PX.DJW._.PTC.2029'!$B29-2023-1,1)</f>
        <v>121.68731471090787</v>
      </c>
      <c r="E29" s="68" cm="1">
        <f t="array" ref="E29">$E$9*INDEX('2025 IRP Assumptions'!$E$373:$E$396,'Table 3 WD_.PX.DJW._.PTC.2029'!$B29-2023,1)</f>
        <v>48.718250169900003</v>
      </c>
      <c r="F29" s="264"/>
      <c r="G29" s="69">
        <f t="shared" si="1"/>
        <v>46.745376410325804</v>
      </c>
      <c r="H29" s="68"/>
      <c r="I29" s="68"/>
      <c r="J29" s="69">
        <f t="shared" si="3"/>
        <v>46.745376410325804</v>
      </c>
      <c r="K29" s="69">
        <f t="shared" si="4"/>
        <v>170.41</v>
      </c>
      <c r="L29" s="68">
        <f t="shared" si="5"/>
        <v>170.40556488080787</v>
      </c>
      <c r="P29" s="78"/>
      <c r="Q29" s="69"/>
    </row>
    <row r="30" spans="2:27">
      <c r="B30" s="67">
        <f t="shared" si="0"/>
        <v>2045</v>
      </c>
      <c r="C30" s="70"/>
      <c r="D30" s="68" cm="1">
        <f t="array" ref="D30">D29*INDEX('2025 IRP Assumptions'!$E$373:$E$396,'Table 3 WD_.PX.DJW._.PTC.2029'!$B30-2023,1)/INDEX('2025 IRP Assumptions'!$E$373:$E$396,'Table 3 WD_.PX.DJW._.PTC.2029'!$B30-2023-1,1)</f>
        <v>124.34009822767121</v>
      </c>
      <c r="E30" s="68" cm="1">
        <f t="array" ref="E30">$E$9*INDEX('2025 IRP Assumptions'!$E$373:$E$396,'Table 3 WD_.PX.DJW._.PTC.2029'!$B30-2023,1)</f>
        <v>49.780308046050003</v>
      </c>
      <c r="F30" s="264"/>
      <c r="G30" s="69">
        <f t="shared" si="1"/>
        <v>47.76442563760812</v>
      </c>
      <c r="H30" s="68"/>
      <c r="I30" s="68"/>
      <c r="J30" s="69">
        <f t="shared" si="3"/>
        <v>47.76442563760812</v>
      </c>
      <c r="K30" s="69">
        <f t="shared" si="4"/>
        <v>174.12</v>
      </c>
      <c r="L30" s="68">
        <f t="shared" si="5"/>
        <v>174.12040627372122</v>
      </c>
      <c r="P30" s="78"/>
      <c r="Q30" s="69"/>
    </row>
    <row r="31" spans="2:27">
      <c r="B31" s="67">
        <f t="shared" si="0"/>
        <v>2046</v>
      </c>
      <c r="C31" s="70"/>
      <c r="D31" s="68" cm="1">
        <f t="array" ref="D31">D30*INDEX('2025 IRP Assumptions'!$E$373:$E$396,'Table 3 WD_.PX.DJW._.PTC.2029'!$B31-2023,1)/INDEX('2025 IRP Assumptions'!$E$373:$E$396,'Table 3 WD_.PX.DJW._.PTC.2029'!$B31-2023-1,1)</f>
        <v>127.05071234479628</v>
      </c>
      <c r="E31" s="68" cm="1">
        <f t="array" ref="E31">$E$9*INDEX('2025 IRP Assumptions'!$E$373:$E$396,'Table 3 WD_.PX.DJW._.PTC.2029'!$B31-2023,1)</f>
        <v>50.865518751749995</v>
      </c>
      <c r="F31" s="264"/>
      <c r="G31" s="69">
        <f t="shared" si="1"/>
        <v>48.805690107197044</v>
      </c>
      <c r="H31" s="68"/>
      <c r="I31" s="68"/>
      <c r="J31" s="69">
        <f t="shared" si="3"/>
        <v>48.805690107197044</v>
      </c>
      <c r="K31" s="69">
        <f t="shared" si="4"/>
        <v>177.92</v>
      </c>
      <c r="L31" s="68">
        <f t="shared" si="5"/>
        <v>177.91623109654628</v>
      </c>
      <c r="P31" s="78"/>
      <c r="Q31" s="69"/>
    </row>
    <row r="32" spans="2:27">
      <c r="B32" s="67">
        <f t="shared" si="0"/>
        <v>2047</v>
      </c>
      <c r="C32" s="70"/>
      <c r="D32" s="68" cm="1">
        <f t="array" ref="D32">D31*INDEX('2025 IRP Assumptions'!$E$373:$E$396,'Table 3 WD_.PX.DJW._.PTC.2029'!$B32-2023,1)/INDEX('2025 IRP Assumptions'!$E$373:$E$396,'Table 3 WD_.PX.DJW._.PTC.2029'!$B32-2023-1,1)</f>
        <v>129.82041782561046</v>
      </c>
      <c r="E32" s="68" cm="1">
        <f t="array" ref="E32">$E$9*INDEX('2025 IRP Assumptions'!$E$373:$E$396,'Table 3 WD_.PX.DJW._.PTC.2029'!$B32-2023,1)</f>
        <v>51.974387041199996</v>
      </c>
      <c r="F32" s="264"/>
      <c r="G32" s="69">
        <f t="shared" si="1"/>
        <v>49.869654132978901</v>
      </c>
      <c r="H32" s="68"/>
      <c r="I32" s="68"/>
      <c r="J32" s="69">
        <f t="shared" si="3"/>
        <v>49.869654132978901</v>
      </c>
      <c r="K32" s="69">
        <f t="shared" si="4"/>
        <v>181.79</v>
      </c>
      <c r="L32" s="68">
        <f t="shared" si="5"/>
        <v>181.79480486681047</v>
      </c>
      <c r="P32" s="78"/>
      <c r="Q32" s="69"/>
    </row>
    <row r="33" spans="2:17" ht="15">
      <c r="B33" s="67">
        <f t="shared" si="0"/>
        <v>2048</v>
      </c>
      <c r="C33" s="70"/>
      <c r="D33" s="259">
        <f t="shared" ref="D33:E33" si="6">D32*D32/D31</f>
        <v>132.65050288485341</v>
      </c>
      <c r="E33" s="259">
        <f t="shared" si="6"/>
        <v>53.107428658938439</v>
      </c>
      <c r="F33" s="264"/>
      <c r="G33" s="69">
        <f t="shared" si="1"/>
        <v>50.956812574118302</v>
      </c>
      <c r="H33" s="68"/>
      <c r="I33" s="68"/>
      <c r="J33" s="69">
        <f t="shared" si="3"/>
        <v>50.956812574118302</v>
      </c>
      <c r="K33" s="69">
        <f t="shared" si="4"/>
        <v>185.76</v>
      </c>
      <c r="L33" s="68">
        <f t="shared" si="5"/>
        <v>185.75793154379184</v>
      </c>
      <c r="P33" s="78"/>
      <c r="Q33" s="69"/>
    </row>
    <row r="34" spans="2:17" ht="15">
      <c r="B34" s="67">
        <f t="shared" si="0"/>
        <v>2049</v>
      </c>
      <c r="C34" s="70"/>
      <c r="D34" s="259">
        <f t="shared" ref="D34:E34" si="7">D33*D33/D32</f>
        <v>135.54228379731191</v>
      </c>
      <c r="E34" s="259">
        <f t="shared" si="7"/>
        <v>54.26517058351282</v>
      </c>
      <c r="F34" s="264"/>
      <c r="G34" s="69">
        <f t="shared" si="1"/>
        <v>52.067671068861237</v>
      </c>
      <c r="H34" s="68"/>
      <c r="I34" s="68"/>
      <c r="J34" s="69">
        <f t="shared" ref="J34:J43" si="8">(G34+H34+I34)</f>
        <v>52.067671068861237</v>
      </c>
      <c r="K34" s="69">
        <f t="shared" si="4"/>
        <v>189.81</v>
      </c>
      <c r="L34" s="68">
        <f t="shared" ref="L34:L43" si="9">(D34+E34+F34)</f>
        <v>189.80745438082474</v>
      </c>
      <c r="P34" s="78"/>
      <c r="Q34" s="69"/>
    </row>
    <row r="35" spans="2:17" ht="15">
      <c r="B35" s="67">
        <f t="shared" si="0"/>
        <v>2050</v>
      </c>
      <c r="C35" s="70"/>
      <c r="D35" s="259">
        <f t="shared" ref="D35:E35" si="10">D34*D34/D33</f>
        <v>138.49710553256259</v>
      </c>
      <c r="E35" s="259">
        <f t="shared" si="10"/>
        <v>55.448151281602769</v>
      </c>
      <c r="F35" s="264"/>
      <c r="G35" s="69">
        <f t="shared" si="1"/>
        <v>53.202746278367222</v>
      </c>
      <c r="H35" s="68"/>
      <c r="I35" s="68"/>
      <c r="J35" s="69">
        <f t="shared" si="8"/>
        <v>53.202746278367222</v>
      </c>
      <c r="K35" s="69">
        <f t="shared" si="4"/>
        <v>193.95</v>
      </c>
      <c r="L35" s="68">
        <f t="shared" si="9"/>
        <v>193.94525681416536</v>
      </c>
      <c r="P35" s="78"/>
      <c r="Q35" s="69"/>
    </row>
    <row r="36" spans="2:17" ht="15">
      <c r="B36" s="67">
        <f t="shared" si="0"/>
        <v>2051</v>
      </c>
      <c r="C36" s="70"/>
      <c r="D36" s="259">
        <f t="shared" ref="D36:E36" si="11">D35*D35/D34</f>
        <v>141.51634238051835</v>
      </c>
      <c r="E36" s="259">
        <f t="shared" si="11"/>
        <v>56.656920958461328</v>
      </c>
      <c r="F36" s="264"/>
      <c r="G36" s="69">
        <f t="shared" si="1"/>
        <v>54.362566127008904</v>
      </c>
      <c r="H36" s="68"/>
      <c r="I36" s="68"/>
      <c r="J36" s="69">
        <f t="shared" si="8"/>
        <v>54.362566127008904</v>
      </c>
      <c r="K36" s="69">
        <f t="shared" si="4"/>
        <v>198.17</v>
      </c>
      <c r="L36" s="68">
        <f t="shared" si="9"/>
        <v>198.17326333897967</v>
      </c>
      <c r="P36" s="78"/>
      <c r="Q36" s="69"/>
    </row>
    <row r="37" spans="2:17" ht="15">
      <c r="B37" s="67">
        <f t="shared" si="0"/>
        <v>2052</v>
      </c>
      <c r="C37" s="70"/>
      <c r="D37" s="259">
        <f t="shared" ref="D37:E37" si="12">D36*D36/D35</f>
        <v>144.60139859061169</v>
      </c>
      <c r="E37" s="259">
        <f t="shared" si="12"/>
        <v>57.892041813815851</v>
      </c>
      <c r="F37" s="264"/>
      <c r="G37" s="69">
        <f t="shared" si="1"/>
        <v>55.547670047910032</v>
      </c>
      <c r="H37" s="68"/>
      <c r="I37" s="68"/>
      <c r="J37" s="69">
        <f t="shared" si="8"/>
        <v>55.547670047910032</v>
      </c>
      <c r="K37" s="69">
        <f t="shared" si="4"/>
        <v>202.49</v>
      </c>
      <c r="L37" s="68">
        <f t="shared" si="9"/>
        <v>202.49344040442753</v>
      </c>
      <c r="P37" s="78"/>
      <c r="Q37" s="69"/>
    </row>
    <row r="38" spans="2:17" ht="15">
      <c r="B38" s="67">
        <f t="shared" si="0"/>
        <v>2053</v>
      </c>
      <c r="C38" s="70"/>
      <c r="D38" s="259">
        <f t="shared" ref="D38:E38" si="13">D37*D37/D36</f>
        <v>147.75370902491221</v>
      </c>
      <c r="E38" s="259">
        <f t="shared" si="13"/>
        <v>59.154088303347535</v>
      </c>
      <c r="F38" s="264"/>
      <c r="G38" s="69">
        <f t="shared" si="1"/>
        <v>56.75860923383626</v>
      </c>
      <c r="H38" s="68"/>
      <c r="I38" s="68"/>
      <c r="J38" s="69">
        <f t="shared" si="8"/>
        <v>56.75860923383626</v>
      </c>
      <c r="K38" s="69">
        <f t="shared" si="4"/>
        <v>206.91</v>
      </c>
      <c r="L38" s="68">
        <f t="shared" si="9"/>
        <v>206.90779732825973</v>
      </c>
      <c r="P38" s="78"/>
      <c r="Q38" s="69"/>
    </row>
    <row r="39" spans="2:17" ht="15">
      <c r="B39" s="67">
        <f t="shared" si="0"/>
        <v>2054</v>
      </c>
      <c r="C39" s="70"/>
      <c r="D39" s="259">
        <f t="shared" ref="D39:E39" si="14">D38*D38/D37</f>
        <v>150.97473982548203</v>
      </c>
      <c r="E39" s="259">
        <f t="shared" si="14"/>
        <v>60.443647405871204</v>
      </c>
      <c r="F39" s="264"/>
      <c r="G39" s="69">
        <f t="shared" si="1"/>
        <v>57.995946893555299</v>
      </c>
      <c r="H39" s="68"/>
      <c r="I39" s="68"/>
      <c r="J39" s="69">
        <f t="shared" si="8"/>
        <v>57.995946893555299</v>
      </c>
      <c r="K39" s="69">
        <f t="shared" si="4"/>
        <v>211.42</v>
      </c>
      <c r="L39" s="68">
        <f t="shared" si="9"/>
        <v>211.41838723135322</v>
      </c>
      <c r="P39" s="78"/>
      <c r="Q39" s="69"/>
    </row>
    <row r="40" spans="2:17" ht="15">
      <c r="B40" s="67">
        <f t="shared" si="0"/>
        <v>2055</v>
      </c>
      <c r="C40" s="70"/>
      <c r="D40" s="259">
        <f t="shared" ref="D40:E40" si="15">D39*D39/D38</f>
        <v>154.2659890962797</v>
      </c>
      <c r="E40" s="259">
        <f t="shared" si="15"/>
        <v>61.761318896339617</v>
      </c>
      <c r="F40" s="264"/>
      <c r="G40" s="69">
        <f t="shared" si="1"/>
        <v>59.260258513785807</v>
      </c>
      <c r="H40" s="68"/>
      <c r="I40" s="68"/>
      <c r="J40" s="69">
        <f t="shared" si="8"/>
        <v>59.260258513785807</v>
      </c>
      <c r="K40" s="69">
        <f t="shared" si="4"/>
        <v>216.03</v>
      </c>
      <c r="L40" s="68">
        <f t="shared" si="9"/>
        <v>216.02730799261931</v>
      </c>
      <c r="P40" s="78"/>
      <c r="Q40" s="69"/>
    </row>
    <row r="41" spans="2:17" ht="15">
      <c r="B41" s="67">
        <f t="shared" si="0"/>
        <v>2056</v>
      </c>
      <c r="C41" s="70"/>
      <c r="D41" s="259">
        <f t="shared" ref="D41:E41" si="16">D40*D40/D39</f>
        <v>157.62898759992947</v>
      </c>
      <c r="E41" s="259">
        <f t="shared" si="16"/>
        <v>63.10771562479929</v>
      </c>
      <c r="F41" s="264"/>
      <c r="G41" s="69">
        <f t="shared" si="1"/>
        <v>60.552132126856662</v>
      </c>
      <c r="H41" s="68"/>
      <c r="I41" s="68"/>
      <c r="J41" s="69">
        <f t="shared" si="8"/>
        <v>60.552132126856662</v>
      </c>
      <c r="K41" s="69">
        <f t="shared" si="4"/>
        <v>220.74</v>
      </c>
      <c r="L41" s="68">
        <f t="shared" si="9"/>
        <v>220.73670322472876</v>
      </c>
      <c r="P41" s="78"/>
      <c r="Q41" s="69"/>
    </row>
    <row r="42" spans="2:17" ht="15">
      <c r="B42" s="67">
        <f t="shared" si="0"/>
        <v>2057</v>
      </c>
      <c r="C42" s="70"/>
      <c r="D42" s="259">
        <f t="shared" ref="D42:E42" si="17">D41*D41/D40</f>
        <v>161.06529946968027</v>
      </c>
      <c r="E42" s="259">
        <f t="shared" si="17"/>
        <v>64.483463801427504</v>
      </c>
      <c r="F42" s="264"/>
      <c r="G42" s="69">
        <f t="shared" si="1"/>
        <v>61.872168584201319</v>
      </c>
      <c r="H42" s="68"/>
      <c r="I42" s="68"/>
      <c r="J42" s="69">
        <f t="shared" si="8"/>
        <v>61.872168584201319</v>
      </c>
      <c r="K42" s="69">
        <f t="shared" si="4"/>
        <v>225.55</v>
      </c>
      <c r="L42" s="68">
        <f t="shared" si="9"/>
        <v>225.54876327110776</v>
      </c>
      <c r="P42" s="78"/>
      <c r="Q42" s="69"/>
    </row>
    <row r="43" spans="2:17" ht="15">
      <c r="B43" s="67">
        <f t="shared" si="0"/>
        <v>2058</v>
      </c>
      <c r="C43" s="70"/>
      <c r="D43" s="259">
        <f t="shared" ref="D43:E43" si="18">D42*D42/D41</f>
        <v>164.57652293688523</v>
      </c>
      <c r="E43" s="259">
        <f t="shared" si="18"/>
        <v>65.889203287783189</v>
      </c>
      <c r="F43" s="264"/>
      <c r="G43" s="69">
        <f t="shared" si="1"/>
        <v>63.220981835814243</v>
      </c>
      <c r="H43" s="68"/>
      <c r="I43" s="68"/>
      <c r="J43" s="69">
        <f t="shared" si="8"/>
        <v>63.220981835814243</v>
      </c>
      <c r="K43" s="69">
        <f t="shared" si="4"/>
        <v>230.47</v>
      </c>
      <c r="L43" s="68">
        <f t="shared" si="9"/>
        <v>230.4657262246684</v>
      </c>
      <c r="P43" s="78"/>
      <c r="Q43" s="69"/>
    </row>
    <row r="44" spans="2:17" ht="15">
      <c r="B44" s="67">
        <f t="shared" si="0"/>
        <v>2059</v>
      </c>
      <c r="C44" s="70"/>
      <c r="D44" s="259">
        <f t="shared" ref="D44:E44" si="19">D43*D43/D42</f>
        <v>168.16429107434033</v>
      </c>
      <c r="E44" s="259">
        <f t="shared" si="19"/>
        <v>67.325587894406993</v>
      </c>
      <c r="F44" s="264"/>
      <c r="G44" s="69">
        <f t="shared" si="1"/>
        <v>64.59919921579953</v>
      </c>
      <c r="H44" s="68"/>
      <c r="I44" s="68"/>
      <c r="J44" s="69">
        <f t="shared" ref="J44:J45" si="20">(G44+H44+I44)</f>
        <v>64.59919921579953</v>
      </c>
      <c r="K44" s="69">
        <f t="shared" si="4"/>
        <v>235.49</v>
      </c>
      <c r="L44" s="68">
        <f t="shared" ref="L44:L45" si="21">(D44+E44+F44)</f>
        <v>235.48987896874732</v>
      </c>
      <c r="P44" s="78"/>
      <c r="Q44" s="69"/>
    </row>
    <row r="45" spans="2:17" ht="15">
      <c r="B45" s="67">
        <f t="shared" si="0"/>
        <v>2060</v>
      </c>
      <c r="C45" s="70"/>
      <c r="D45" s="259">
        <f t="shared" ref="D45:E46" si="22">D44*D44/D43</f>
        <v>171.83027255582795</v>
      </c>
      <c r="E45" s="259">
        <f t="shared" si="22"/>
        <v>68.793285684909108</v>
      </c>
      <c r="F45" s="264"/>
      <c r="G45" s="69">
        <f t="shared" si="1"/>
        <v>66.007461734144528</v>
      </c>
      <c r="H45" s="68"/>
      <c r="I45" s="68"/>
      <c r="J45" s="69">
        <f t="shared" si="20"/>
        <v>66.007461734144528</v>
      </c>
      <c r="K45" s="69">
        <f t="shared" si="4"/>
        <v>240.62</v>
      </c>
      <c r="L45" s="68">
        <f t="shared" si="21"/>
        <v>240.62355824073705</v>
      </c>
      <c r="P45" s="78"/>
      <c r="Q45" s="69"/>
    </row>
    <row r="46" spans="2:17" ht="15">
      <c r="B46" s="67">
        <f t="shared" si="0"/>
        <v>2061</v>
      </c>
      <c r="C46" s="70"/>
      <c r="D46" s="259">
        <f t="shared" si="22"/>
        <v>175.57617243221827</v>
      </c>
      <c r="E46" s="259">
        <f t="shared" si="22"/>
        <v>70.292979286686176</v>
      </c>
      <c r="F46" s="264"/>
      <c r="G46" s="69">
        <f t="shared" si="1"/>
        <v>67.446424374854047</v>
      </c>
      <c r="H46" s="68"/>
      <c r="I46" s="68"/>
      <c r="J46" s="69">
        <f t="shared" ref="J46" si="23">(G46+H46+I46)</f>
        <v>67.446424374854047</v>
      </c>
      <c r="K46" s="69">
        <f t="shared" si="4"/>
        <v>245.87</v>
      </c>
      <c r="L46" s="68">
        <f t="shared" ref="L46" si="24">(D46+E46+F46)</f>
        <v>245.86915171890445</v>
      </c>
      <c r="P46" s="78"/>
      <c r="Q46" s="69"/>
    </row>
    <row r="47" spans="2:17" ht="15">
      <c r="B47" s="67"/>
      <c r="C47" s="70"/>
      <c r="D47" s="259"/>
      <c r="E47" s="259"/>
      <c r="F47" s="68"/>
      <c r="G47" s="69"/>
      <c r="H47" s="68"/>
      <c r="I47" s="68"/>
      <c r="J47" s="69"/>
      <c r="K47" s="69"/>
      <c r="L47" s="68"/>
      <c r="P47" s="78"/>
      <c r="Q47" s="69"/>
    </row>
    <row r="48" spans="2:17">
      <c r="B48" s="67" t="s">
        <v>307</v>
      </c>
      <c r="C48" s="70"/>
      <c r="D48" s="68"/>
      <c r="E48" s="68"/>
      <c r="F48" s="68">
        <f>NPV(Discount_Rate,F14:F43)</f>
        <v>0</v>
      </c>
      <c r="G48" s="69"/>
      <c r="H48" s="68"/>
      <c r="I48" s="68"/>
      <c r="J48" s="69">
        <f>-PMT(Discount_Rate,COUNT(J$14:J$43),NPV(Discount_Rate,J$14:J$43))</f>
        <v>14.788511065475495</v>
      </c>
      <c r="K48" s="69">
        <f>-PMT(Discount_Rate,COUNT(K$14:K$43),NPV(Discount_Rate,K$14:K$43))</f>
        <v>53.911253918317513</v>
      </c>
      <c r="L48" s="69">
        <f>-PMT(Discount_Rate,COUNT(L$14:L$43),NPV(Discount_Rate,L$14:L$43))</f>
        <v>155.72267569903218</v>
      </c>
      <c r="M48" s="68"/>
    </row>
    <row r="49" spans="2:20" ht="14.25">
      <c r="B49" s="73" t="s">
        <v>25</v>
      </c>
      <c r="C49" s="74"/>
      <c r="D49" s="74"/>
      <c r="E49" s="74"/>
      <c r="F49" s="74"/>
      <c r="G49" s="74"/>
      <c r="H49" s="74"/>
      <c r="I49" s="74"/>
    </row>
    <row r="51" spans="2:20">
      <c r="B51" s="60" t="s">
        <v>59</v>
      </c>
      <c r="C51" s="75" t="s">
        <v>60</v>
      </c>
      <c r="D51" s="146" t="s">
        <v>186</v>
      </c>
    </row>
    <row r="52" spans="2:20">
      <c r="C52" s="75" t="str">
        <f>C6</f>
        <v>(a)</v>
      </c>
      <c r="D52" s="60" t="s">
        <v>61</v>
      </c>
    </row>
    <row r="53" spans="2:20">
      <c r="C53" s="75" t="str">
        <f>D6</f>
        <v>(b)</v>
      </c>
      <c r="D53" s="69" t="str">
        <f>"= "&amp;C6&amp;" x "&amp;C60</f>
        <v>= (a) x 0.06316</v>
      </c>
    </row>
    <row r="54" spans="2:20">
      <c r="C54" s="75">
        <f>F6</f>
        <v>0</v>
      </c>
      <c r="D54" s="69" t="str">
        <f>"= ("&amp;$D$6&amp;" + "&amp;$E$6&amp;") /  (8.76 x "&amp;TEXT(C61,"0.0%")&amp;")"</f>
        <v>= ((b) + (c)) /  (8.76 x 41.6%)</v>
      </c>
    </row>
    <row r="55" spans="2:20">
      <c r="C55" s="75" t="str">
        <f>J6</f>
        <v>(g)</v>
      </c>
      <c r="D55" s="69" t="str">
        <f>"= "&amp;$G$6&amp;" + "&amp;$H$6</f>
        <v>= (e) + (f)</v>
      </c>
    </row>
    <row r="56" spans="2:20">
      <c r="C56" s="75" t="str">
        <f>K6</f>
        <v>(h)</v>
      </c>
      <c r="D56" t="str">
        <f>D51</f>
        <v>Plant Costs  - 2025 IRP - Table 7.1 &amp; 7.2</v>
      </c>
    </row>
    <row r="57" spans="2:20">
      <c r="Q57" s="60" t="s">
        <v>82</v>
      </c>
      <c r="R57" s="67">
        <v>2029</v>
      </c>
      <c r="T57" s="156" t="s">
        <v>149</v>
      </c>
    </row>
    <row r="58" spans="2:20">
      <c r="B58"/>
      <c r="C58" s="274"/>
      <c r="P58" s="143"/>
      <c r="T58" s="156"/>
    </row>
    <row r="59" spans="2:20">
      <c r="B59"/>
      <c r="C59" s="275"/>
      <c r="Q59" s="60" t="s">
        <v>189</v>
      </c>
      <c r="R59" s="78">
        <v>100</v>
      </c>
    </row>
    <row r="60" spans="2:20">
      <c r="C60" s="154">
        <v>6.3159999999999994E-2</v>
      </c>
      <c r="D60" s="60" t="s">
        <v>197</v>
      </c>
      <c r="E60" s="150"/>
      <c r="F60" s="273" t="s">
        <v>198</v>
      </c>
      <c r="J60" s="258"/>
      <c r="L60" s="145"/>
      <c r="M60" s="80"/>
      <c r="N60" s="80"/>
      <c r="P60" s="81"/>
    </row>
    <row r="61" spans="2:20">
      <c r="C61" s="154">
        <v>0.41614147855251299</v>
      </c>
      <c r="D61" s="60" t="s">
        <v>35</v>
      </c>
    </row>
    <row r="62" spans="2:20">
      <c r="C62" s="161"/>
      <c r="D62" s="79"/>
      <c r="H62" s="348">
        <v>1.1000000000000001</v>
      </c>
      <c r="I62" s="60" t="s">
        <v>305</v>
      </c>
    </row>
    <row r="63" spans="2:20" ht="15">
      <c r="I63" s="105" t="s">
        <v>31</v>
      </c>
      <c r="J63" s="105" t="s">
        <v>302</v>
      </c>
    </row>
    <row r="64" spans="2:20" ht="15">
      <c r="C64" s="105"/>
      <c r="D64" s="105"/>
      <c r="E64" s="105"/>
      <c r="F64" s="260"/>
      <c r="G64" s="260">
        <v>47119</v>
      </c>
      <c r="H64" s="67">
        <f>YEAR(G64)</f>
        <v>2029</v>
      </c>
      <c r="I64" s="68">
        <f>IF($H$62=110%,INDEX('2025 IRP Assumptions'!$E$341:$E$361,MATCH(H64,'2025 IRP Assumptions'!$S$341:$S$361,0),1),INDEX('2025 IRP Assumptions'!$E$309:$E$338,MATCH(H64,'2025 IRP Assumptions'!$S$341:$S$361,0)))</f>
        <v>47.74</v>
      </c>
      <c r="J64" s="78">
        <f>I64*(8.76*$C$61)</f>
        <v>174.03136507020946</v>
      </c>
    </row>
    <row r="65" spans="3:10" ht="15">
      <c r="C65" s="260"/>
      <c r="D65" s="105"/>
      <c r="E65" s="241"/>
      <c r="F65" s="260"/>
      <c r="G65" s="260">
        <v>47484</v>
      </c>
      <c r="H65" s="67">
        <f>YEAR(G65)</f>
        <v>2030</v>
      </c>
      <c r="I65" s="68">
        <f>IF($H$62=110%,INDEX('2025 IRP Assumptions'!$E$341:$E$361,MATCH(H65,'2025 IRP Assumptions'!$S$341:$S$361,0),1),INDEX('2025 IRP Assumptions'!$E$309:$E$338,MATCH(H65,'2025 IRP Assumptions'!$S$341:$S$361,0)))</f>
        <v>47.74</v>
      </c>
      <c r="J65" s="78">
        <f t="shared" ref="J65:J73" si="25">I65*(8.76*$C$61)</f>
        <v>174.03136507020946</v>
      </c>
    </row>
    <row r="66" spans="3:10" ht="15">
      <c r="C66" s="260"/>
      <c r="D66" s="105"/>
      <c r="E66" s="241"/>
      <c r="F66" s="260"/>
      <c r="G66" s="260">
        <v>47849</v>
      </c>
      <c r="H66" s="67">
        <f t="shared" ref="H66:H73" si="26">YEAR(G66)</f>
        <v>2031</v>
      </c>
      <c r="I66" s="68">
        <f>IF($H$62=110%,INDEX('2025 IRP Assumptions'!$E$341:$E$361,MATCH(H66,'2025 IRP Assumptions'!$S$341:$S$361,0),1),INDEX('2025 IRP Assumptions'!$E$309:$E$338,MATCH(H66,'2025 IRP Assumptions'!$S$341:$S$361,0)))</f>
        <v>49.06</v>
      </c>
      <c r="J66" s="78">
        <f t="shared" si="25"/>
        <v>178.84329221500789</v>
      </c>
    </row>
    <row r="67" spans="3:10" ht="15">
      <c r="C67" s="260"/>
      <c r="D67" s="105"/>
      <c r="E67" s="241"/>
      <c r="F67" s="260"/>
      <c r="G67" s="260">
        <v>48214</v>
      </c>
      <c r="H67" s="67">
        <f t="shared" si="26"/>
        <v>2032</v>
      </c>
      <c r="I67" s="68">
        <f>IF($H$62=110%,INDEX('2025 IRP Assumptions'!$E$341:$E$361,MATCH(H67,'2025 IRP Assumptions'!$S$341:$S$361,0),1),INDEX('2025 IRP Assumptions'!$E$309:$E$338,MATCH(H67,'2025 IRP Assumptions'!$S$341:$S$361,0)))</f>
        <v>50.39</v>
      </c>
      <c r="J67" s="78">
        <f t="shared" si="25"/>
        <v>183.6916733533275</v>
      </c>
    </row>
    <row r="68" spans="3:10" ht="15">
      <c r="C68" s="260"/>
      <c r="D68" s="105"/>
      <c r="E68" s="241"/>
      <c r="F68" s="260"/>
      <c r="G68" s="260">
        <v>48580</v>
      </c>
      <c r="H68" s="67">
        <f t="shared" si="26"/>
        <v>2033</v>
      </c>
      <c r="I68" s="68">
        <f>IF($H$62=110%,INDEX('2025 IRP Assumptions'!$E$341:$E$361,MATCH(H68,'2025 IRP Assumptions'!$S$341:$S$361,0),1),INDEX('2025 IRP Assumptions'!$E$309:$E$338,MATCH(H68,'2025 IRP Assumptions'!$S$341:$S$361,0)))</f>
        <v>50.39</v>
      </c>
      <c r="J68" s="78">
        <f t="shared" si="25"/>
        <v>183.6916733533275</v>
      </c>
    </row>
    <row r="69" spans="3:10" ht="15">
      <c r="C69" s="260"/>
      <c r="D69" s="105"/>
      <c r="E69" s="241"/>
      <c r="F69" s="260"/>
      <c r="G69" s="260">
        <v>48945</v>
      </c>
      <c r="H69" s="67">
        <f t="shared" si="26"/>
        <v>2034</v>
      </c>
      <c r="I69" s="68">
        <f>IF($H$62=110%,INDEX('2025 IRP Assumptions'!$E$341:$E$361,MATCH(H69,'2025 IRP Assumptions'!$S$341:$S$361,0),1),INDEX('2025 IRP Assumptions'!$E$309:$E$338,MATCH(H69,'2025 IRP Assumptions'!$S$341:$S$361,0)))</f>
        <v>51.71</v>
      </c>
      <c r="J69" s="78">
        <f t="shared" si="25"/>
        <v>188.50360049812593</v>
      </c>
    </row>
    <row r="70" spans="3:10" ht="15">
      <c r="C70" s="260"/>
      <c r="D70" s="105"/>
      <c r="E70" s="241"/>
      <c r="F70" s="260"/>
      <c r="G70" s="260">
        <v>49310</v>
      </c>
      <c r="H70" s="67">
        <f t="shared" si="26"/>
        <v>2035</v>
      </c>
      <c r="I70" s="68">
        <f>IF($H$62=110%,INDEX('2025 IRP Assumptions'!$E$341:$E$361,MATCH(H70,'2025 IRP Assumptions'!$S$341:$S$361,0),1),INDEX('2025 IRP Assumptions'!$E$309:$E$338,MATCH(H70,'2025 IRP Assumptions'!$S$341:$S$361,0)))</f>
        <v>53.04</v>
      </c>
      <c r="J70" s="78">
        <f t="shared" si="25"/>
        <v>193.35198163644554</v>
      </c>
    </row>
    <row r="71" spans="3:10" ht="15">
      <c r="C71" s="260"/>
      <c r="D71" s="105"/>
      <c r="E71" s="241"/>
      <c r="F71" s="260"/>
      <c r="G71" s="260">
        <v>49675</v>
      </c>
      <c r="H71" s="67">
        <f t="shared" si="26"/>
        <v>2036</v>
      </c>
      <c r="I71" s="68">
        <f>IF($H$62=110%,INDEX('2025 IRP Assumptions'!$E$341:$E$361,MATCH(H71,'2025 IRP Assumptions'!$S$341:$S$361,0),1),INDEX('2025 IRP Assumptions'!$E$309:$E$338,MATCH(H71,'2025 IRP Assumptions'!$S$341:$S$361,0)))</f>
        <v>54.37</v>
      </c>
      <c r="J71" s="78">
        <f t="shared" si="25"/>
        <v>198.20036277476515</v>
      </c>
    </row>
    <row r="72" spans="3:10" ht="15">
      <c r="C72" s="260"/>
      <c r="D72" s="105"/>
      <c r="E72" s="241"/>
      <c r="F72" s="260"/>
      <c r="G72" s="260">
        <v>50041</v>
      </c>
      <c r="H72" s="67">
        <f t="shared" si="26"/>
        <v>2037</v>
      </c>
      <c r="I72" s="68">
        <f>IF($H$62=110%,INDEX('2025 IRP Assumptions'!$E$341:$E$361,MATCH(H72,'2025 IRP Assumptions'!$S$341:$S$361,0),1),INDEX('2025 IRP Assumptions'!$E$309:$E$338,MATCH(H72,'2025 IRP Assumptions'!$S$341:$S$361,0)))</f>
        <v>55.69</v>
      </c>
      <c r="J72" s="78">
        <f t="shared" si="25"/>
        <v>203.01228991956356</v>
      </c>
    </row>
    <row r="73" spans="3:10" ht="15">
      <c r="C73" s="260"/>
      <c r="D73" s="105"/>
      <c r="E73" s="241"/>
      <c r="F73" s="260"/>
      <c r="G73" s="260">
        <v>50406</v>
      </c>
      <c r="H73" s="67">
        <f t="shared" si="26"/>
        <v>2038</v>
      </c>
      <c r="I73" s="68">
        <f>IF($H$62=110%,INDEX('2025 IRP Assumptions'!$E$341:$E$361,MATCH(H73,'2025 IRP Assumptions'!$S$341:$S$361,0),1),INDEX('2025 IRP Assumptions'!$E$309:$E$338,MATCH(H73,'2025 IRP Assumptions'!$S$341:$S$361,0)))</f>
        <v>55.69</v>
      </c>
      <c r="J73" s="78">
        <f t="shared" si="25"/>
        <v>203.01228991956356</v>
      </c>
    </row>
    <row r="74" spans="3:10" ht="15">
      <c r="C74" s="260"/>
      <c r="D74" s="105"/>
      <c r="E74" s="241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177</v>
      </c>
      <c r="J76" s="60">
        <f>INDEX('2025 IRP Assumptions'!$E$126:$E$157,MATCH(T57,'2025 IRP Assumptions'!$C$126:$C$157,0),1)</f>
        <v>30</v>
      </c>
    </row>
    <row r="77" spans="3:10" ht="15">
      <c r="C77" s="105"/>
      <c r="D77" s="105"/>
      <c r="E77" s="261"/>
      <c r="F77" s="105"/>
      <c r="G77" s="105" t="s">
        <v>303</v>
      </c>
      <c r="I77" s="261"/>
      <c r="J77" s="261">
        <f>-PMT(Real_Discount_Rate,J76,NPV(Discount_Rate,J64:J73))</f>
        <v>78.900412015409401</v>
      </c>
    </row>
    <row r="80" spans="3:10">
      <c r="C80" s="77"/>
      <c r="D80" s="79"/>
    </row>
    <row r="81" spans="3:4">
      <c r="C81" s="77"/>
      <c r="D81" s="79"/>
    </row>
    <row r="82" spans="3:4">
      <c r="C82" s="77"/>
      <c r="D82" s="79"/>
    </row>
    <row r="83" spans="3:4">
      <c r="C83" s="77"/>
      <c r="D83" s="79"/>
    </row>
    <row r="84" spans="3:4">
      <c r="C84" s="77"/>
      <c r="D84" s="79"/>
    </row>
    <row r="85" spans="3:4">
      <c r="C85" s="77"/>
      <c r="D85" s="79"/>
    </row>
    <row r="86" spans="3:4">
      <c r="C86" s="77"/>
      <c r="D86" s="79"/>
    </row>
    <row r="87" spans="3:4">
      <c r="C87" s="77"/>
      <c r="D87" s="79"/>
    </row>
    <row r="88" spans="3:4">
      <c r="C88" s="77"/>
      <c r="D88" s="79"/>
    </row>
    <row r="89" spans="3:4">
      <c r="C89" s="77"/>
      <c r="D89" s="79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0" orientation="landscape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CC724-7BBB-4260-895B-E3CF1E265ACE}">
  <sheetPr>
    <tabColor rgb="FFCCFFCC"/>
    <pageSetUpPr fitToPage="1"/>
  </sheetPr>
  <dimension ref="B1:AC89"/>
  <sheetViews>
    <sheetView topLeftCell="A12" workbookViewId="0">
      <selection activeCell="F26" sqref="F26"/>
    </sheetView>
  </sheetViews>
  <sheetFormatPr defaultColWidth="9.33203125" defaultRowHeight="12.75"/>
  <cols>
    <col min="1" max="1" width="13.33203125" style="60" customWidth="1"/>
    <col min="2" max="2" width="15" style="60" customWidth="1"/>
    <col min="3" max="3" width="19.33203125" style="60" customWidth="1"/>
    <col min="4" max="4" width="22.83203125" style="60" customWidth="1"/>
    <col min="5" max="5" width="11.1640625" style="60" customWidth="1"/>
    <col min="6" max="6" width="9.5" style="60" customWidth="1"/>
    <col min="7" max="7" width="17.6640625" style="60" customWidth="1"/>
    <col min="8" max="8" width="9.5" style="60" bestFit="1" customWidth="1"/>
    <col min="9" max="9" width="10.5" style="60" customWidth="1"/>
    <col min="10" max="10" width="12.6640625" style="60" customWidth="1"/>
    <col min="11" max="11" width="14" style="60" customWidth="1"/>
    <col min="12" max="12" width="13.33203125" style="60" customWidth="1"/>
    <col min="13" max="13" width="3.1640625" style="60" customWidth="1"/>
    <col min="14" max="14" width="15" style="60" hidden="1" customWidth="1"/>
    <col min="15" max="15" width="5.6640625" style="60" customWidth="1"/>
    <col min="16" max="16" width="9.33203125" style="60" customWidth="1"/>
    <col min="17" max="18" width="16" style="60" customWidth="1"/>
    <col min="19" max="19" width="23.5" style="60" customWidth="1"/>
    <col min="20" max="20" width="18.1640625" style="60" customWidth="1"/>
    <col min="21" max="21" width="13.33203125" style="60" customWidth="1"/>
    <col min="22" max="22" width="18.1640625" style="60" customWidth="1"/>
    <col min="23" max="23" width="12.83203125" style="60" customWidth="1"/>
    <col min="24" max="24" width="15.33203125" style="60" customWidth="1"/>
    <col min="25" max="26" width="9.33203125" style="60"/>
    <col min="27" max="27" width="13.33203125" style="60" customWidth="1"/>
    <col min="28" max="28" width="13.6640625" style="60" customWidth="1"/>
    <col min="29" max="29" width="12" style="60" bestFit="1" customWidth="1"/>
    <col min="30" max="16384" width="9.33203125" style="60"/>
  </cols>
  <sheetData>
    <row r="1" spans="2:29" ht="15.75">
      <c r="B1" s="58" t="s">
        <v>53</v>
      </c>
      <c r="C1" s="59"/>
      <c r="D1" s="59"/>
      <c r="E1" s="59"/>
      <c r="F1" s="59"/>
      <c r="G1" s="59"/>
      <c r="H1" s="59"/>
      <c r="I1" s="59"/>
      <c r="J1" s="59"/>
      <c r="K1" s="59"/>
    </row>
    <row r="2" spans="2:29" ht="15.75">
      <c r="B2" s="58" t="str">
        <f>T57</f>
        <v>WD_.PX.DJW._.PTC.Utility_Scale</v>
      </c>
      <c r="C2" s="59"/>
      <c r="D2" s="59"/>
      <c r="E2" s="59"/>
      <c r="F2" s="59"/>
      <c r="G2" s="59"/>
      <c r="H2" s="59"/>
      <c r="I2" s="59"/>
      <c r="J2" s="59"/>
      <c r="K2" s="59"/>
    </row>
    <row r="3" spans="2:29" ht="15.75">
      <c r="B3" s="58" t="str">
        <f>TEXT($C$61,"0%")&amp;" Capacity Factor"</f>
        <v>42% Capacity Factor</v>
      </c>
      <c r="C3" s="59"/>
      <c r="D3" s="59"/>
      <c r="E3" s="59"/>
      <c r="F3" s="59"/>
      <c r="G3" s="59"/>
      <c r="H3" s="59"/>
      <c r="I3" s="59"/>
      <c r="J3" s="59"/>
      <c r="K3" s="59"/>
    </row>
    <row r="4" spans="2:29">
      <c r="B4" s="59"/>
      <c r="C4" s="59"/>
      <c r="D4" s="59"/>
      <c r="E4" s="59"/>
      <c r="F4" s="59"/>
      <c r="G4" s="59"/>
      <c r="H4" s="59"/>
      <c r="I4" s="59"/>
    </row>
    <row r="5" spans="2:29" ht="51.75" customHeight="1">
      <c r="B5" s="61" t="s">
        <v>0</v>
      </c>
      <c r="C5" s="62" t="s">
        <v>10</v>
      </c>
      <c r="D5" s="62" t="s">
        <v>11</v>
      </c>
      <c r="E5" s="62" t="s">
        <v>12</v>
      </c>
      <c r="F5" s="14" t="s">
        <v>308</v>
      </c>
      <c r="G5" s="62" t="s">
        <v>58</v>
      </c>
      <c r="H5" s="14" t="s">
        <v>13</v>
      </c>
      <c r="I5" s="62" t="s">
        <v>113</v>
      </c>
      <c r="J5" s="62" t="s">
        <v>64</v>
      </c>
      <c r="K5" s="14" t="s">
        <v>49</v>
      </c>
      <c r="L5" s="62" t="s">
        <v>86</v>
      </c>
      <c r="N5" s="100"/>
      <c r="O5" s="100"/>
      <c r="Q5" s="100"/>
      <c r="T5" s="142"/>
      <c r="Z5" s="100"/>
      <c r="AA5" s="100"/>
    </row>
    <row r="6" spans="2:29" ht="24" customHeight="1">
      <c r="B6" s="63"/>
      <c r="C6" s="64" t="s">
        <v>8</v>
      </c>
      <c r="D6" s="65" t="s">
        <v>9</v>
      </c>
      <c r="E6" s="65" t="s">
        <v>9</v>
      </c>
      <c r="F6" s="16" t="s">
        <v>9</v>
      </c>
      <c r="G6" s="64" t="s">
        <v>31</v>
      </c>
      <c r="H6" s="15" t="s">
        <v>31</v>
      </c>
      <c r="I6" s="15" t="s">
        <v>31</v>
      </c>
      <c r="J6" s="64" t="s">
        <v>31</v>
      </c>
      <c r="K6" s="16" t="s">
        <v>9</v>
      </c>
      <c r="L6" s="65" t="s">
        <v>9</v>
      </c>
      <c r="W6" s="78"/>
      <c r="X6" s="78"/>
    </row>
    <row r="7" spans="2:29">
      <c r="C7" s="66" t="s">
        <v>1</v>
      </c>
      <c r="D7" s="66" t="s">
        <v>2</v>
      </c>
      <c r="E7" s="66" t="s">
        <v>3</v>
      </c>
      <c r="F7" s="66"/>
      <c r="G7" s="66" t="s">
        <v>5</v>
      </c>
      <c r="H7" s="66" t="s">
        <v>7</v>
      </c>
      <c r="I7" s="66" t="s">
        <v>22</v>
      </c>
      <c r="J7" s="66" t="s">
        <v>22</v>
      </c>
      <c r="K7" s="66" t="s">
        <v>23</v>
      </c>
      <c r="L7" s="66" t="s">
        <v>24</v>
      </c>
      <c r="R7" s="71"/>
      <c r="S7" s="78"/>
      <c r="U7" s="78"/>
    </row>
    <row r="8" spans="2:29" ht="21.75" customHeight="1">
      <c r="R8" s="71"/>
      <c r="X8" s="71"/>
    </row>
    <row r="9" spans="2:29">
      <c r="B9" s="67">
        <v>2024</v>
      </c>
      <c r="C9" s="157">
        <f>INDEX('2025 IRP Assumptions'!$E$2:$E$58,MATCH($T$57,'2025 IRP Assumptions'!$C$2:$C$58,0),1)</f>
        <v>1392.68</v>
      </c>
      <c r="D9" s="68"/>
      <c r="E9" s="232">
        <f>INDEX('2025 IRP Assumptions'!$E$62:$E$118,MATCH($T$57,'2025 IRP Assumptions'!$C$62:$C$118,0),1)</f>
        <v>31.65</v>
      </c>
      <c r="F9" s="68"/>
      <c r="G9" s="69"/>
      <c r="H9" s="68"/>
      <c r="I9" s="68"/>
      <c r="J9" s="69"/>
      <c r="K9" s="69"/>
      <c r="L9" s="68"/>
      <c r="S9" s="160"/>
      <c r="T9" s="70"/>
      <c r="X9" s="158"/>
    </row>
    <row r="10" spans="2:29">
      <c r="B10" s="67">
        <f t="shared" ref="B10:B46" si="0">B9+1</f>
        <v>2025</v>
      </c>
      <c r="C10" s="70">
        <f>$C$9*INDEX('2025 IRP Assumptions'!$E$238:$E$258,MATCH(B10,'2025 IRP Assumptions'!$S$238:$S$258,0),1)</f>
        <v>1393.4262466878001</v>
      </c>
      <c r="D10" s="68"/>
      <c r="E10" s="68" cm="1">
        <f t="array" ref="E10">$E$9*INDEX('2025 IRP Assumptions'!$E$373:$E$396,'WD_.PX.DJW._.PTC.2030'!$B10-2023,1)</f>
        <v>32.339970000000001</v>
      </c>
      <c r="F10" s="68"/>
      <c r="G10" s="69"/>
      <c r="H10" s="68"/>
      <c r="I10" s="68"/>
      <c r="J10" s="69"/>
      <c r="K10" s="69"/>
      <c r="L10" s="68"/>
      <c r="R10" s="158"/>
      <c r="S10" s="158"/>
      <c r="U10" s="156"/>
      <c r="X10" s="158"/>
    </row>
    <row r="11" spans="2:29">
      <c r="B11" s="67">
        <f t="shared" si="0"/>
        <v>2026</v>
      </c>
      <c r="C11" s="70">
        <f>$C$9*INDEX('2025 IRP Assumptions'!$E$238:$E$258,MATCH(B11,'2025 IRP Assumptions'!$S$238:$S$258,0),1)</f>
        <v>1394.5581390017201</v>
      </c>
      <c r="D11" s="68"/>
      <c r="E11" s="68" cm="1">
        <f t="array" ref="E11">$E$9*INDEX('2025 IRP Assumptions'!$E$373:$E$396,'WD_.PX.DJW._.PTC.2030'!$B11-2023,1)</f>
        <v>33.044981346</v>
      </c>
      <c r="F11" s="68"/>
      <c r="G11" s="69"/>
      <c r="H11" s="68"/>
      <c r="I11" s="68"/>
      <c r="J11" s="69"/>
      <c r="K11" s="69"/>
      <c r="L11" s="68"/>
      <c r="Q11" s="151"/>
      <c r="R11" s="158"/>
      <c r="S11" s="158"/>
      <c r="X11" s="158"/>
      <c r="AC11" s="144"/>
    </row>
    <row r="12" spans="2:29">
      <c r="B12" s="67">
        <f t="shared" si="0"/>
        <v>2027</v>
      </c>
      <c r="C12" s="70">
        <f>$C$9*INDEX('2025 IRP Assumptions'!$E$238:$E$258,MATCH(B12,'2025 IRP Assumptions'!$S$238:$S$258,0),1)</f>
        <v>1395.0771713402</v>
      </c>
      <c r="D12" s="68"/>
      <c r="E12" s="68" cm="1">
        <f t="array" ref="E12">$E$9*INDEX('2025 IRP Assumptions'!$E$373:$E$396,'WD_.PX.DJW._.PTC.2030'!$B12-2023,1)</f>
        <v>33.765361931999998</v>
      </c>
      <c r="F12" s="68"/>
      <c r="G12" s="69"/>
      <c r="H12" s="68"/>
      <c r="I12" s="68"/>
      <c r="J12" s="69"/>
      <c r="K12" s="69"/>
      <c r="L12" s="68"/>
      <c r="P12" s="78"/>
      <c r="Q12" s="69"/>
      <c r="R12" s="158"/>
      <c r="S12" s="158"/>
      <c r="U12" s="160"/>
      <c r="X12" s="158"/>
      <c r="Y12" s="160"/>
    </row>
    <row r="13" spans="2:29">
      <c r="B13" s="67">
        <f t="shared" si="0"/>
        <v>2028</v>
      </c>
      <c r="C13" s="70">
        <f>$C$9*INDEX('2025 IRP Assumptions'!$E$238:$E$258,MATCH(B13,'2025 IRP Assumptions'!$S$238:$S$258,0),1)</f>
        <v>1394.9560833849202</v>
      </c>
      <c r="D13" s="68"/>
      <c r="E13" s="68" cm="1">
        <f t="array" ref="E13">$E$9*INDEX('2025 IRP Assumptions'!$E$373:$E$396,'WD_.PX.DJW._.PTC.2030'!$B13-2023,1)</f>
        <v>34.501446836549995</v>
      </c>
      <c r="F13" s="264"/>
      <c r="G13" s="69"/>
      <c r="H13" s="68"/>
      <c r="I13" s="68"/>
      <c r="J13" s="69"/>
      <c r="K13" s="69"/>
      <c r="L13" s="68"/>
      <c r="P13" s="78"/>
      <c r="Q13" s="69"/>
      <c r="U13" s="160"/>
      <c r="W13" s="78"/>
      <c r="X13" s="158"/>
      <c r="Y13" s="160"/>
    </row>
    <row r="14" spans="2:29">
      <c r="B14" s="67">
        <f t="shared" si="0"/>
        <v>2029</v>
      </c>
      <c r="C14" s="70">
        <f>$C$9*INDEX('2025 IRP Assumptions'!$E$238:$E$258,MATCH(B14,'2025 IRP Assumptions'!$S$238:$S$258,0),1)</f>
        <v>1394.16671932432</v>
      </c>
      <c r="D14" s="68"/>
      <c r="E14" s="68" cm="1">
        <f t="array" ref="E14">$E$9*INDEX('2025 IRP Assumptions'!$E$373:$E$396,'WD_.PX.DJW._.PTC.2030'!$B14-2023,1)</f>
        <v>35.253578386050002</v>
      </c>
      <c r="F14" s="264"/>
      <c r="G14" s="69"/>
      <c r="H14" s="68"/>
      <c r="I14" s="68"/>
      <c r="J14" s="69"/>
      <c r="K14" s="69"/>
      <c r="L14" s="68"/>
      <c r="P14" s="78"/>
      <c r="Q14" s="69"/>
      <c r="U14" s="160"/>
      <c r="V14" s="78"/>
      <c r="W14" s="78"/>
      <c r="X14" s="158"/>
      <c r="Y14" s="160"/>
      <c r="Z14" s="78"/>
    </row>
    <row r="15" spans="2:29">
      <c r="B15" s="67">
        <f t="shared" si="0"/>
        <v>2030</v>
      </c>
      <c r="C15" s="70">
        <f>$C$9*INDEX('2025 IRP Assumptions'!$E$238:$E$258,MATCH(B15,'2025 IRP Assumptions'!$S$238:$S$258,0),1)</f>
        <v>1392.68</v>
      </c>
      <c r="D15" s="232">
        <f>C15*$C$60</f>
        <v>87.961668799999998</v>
      </c>
      <c r="E15" s="68" cm="1">
        <f t="array" ref="E15">$E$9*INDEX('2025 IRP Assumptions'!$E$373:$E$396,'WD_.PX.DJW._.PTC.2030'!$B15-2023,1)</f>
        <v>36.022106376299995</v>
      </c>
      <c r="F15" s="264"/>
      <c r="G15" s="69">
        <f t="shared" ref="G15:G46" si="1">(D15+E15+F15)/(8.76*$C$61)</f>
        <v>34.011026831448831</v>
      </c>
      <c r="H15" s="68"/>
      <c r="I15" s="68">
        <f>-I64</f>
        <v>-47.74</v>
      </c>
      <c r="J15" s="69">
        <f t="shared" ref="J15:J35" si="2">(G15+H15+I15)</f>
        <v>-13.728973168551171</v>
      </c>
      <c r="K15" s="69">
        <f t="shared" ref="K15:K46" si="3">ROUND(J15*$C$61*8.76,2)</f>
        <v>-50.05</v>
      </c>
      <c r="L15" s="68">
        <f t="shared" ref="L15:L35" si="4">(D15+E15+F15)</f>
        <v>123.98377517629999</v>
      </c>
      <c r="P15" s="78"/>
      <c r="Q15" s="69"/>
      <c r="U15" s="160"/>
      <c r="V15" s="78"/>
      <c r="W15" s="78"/>
      <c r="X15" s="158"/>
      <c r="Y15" s="160"/>
      <c r="Z15" s="78"/>
      <c r="AA15" s="78"/>
    </row>
    <row r="16" spans="2:29">
      <c r="B16" s="67">
        <f t="shared" si="0"/>
        <v>2031</v>
      </c>
      <c r="C16" s="70"/>
      <c r="D16" s="68" cm="1">
        <f t="array" ref="D16">D15*INDEX('2025 IRP Assumptions'!$E$373:$E$396,'WD_.PX.DJW._.PTC.2030'!$B16-2023,1)/INDEX('2025 IRP Assumptions'!$E$373:$E$396,'WD_.PX.DJW._.PTC.2030'!$B16-2023-1,1)</f>
        <v>89.879233176779508</v>
      </c>
      <c r="E16" s="68" cm="1">
        <f t="array" ref="E16">$E$9*INDEX('2025 IRP Assumptions'!$E$373:$E$396,'WD_.PX.DJW._.PTC.2030'!$B16-2023,1)</f>
        <v>36.80738829405</v>
      </c>
      <c r="F16" s="264"/>
      <c r="G16" s="69">
        <f t="shared" si="1"/>
        <v>34.752467215191061</v>
      </c>
      <c r="H16" s="68"/>
      <c r="I16" s="68">
        <f t="shared" ref="I16:I24" si="5">-I65</f>
        <v>-49.06</v>
      </c>
      <c r="J16" s="69">
        <f t="shared" si="2"/>
        <v>-14.307532784808942</v>
      </c>
      <c r="K16" s="69">
        <f t="shared" si="3"/>
        <v>-52.16</v>
      </c>
      <c r="L16" s="68">
        <f t="shared" si="4"/>
        <v>126.68662147082951</v>
      </c>
      <c r="P16" s="78"/>
      <c r="Q16" s="69"/>
      <c r="U16" s="160"/>
      <c r="V16" s="78"/>
      <c r="W16" s="78"/>
      <c r="X16" s="158"/>
      <c r="Y16" s="160"/>
      <c r="Z16" s="78"/>
      <c r="AA16" s="78"/>
    </row>
    <row r="17" spans="2:27">
      <c r="B17" s="67">
        <f t="shared" si="0"/>
        <v>2032</v>
      </c>
      <c r="C17" s="70"/>
      <c r="D17" s="68" cm="1">
        <f t="array" ref="D17">D16*INDEX('2025 IRP Assumptions'!$E$373:$E$396,'WD_.PX.DJW._.PTC.2030'!$B17-2023,1)/INDEX('2025 IRP Assumptions'!$E$373:$E$396,'WD_.PX.DJW._.PTC.2030'!$B17-2023-1,1)</f>
        <v>91.838600435101</v>
      </c>
      <c r="E17" s="68" cm="1">
        <f t="array" ref="E17">$E$9*INDEX('2025 IRP Assumptions'!$E$373:$E$396,'WD_.PX.DJW._.PTC.2030'!$B17-2023,1)</f>
        <v>37.609789348650004</v>
      </c>
      <c r="F17" s="264"/>
      <c r="G17" s="69">
        <f t="shared" si="1"/>
        <v>35.510070990841967</v>
      </c>
      <c r="H17" s="68"/>
      <c r="I17" s="68">
        <f t="shared" si="5"/>
        <v>-50.39</v>
      </c>
      <c r="J17" s="69">
        <f t="shared" si="2"/>
        <v>-14.879929009158033</v>
      </c>
      <c r="K17" s="69">
        <f t="shared" si="3"/>
        <v>-54.24</v>
      </c>
      <c r="L17" s="68">
        <f t="shared" si="4"/>
        <v>129.448389783751</v>
      </c>
      <c r="P17" s="78"/>
      <c r="Q17" s="69"/>
      <c r="T17" s="78"/>
      <c r="V17" s="78"/>
      <c r="W17" s="78"/>
      <c r="Y17" s="78"/>
      <c r="Z17" s="78"/>
      <c r="AA17" s="78"/>
    </row>
    <row r="18" spans="2:27">
      <c r="B18" s="67">
        <f t="shared" si="0"/>
        <v>2033</v>
      </c>
      <c r="C18" s="70"/>
      <c r="D18" s="68" cm="1">
        <f t="array" ref="D18">D17*INDEX('2025 IRP Assumptions'!$E$373:$E$396,'WD_.PX.DJW._.PTC.2030'!$B18-2023,1)/INDEX('2025 IRP Assumptions'!$E$373:$E$396,'WD_.PX.DJW._.PTC.2030'!$B18-2023-1,1)</f>
        <v>93.84068192568364</v>
      </c>
      <c r="E18" s="68" cm="1">
        <f t="array" ref="E18">$E$9*INDEX('2025 IRP Assumptions'!$E$373:$E$396,'WD_.PX.DJW._.PTC.2030'!$B18-2023,1)</f>
        <v>38.429682756899993</v>
      </c>
      <c r="F18" s="264"/>
      <c r="G18" s="69">
        <f t="shared" si="1"/>
        <v>36.284190538866653</v>
      </c>
      <c r="H18" s="68"/>
      <c r="I18" s="68">
        <f t="shared" si="5"/>
        <v>-50.39</v>
      </c>
      <c r="J18" s="69">
        <f t="shared" si="2"/>
        <v>-14.105809461133347</v>
      </c>
      <c r="K18" s="69">
        <f t="shared" si="3"/>
        <v>-51.42</v>
      </c>
      <c r="L18" s="68">
        <f t="shared" si="4"/>
        <v>132.27036468258365</v>
      </c>
      <c r="P18" s="78"/>
      <c r="Q18" s="69"/>
      <c r="T18" s="78"/>
      <c r="V18" s="78"/>
      <c r="W18" s="78"/>
      <c r="Y18" s="78"/>
      <c r="Z18" s="78"/>
      <c r="AA18" s="78"/>
    </row>
    <row r="19" spans="2:27">
      <c r="B19" s="67">
        <f t="shared" si="0"/>
        <v>2034</v>
      </c>
      <c r="C19" s="70"/>
      <c r="D19" s="68" cm="1">
        <f t="array" ref="D19">D18*INDEX('2025 IRP Assumptions'!$E$373:$E$396,'WD_.PX.DJW._.PTC.2030'!$B19-2023,1)/INDEX('2025 IRP Assumptions'!$E$373:$E$396,'WD_.PX.DJW._.PTC.2030'!$B19-2023-1,1)</f>
        <v>95.886408861622385</v>
      </c>
      <c r="E19" s="68" cm="1">
        <f t="array" ref="E19">$E$9*INDEX('2025 IRP Assumptions'!$E$373:$E$396,'WD_.PX.DJW._.PTC.2030'!$B19-2023,1)</f>
        <v>39.267449869649994</v>
      </c>
      <c r="F19" s="264"/>
      <c r="G19" s="69">
        <f t="shared" si="1"/>
        <v>37.075185919664051</v>
      </c>
      <c r="H19" s="68"/>
      <c r="I19" s="68">
        <f t="shared" si="5"/>
        <v>-51.71</v>
      </c>
      <c r="J19" s="69">
        <f t="shared" si="2"/>
        <v>-14.63481408033595</v>
      </c>
      <c r="K19" s="69">
        <f t="shared" si="3"/>
        <v>-53.35</v>
      </c>
      <c r="L19" s="68">
        <f t="shared" si="4"/>
        <v>135.15385873127238</v>
      </c>
      <c r="P19" s="78"/>
      <c r="Q19" s="69"/>
      <c r="T19" s="78"/>
      <c r="V19" s="78"/>
      <c r="W19" s="78"/>
      <c r="Y19" s="78"/>
      <c r="Z19" s="78"/>
      <c r="AA19" s="78"/>
    </row>
    <row r="20" spans="2:27">
      <c r="B20" s="67">
        <f t="shared" si="0"/>
        <v>2035</v>
      </c>
      <c r="C20" s="70"/>
      <c r="D20" s="68" cm="1">
        <f t="array" ref="D20">D19*INDEX('2025 IRP Assumptions'!$E$373:$E$396,'WD_.PX.DJW._.PTC.2030'!$B20-2023,1)/INDEX('2025 IRP Assumptions'!$E$373:$E$396,'WD_.PX.DJW._.PTC.2030'!$B20-2023-1,1)</f>
        <v>97.976732550244421</v>
      </c>
      <c r="E20" s="68" cm="1">
        <f t="array" ref="E20">$E$9*INDEX('2025 IRP Assumptions'!$E$373:$E$396,'WD_.PX.DJW._.PTC.2030'!$B20-2023,1)</f>
        <v>40.123480266749993</v>
      </c>
      <c r="F20" s="264"/>
      <c r="G20" s="69">
        <f t="shared" si="1"/>
        <v>37.883424963215909</v>
      </c>
      <c r="H20" s="68"/>
      <c r="I20" s="68">
        <f t="shared" si="5"/>
        <v>-53.04</v>
      </c>
      <c r="J20" s="69">
        <f t="shared" si="2"/>
        <v>-15.156575036784091</v>
      </c>
      <c r="K20" s="69">
        <f t="shared" si="3"/>
        <v>-55.25</v>
      </c>
      <c r="L20" s="68">
        <f t="shared" si="4"/>
        <v>138.10021281699443</v>
      </c>
      <c r="P20" s="78"/>
      <c r="Q20" s="69"/>
      <c r="T20" s="78"/>
      <c r="V20" s="78"/>
      <c r="W20" s="78"/>
      <c r="Y20" s="78"/>
      <c r="Z20" s="78"/>
      <c r="AA20" s="78"/>
    </row>
    <row r="21" spans="2:27">
      <c r="B21" s="67">
        <f t="shared" si="0"/>
        <v>2036</v>
      </c>
      <c r="C21" s="70"/>
      <c r="D21" s="68" cm="1">
        <f t="array" ref="D21">D20*INDEX('2025 IRP Assumptions'!$E$373:$E$396,'WD_.PX.DJW._.PTC.2030'!$B21-2023,1)/INDEX('2025 IRP Assumptions'!$E$373:$E$396,'WD_.PX.DJW._.PTC.2030'!$B21-2023-1,1)</f>
        <v>100.11262532053532</v>
      </c>
      <c r="E21" s="68" cm="1">
        <f t="array" ref="E21">$E$9*INDEX('2025 IRP Assumptions'!$E$373:$E$396,'WD_.PX.DJW._.PTC.2030'!$B21-2023,1)</f>
        <v>40.998172136849995</v>
      </c>
      <c r="F21" s="264"/>
      <c r="G21" s="69">
        <f t="shared" si="1"/>
        <v>38.709283627682957</v>
      </c>
      <c r="H21" s="68"/>
      <c r="I21" s="68">
        <f t="shared" si="5"/>
        <v>-54.37</v>
      </c>
      <c r="J21" s="69">
        <f t="shared" si="2"/>
        <v>-15.66071637231704</v>
      </c>
      <c r="K21" s="69">
        <f t="shared" si="3"/>
        <v>-57.09</v>
      </c>
      <c r="L21" s="68">
        <f t="shared" si="4"/>
        <v>141.1107974573853</v>
      </c>
      <c r="P21" s="78"/>
      <c r="Q21" s="69"/>
      <c r="T21" s="78"/>
      <c r="V21" s="78"/>
      <c r="W21" s="78"/>
      <c r="Y21" s="78"/>
      <c r="Z21" s="78"/>
      <c r="AA21" s="78"/>
    </row>
    <row r="22" spans="2:27">
      <c r="B22" s="67">
        <f t="shared" si="0"/>
        <v>2037</v>
      </c>
      <c r="C22" s="70"/>
      <c r="D22" s="68" cm="1">
        <f t="array" ref="D22">D21*INDEX('2025 IRP Assumptions'!$E$373:$E$396,'WD_.PX.DJW._.PTC.2030'!$B22-2023,1)/INDEX('2025 IRP Assumptions'!$E$373:$E$396,'WD_.PX.DJW._.PTC.2030'!$B22-2023-1,1)</f>
        <v>102.29508052313903</v>
      </c>
      <c r="E22" s="68" cm="1">
        <f t="array" ref="E22">$E$9*INDEX('2025 IRP Assumptions'!$E$373:$E$396,'WD_.PX.DJW._.PTC.2030'!$B22-2023,1)</f>
        <v>41.891932277399995</v>
      </c>
      <c r="F22" s="264"/>
      <c r="G22" s="69">
        <f t="shared" si="1"/>
        <v>39.553145999404926</v>
      </c>
      <c r="H22" s="68"/>
      <c r="I22" s="68">
        <f t="shared" si="5"/>
        <v>-55.69</v>
      </c>
      <c r="J22" s="69">
        <f t="shared" si="2"/>
        <v>-16.136854000595072</v>
      </c>
      <c r="K22" s="69">
        <f t="shared" si="3"/>
        <v>-58.83</v>
      </c>
      <c r="L22" s="68">
        <f t="shared" si="4"/>
        <v>144.18701280053904</v>
      </c>
      <c r="P22" s="78"/>
      <c r="Q22" s="69"/>
      <c r="T22" s="78"/>
      <c r="V22" s="78"/>
      <c r="W22" s="78"/>
      <c r="Y22" s="78"/>
      <c r="Z22" s="78"/>
      <c r="AA22" s="78"/>
    </row>
    <row r="23" spans="2:27">
      <c r="B23" s="67">
        <f t="shared" si="0"/>
        <v>2038</v>
      </c>
      <c r="C23" s="70"/>
      <c r="D23" s="68" cm="1">
        <f t="array" ref="D23">D22*INDEX('2025 IRP Assumptions'!$E$373:$E$396,'WD_.PX.DJW._.PTC.2030'!$B23-2023,1)/INDEX('2025 IRP Assumptions'!$E$373:$E$396,'WD_.PX.DJW._.PTC.2030'!$B23-2023-1,1)</f>
        <v>104.52511330321302</v>
      </c>
      <c r="E23" s="68" cm="1">
        <f t="array" ref="E23">$E$9*INDEX('2025 IRP Assumptions'!$E$373:$E$396,'WD_.PX.DJW._.PTC.2030'!$B23-2023,1)</f>
        <v>42.805176411150001</v>
      </c>
      <c r="F23" s="264"/>
      <c r="G23" s="69">
        <f t="shared" si="1"/>
        <v>40.415404591730614</v>
      </c>
      <c r="H23" s="68"/>
      <c r="I23" s="68">
        <f t="shared" si="5"/>
        <v>-55.69</v>
      </c>
      <c r="J23" s="69">
        <f t="shared" si="2"/>
        <v>-15.274595408269384</v>
      </c>
      <c r="K23" s="69">
        <f t="shared" si="3"/>
        <v>-55.68</v>
      </c>
      <c r="L23" s="68">
        <f t="shared" si="4"/>
        <v>147.330289714363</v>
      </c>
      <c r="P23" s="78"/>
      <c r="Q23" s="69"/>
      <c r="T23" s="78"/>
      <c r="V23" s="78"/>
      <c r="W23" s="78"/>
      <c r="Y23" s="78"/>
      <c r="Z23" s="78"/>
      <c r="AA23" s="78"/>
    </row>
    <row r="24" spans="2:27">
      <c r="B24" s="67">
        <f t="shared" si="0"/>
        <v>2039</v>
      </c>
      <c r="C24" s="70"/>
      <c r="D24" s="68" cm="1">
        <f t="array" ref="D24">D23*INDEX('2025 IRP Assumptions'!$E$373:$E$396,'WD_.PX.DJW._.PTC.2030'!$B24-2023,1)/INDEX('2025 IRP Assumptions'!$E$373:$E$396,'WD_.PX.DJW._.PTC.2030'!$B24-2023-1,1)</f>
        <v>106.80376075499913</v>
      </c>
      <c r="E24" s="68" cm="1">
        <f t="array" ref="E24">$E$9*INDEX('2025 IRP Assumptions'!$E$373:$E$396,'WD_.PX.DJW._.PTC.2030'!$B24-2023,1)</f>
        <v>43.738329249449997</v>
      </c>
      <c r="F24" s="264"/>
      <c r="G24" s="69">
        <f t="shared" si="1"/>
        <v>41.296460404783929</v>
      </c>
      <c r="H24" s="68"/>
      <c r="I24" s="68">
        <f t="shared" si="5"/>
        <v>-57.02</v>
      </c>
      <c r="J24" s="69">
        <f t="shared" si="2"/>
        <v>-15.723539595216074</v>
      </c>
      <c r="K24" s="69">
        <f t="shared" si="3"/>
        <v>-57.32</v>
      </c>
      <c r="L24" s="68">
        <f t="shared" si="4"/>
        <v>150.54209000444914</v>
      </c>
      <c r="P24" s="78"/>
      <c r="Q24" s="69"/>
      <c r="T24" s="78"/>
      <c r="V24" s="78"/>
      <c r="W24" s="78"/>
      <c r="Y24" s="78"/>
      <c r="Z24" s="78"/>
      <c r="AA24" s="78"/>
    </row>
    <row r="25" spans="2:27">
      <c r="B25" s="67">
        <f t="shared" si="0"/>
        <v>2040</v>
      </c>
      <c r="C25" s="70"/>
      <c r="D25" s="68" cm="1">
        <f t="array" ref="D25">D24*INDEX('2025 IRP Assumptions'!$E$373:$E$396,'WD_.PX.DJW._.PTC.2030'!$B25-2023,1)/INDEX('2025 IRP Assumptions'!$E$373:$E$396,'WD_.PX.DJW._.PTC.2030'!$B25-2023-1,1)</f>
        <v>109.13208277196439</v>
      </c>
      <c r="E25" s="68" cm="1">
        <f t="array" ref="E25">$E$9*INDEX('2025 IRP Assumptions'!$E$373:$E$396,'WD_.PX.DJW._.PTC.2030'!$B25-2023,1)</f>
        <v>44.691824840399995</v>
      </c>
      <c r="F25" s="264"/>
      <c r="G25" s="69">
        <f t="shared" si="1"/>
        <v>42.196723254177009</v>
      </c>
      <c r="H25" s="68"/>
      <c r="I25" s="68"/>
      <c r="J25" s="69">
        <f t="shared" si="2"/>
        <v>42.196723254177009</v>
      </c>
      <c r="K25" s="69">
        <f t="shared" si="3"/>
        <v>153.82</v>
      </c>
      <c r="L25" s="68">
        <f t="shared" si="4"/>
        <v>153.82390761236439</v>
      </c>
      <c r="P25" s="78"/>
      <c r="Q25" s="69"/>
      <c r="T25" s="78"/>
      <c r="V25" s="78"/>
      <c r="W25" s="78"/>
      <c r="Y25" s="78"/>
      <c r="Z25" s="78"/>
      <c r="AA25" s="78"/>
    </row>
    <row r="26" spans="2:27">
      <c r="B26" s="67">
        <f t="shared" si="0"/>
        <v>2041</v>
      </c>
      <c r="C26" s="70"/>
      <c r="D26" s="68" cm="1">
        <f t="array" ref="D26">D25*INDEX('2025 IRP Assumptions'!$E$373:$E$396,'WD_.PX.DJW._.PTC.2030'!$B26-2023,1)/INDEX('2025 IRP Assumptions'!$E$373:$E$396,'WD_.PX.DJW._.PTC.2030'!$B26-2023-1,1)</f>
        <v>111.51116212408637</v>
      </c>
      <c r="E26" s="68" cm="1">
        <f t="array" ref="E26">$E$9*INDEX('2025 IRP Assumptions'!$E$373:$E$396,'WD_.PX.DJW._.PTC.2030'!$B26-2023,1)</f>
        <v>45.666106600499994</v>
      </c>
      <c r="F26" s="264"/>
      <c r="G26" s="69">
        <f t="shared" si="1"/>
        <v>43.116611800893239</v>
      </c>
      <c r="H26" s="68"/>
      <c r="I26" s="68"/>
      <c r="J26" s="69">
        <f t="shared" si="2"/>
        <v>43.116611800893239</v>
      </c>
      <c r="K26" s="69">
        <f t="shared" si="3"/>
        <v>157.18</v>
      </c>
      <c r="L26" s="68">
        <f t="shared" si="4"/>
        <v>157.17726872458636</v>
      </c>
      <c r="P26" s="78"/>
      <c r="Q26" s="69"/>
    </row>
    <row r="27" spans="2:27">
      <c r="B27" s="67">
        <f t="shared" si="0"/>
        <v>2042</v>
      </c>
      <c r="C27" s="70"/>
      <c r="D27" s="68" cm="1">
        <f t="array" ref="D27">D26*INDEX('2025 IRP Assumptions'!$E$373:$E$396,'WD_.PX.DJW._.PTC.2030'!$B27-2023,1)/INDEX('2025 IRP Assumptions'!$E$373:$E$396,'WD_.PX.DJW._.PTC.2030'!$B27-2023-1,1)</f>
        <v>113.94210546256487</v>
      </c>
      <c r="E27" s="68" cm="1">
        <f t="array" ref="E27">$E$9*INDEX('2025 IRP Assumptions'!$E$373:$E$396,'WD_.PX.DJW._.PTC.2030'!$B27-2023,1)</f>
        <v>46.661627726100001</v>
      </c>
      <c r="F27" s="264"/>
      <c r="G27" s="69">
        <f t="shared" si="1"/>
        <v>44.056553939766403</v>
      </c>
      <c r="H27" s="68"/>
      <c r="I27" s="68"/>
      <c r="J27" s="69">
        <f t="shared" si="2"/>
        <v>44.056553939766403</v>
      </c>
      <c r="K27" s="69">
        <f t="shared" si="3"/>
        <v>160.6</v>
      </c>
      <c r="L27" s="68">
        <f t="shared" si="4"/>
        <v>160.60373318866488</v>
      </c>
      <c r="P27" s="78"/>
      <c r="Q27" s="69"/>
    </row>
    <row r="28" spans="2:27">
      <c r="B28" s="67">
        <f t="shared" si="0"/>
        <v>2043</v>
      </c>
      <c r="C28" s="70"/>
      <c r="D28" s="68" cm="1">
        <f t="array" ref="D28">D27*INDEX('2025 IRP Assumptions'!$E$373:$E$396,'WD_.PX.DJW._.PTC.2030'!$B28-2023,1)/INDEX('2025 IRP Assumptions'!$E$373:$E$396,'WD_.PX.DJW._.PTC.2030'!$B28-2023-1,1)</f>
        <v>116.42604339710736</v>
      </c>
      <c r="E28" s="68" cm="1">
        <f t="array" ref="E28">$E$9*INDEX('2025 IRP Assumptions'!$E$373:$E$396,'WD_.PX.DJW._.PTC.2030'!$B28-2023,1)</f>
        <v>47.678851225049996</v>
      </c>
      <c r="F28" s="264"/>
      <c r="G28" s="69">
        <f t="shared" si="1"/>
        <v>45.016986829363624</v>
      </c>
      <c r="H28" s="68"/>
      <c r="I28" s="68"/>
      <c r="J28" s="69">
        <f t="shared" si="2"/>
        <v>45.016986829363624</v>
      </c>
      <c r="K28" s="69">
        <f t="shared" si="3"/>
        <v>164.1</v>
      </c>
      <c r="L28" s="68">
        <f t="shared" si="4"/>
        <v>164.10489462215736</v>
      </c>
      <c r="P28" s="78"/>
      <c r="Q28" s="69"/>
    </row>
    <row r="29" spans="2:27">
      <c r="B29" s="67">
        <f t="shared" si="0"/>
        <v>2044</v>
      </c>
      <c r="C29" s="70"/>
      <c r="D29" s="68" cm="1">
        <f t="array" ref="D29">D28*INDEX('2025 IRP Assumptions'!$E$373:$E$396,'WD_.PX.DJW._.PTC.2030'!$B29-2023,1)/INDEX('2025 IRP Assumptions'!$E$373:$E$396,'WD_.PX.DJW._.PTC.2030'!$B29-2023-1,1)</f>
        <v>118.96413111421316</v>
      </c>
      <c r="E29" s="68" cm="1">
        <f t="array" ref="E29">$E$9*INDEX('2025 IRP Assumptions'!$E$373:$E$396,'WD_.PX.DJW._.PTC.2030'!$B29-2023,1)</f>
        <v>48.718250169900003</v>
      </c>
      <c r="F29" s="264"/>
      <c r="G29" s="69">
        <f t="shared" si="1"/>
        <v>45.99835713104958</v>
      </c>
      <c r="H29" s="68"/>
      <c r="I29" s="68"/>
      <c r="J29" s="69">
        <f t="shared" si="2"/>
        <v>45.99835713104958</v>
      </c>
      <c r="K29" s="69">
        <f t="shared" si="3"/>
        <v>167.68</v>
      </c>
      <c r="L29" s="68">
        <f t="shared" si="4"/>
        <v>167.68238128411315</v>
      </c>
      <c r="P29" s="78"/>
      <c r="Q29" s="69"/>
    </row>
    <row r="30" spans="2:27">
      <c r="B30" s="67">
        <f t="shared" si="0"/>
        <v>2045</v>
      </c>
      <c r="C30" s="70"/>
      <c r="D30" s="68" cm="1">
        <f t="array" ref="D30">D29*INDEX('2025 IRP Assumptions'!$E$373:$E$396,'WD_.PX.DJW._.PTC.2030'!$B30-2023,1)/INDEX('2025 IRP Assumptions'!$E$373:$E$396,'WD_.PX.DJW._.PTC.2030'!$B30-2023-1,1)</f>
        <v>121.5575492273139</v>
      </c>
      <c r="E30" s="68" cm="1">
        <f t="array" ref="E30">$E$9*INDEX('2025 IRP Assumptions'!$E$373:$E$396,'WD_.PX.DJW._.PTC.2030'!$B30-2023,1)</f>
        <v>49.780308046050003</v>
      </c>
      <c r="F30" s="264"/>
      <c r="G30" s="69">
        <f t="shared" si="1"/>
        <v>47.001121337699495</v>
      </c>
      <c r="H30" s="68"/>
      <c r="I30" s="68"/>
      <c r="J30" s="69">
        <f t="shared" si="2"/>
        <v>47.001121337699495</v>
      </c>
      <c r="K30" s="69">
        <f t="shared" si="3"/>
        <v>171.34</v>
      </c>
      <c r="L30" s="68">
        <f t="shared" si="4"/>
        <v>171.33785727336391</v>
      </c>
      <c r="P30" s="78"/>
      <c r="Q30" s="69"/>
    </row>
    <row r="31" spans="2:27">
      <c r="B31" s="67">
        <f t="shared" si="0"/>
        <v>2046</v>
      </c>
      <c r="C31" s="70"/>
      <c r="D31" s="68" cm="1">
        <f t="array" ref="D31">D30*INDEX('2025 IRP Assumptions'!$E$373:$E$396,'WD_.PX.DJW._.PTC.2030'!$B31-2023,1)/INDEX('2025 IRP Assumptions'!$E$373:$E$396,'WD_.PX.DJW._.PTC.2030'!$B31-2023-1,1)</f>
        <v>124.20750377677359</v>
      </c>
      <c r="E31" s="68" cm="1">
        <f t="array" ref="E31">$E$9*INDEX('2025 IRP Assumptions'!$E$373:$E$396,'WD_.PX.DJW._.PTC.2030'!$B31-2023,1)</f>
        <v>50.865518751749995</v>
      </c>
      <c r="F31" s="264"/>
      <c r="G31" s="69">
        <f t="shared" si="1"/>
        <v>48.025745773699207</v>
      </c>
      <c r="H31" s="68"/>
      <c r="I31" s="68"/>
      <c r="J31" s="69">
        <f t="shared" si="2"/>
        <v>48.025745773699207</v>
      </c>
      <c r="K31" s="69">
        <f t="shared" si="3"/>
        <v>175.07</v>
      </c>
      <c r="L31" s="68">
        <f t="shared" si="4"/>
        <v>175.07302252852358</v>
      </c>
      <c r="P31" s="78"/>
      <c r="Q31" s="69"/>
    </row>
    <row r="32" spans="2:27">
      <c r="B32" s="67">
        <f t="shared" si="0"/>
        <v>2047</v>
      </c>
      <c r="C32" s="70"/>
      <c r="D32" s="68" cm="1">
        <f t="array" ref="D32">D31*INDEX('2025 IRP Assumptions'!$E$373:$E$396,'WD_.PX.DJW._.PTC.2030'!$B32-2023,1)/INDEX('2025 IRP Assumptions'!$E$373:$E$396,'WD_.PX.DJW._.PTC.2030'!$B32-2023-1,1)</f>
        <v>126.9152273118858</v>
      </c>
      <c r="E32" s="68" cm="1">
        <f t="array" ref="E32">$E$9*INDEX('2025 IRP Assumptions'!$E$373:$E$396,'WD_.PX.DJW._.PTC.2030'!$B32-2023,1)</f>
        <v>51.974387041199996</v>
      </c>
      <c r="F32" s="264"/>
      <c r="G32" s="69">
        <f t="shared" si="1"/>
        <v>49.07270701330733</v>
      </c>
      <c r="H32" s="68"/>
      <c r="I32" s="68"/>
      <c r="J32" s="69">
        <f t="shared" si="2"/>
        <v>49.07270701330733</v>
      </c>
      <c r="K32" s="69">
        <f t="shared" si="3"/>
        <v>178.89</v>
      </c>
      <c r="L32" s="68">
        <f t="shared" si="4"/>
        <v>178.88961435308579</v>
      </c>
      <c r="P32" s="78"/>
      <c r="Q32" s="69"/>
    </row>
    <row r="33" spans="2:17" ht="15">
      <c r="B33" s="67">
        <f t="shared" si="0"/>
        <v>2048</v>
      </c>
      <c r="C33" s="70"/>
      <c r="D33" s="259">
        <f t="shared" ref="D33:E35" si="6">D32*D32/D31</f>
        <v>129.68197921903402</v>
      </c>
      <c r="E33" s="259">
        <f t="shared" si="6"/>
        <v>53.107428658938439</v>
      </c>
      <c r="F33" s="264"/>
      <c r="G33" s="69">
        <f t="shared" si="1"/>
        <v>50.142492007540866</v>
      </c>
      <c r="H33" s="68"/>
      <c r="I33" s="259"/>
      <c r="J33" s="69">
        <f t="shared" si="2"/>
        <v>50.142492007540866</v>
      </c>
      <c r="K33" s="69">
        <f t="shared" si="3"/>
        <v>182.79</v>
      </c>
      <c r="L33" s="68">
        <f t="shared" si="4"/>
        <v>182.78940787797245</v>
      </c>
      <c r="P33" s="78"/>
      <c r="Q33" s="69"/>
    </row>
    <row r="34" spans="2:17" ht="15">
      <c r="B34" s="67">
        <f t="shared" si="0"/>
        <v>2049</v>
      </c>
      <c r="C34" s="70"/>
      <c r="D34" s="259">
        <f t="shared" si="6"/>
        <v>132.50904631670619</v>
      </c>
      <c r="E34" s="259">
        <f t="shared" si="6"/>
        <v>54.26517058351282</v>
      </c>
      <c r="F34" s="264"/>
      <c r="G34" s="69">
        <f t="shared" si="1"/>
        <v>51.23559831424199</v>
      </c>
      <c r="H34" s="68"/>
      <c r="I34" s="259"/>
      <c r="J34" s="69">
        <f t="shared" si="2"/>
        <v>51.23559831424199</v>
      </c>
      <c r="K34" s="69">
        <f t="shared" si="3"/>
        <v>186.77</v>
      </c>
      <c r="L34" s="68">
        <f t="shared" si="4"/>
        <v>186.77421690021902</v>
      </c>
      <c r="P34" s="78"/>
      <c r="Q34" s="69"/>
    </row>
    <row r="35" spans="2:17" ht="15">
      <c r="B35" s="67">
        <f t="shared" si="0"/>
        <v>2050</v>
      </c>
      <c r="C35" s="70"/>
      <c r="D35" s="259">
        <f t="shared" si="6"/>
        <v>135.39774347603282</v>
      </c>
      <c r="E35" s="259">
        <f t="shared" si="6"/>
        <v>55.448151281602769</v>
      </c>
      <c r="F35" s="264"/>
      <c r="G35" s="69">
        <f t="shared" si="1"/>
        <v>52.352534338013612</v>
      </c>
      <c r="H35" s="68"/>
      <c r="I35" s="259"/>
      <c r="J35" s="69">
        <f t="shared" si="2"/>
        <v>52.352534338013612</v>
      </c>
      <c r="K35" s="69">
        <f t="shared" si="3"/>
        <v>190.85</v>
      </c>
      <c r="L35" s="68">
        <f t="shared" si="4"/>
        <v>190.84589475763559</v>
      </c>
      <c r="P35" s="78"/>
      <c r="Q35" s="69"/>
    </row>
    <row r="36" spans="2:17" ht="15">
      <c r="B36" s="67">
        <f t="shared" si="0"/>
        <v>2051</v>
      </c>
      <c r="C36" s="70"/>
      <c r="D36" s="259">
        <f t="shared" ref="D36:E36" si="7">D35*D35/D34</f>
        <v>138.34941423233451</v>
      </c>
      <c r="E36" s="259">
        <f t="shared" si="7"/>
        <v>56.656920958461328</v>
      </c>
      <c r="F36" s="264"/>
      <c r="G36" s="69">
        <f t="shared" si="1"/>
        <v>53.493819566678802</v>
      </c>
      <c r="H36" s="68"/>
      <c r="I36" s="259"/>
      <c r="J36" s="69">
        <f t="shared" ref="J36:J46" si="8">(G36+H36+I36)</f>
        <v>53.493819566678802</v>
      </c>
      <c r="K36" s="69">
        <f t="shared" si="3"/>
        <v>195.01</v>
      </c>
      <c r="L36" s="68">
        <f t="shared" ref="L36:L46" si="9">(D36+E36+F36)</f>
        <v>195.00633519079582</v>
      </c>
      <c r="P36" s="78"/>
      <c r="Q36" s="69"/>
    </row>
    <row r="37" spans="2:17" ht="15">
      <c r="B37" s="67">
        <f t="shared" si="0"/>
        <v>2052</v>
      </c>
      <c r="C37" s="70"/>
      <c r="D37" s="259">
        <f t="shared" ref="D37:E37" si="10">D36*D36/D35</f>
        <v>141.36543141000141</v>
      </c>
      <c r="E37" s="259">
        <f t="shared" si="10"/>
        <v>57.892041813815851</v>
      </c>
      <c r="F37" s="264"/>
      <c r="G37" s="69">
        <f t="shared" si="1"/>
        <v>54.659984812895011</v>
      </c>
      <c r="H37" s="68"/>
      <c r="I37" s="259"/>
      <c r="J37" s="69">
        <f t="shared" si="8"/>
        <v>54.659984812895011</v>
      </c>
      <c r="K37" s="69">
        <f t="shared" si="3"/>
        <v>199.26</v>
      </c>
      <c r="L37" s="68">
        <f t="shared" si="9"/>
        <v>199.25747322381727</v>
      </c>
      <c r="P37" s="78"/>
      <c r="Q37" s="69"/>
    </row>
    <row r="38" spans="2:17" ht="15">
      <c r="B38" s="67">
        <f t="shared" si="0"/>
        <v>2053</v>
      </c>
      <c r="C38" s="70"/>
      <c r="D38" s="259">
        <f t="shared" ref="D38:E38" si="11">D37*D37/D36</f>
        <v>144.44719776099481</v>
      </c>
      <c r="E38" s="259">
        <f t="shared" si="11"/>
        <v>59.154088303347535</v>
      </c>
      <c r="F38" s="264"/>
      <c r="G38" s="69">
        <f t="shared" si="1"/>
        <v>55.851572461035367</v>
      </c>
      <c r="H38" s="68"/>
      <c r="I38" s="259"/>
      <c r="J38" s="69">
        <f t="shared" si="8"/>
        <v>55.851572461035367</v>
      </c>
      <c r="K38" s="69">
        <f t="shared" si="3"/>
        <v>203.6</v>
      </c>
      <c r="L38" s="68">
        <f t="shared" si="9"/>
        <v>203.60128606434233</v>
      </c>
      <c r="P38" s="78"/>
      <c r="Q38" s="69"/>
    </row>
    <row r="39" spans="2:17" ht="15">
      <c r="B39" s="67">
        <f t="shared" si="0"/>
        <v>2054</v>
      </c>
      <c r="C39" s="70"/>
      <c r="D39" s="259">
        <f t="shared" ref="D39:E39" si="12">D38*D38/D37</f>
        <v>147.59614661726823</v>
      </c>
      <c r="E39" s="259">
        <f t="shared" si="12"/>
        <v>60.443647405871204</v>
      </c>
      <c r="F39" s="264"/>
      <c r="G39" s="69">
        <f t="shared" si="1"/>
        <v>57.069136719452175</v>
      </c>
      <c r="H39" s="68"/>
      <c r="I39" s="259"/>
      <c r="J39" s="69">
        <f t="shared" si="8"/>
        <v>57.069136719452175</v>
      </c>
      <c r="K39" s="69">
        <f t="shared" si="3"/>
        <v>208.04</v>
      </c>
      <c r="L39" s="68">
        <f t="shared" si="9"/>
        <v>208.03979402313945</v>
      </c>
      <c r="P39" s="78"/>
      <c r="Q39" s="69"/>
    </row>
    <row r="40" spans="2:17" ht="15">
      <c r="B40" s="67">
        <f t="shared" si="0"/>
        <v>2055</v>
      </c>
      <c r="C40" s="70"/>
      <c r="D40" s="259">
        <f t="shared" ref="D40:E40" si="13">D39*D39/D38</f>
        <v>150.81374255741125</v>
      </c>
      <c r="E40" s="259">
        <f t="shared" si="13"/>
        <v>61.761318896339617</v>
      </c>
      <c r="F40" s="264"/>
      <c r="G40" s="69">
        <f t="shared" si="1"/>
        <v>58.313243878239561</v>
      </c>
      <c r="H40" s="68"/>
      <c r="I40" s="259"/>
      <c r="J40" s="69">
        <f t="shared" si="8"/>
        <v>58.313243878239561</v>
      </c>
      <c r="K40" s="69">
        <f t="shared" si="3"/>
        <v>212.58</v>
      </c>
      <c r="L40" s="68">
        <f t="shared" si="9"/>
        <v>212.57506145375086</v>
      </c>
      <c r="P40" s="78"/>
      <c r="Q40" s="69"/>
    </row>
    <row r="41" spans="2:17" ht="15">
      <c r="B41" s="67">
        <f t="shared" si="0"/>
        <v>2056</v>
      </c>
      <c r="C41" s="70"/>
      <c r="D41" s="259">
        <f t="shared" ref="D41:E41" si="14">D40*D40/D39</f>
        <v>154.1014820878261</v>
      </c>
      <c r="E41" s="259">
        <f t="shared" si="14"/>
        <v>63.10771562479929</v>
      </c>
      <c r="F41" s="264"/>
      <c r="G41" s="69">
        <f t="shared" si="1"/>
        <v>59.584472572615525</v>
      </c>
      <c r="H41" s="68"/>
      <c r="I41" s="259"/>
      <c r="J41" s="69">
        <f t="shared" si="8"/>
        <v>59.584472572615525</v>
      </c>
      <c r="K41" s="69">
        <f t="shared" si="3"/>
        <v>217.21</v>
      </c>
      <c r="L41" s="68">
        <f t="shared" si="9"/>
        <v>217.20919771262538</v>
      </c>
      <c r="P41" s="78"/>
      <c r="Q41" s="69"/>
    </row>
    <row r="42" spans="2:17" ht="15">
      <c r="B42" s="67">
        <f t="shared" si="0"/>
        <v>2057</v>
      </c>
      <c r="C42" s="70"/>
      <c r="D42" s="259">
        <f t="shared" ref="D42:E42" si="15">D41*D41/D40</f>
        <v>157.46089433875406</v>
      </c>
      <c r="E42" s="259">
        <f t="shared" si="15"/>
        <v>64.483463801427504</v>
      </c>
      <c r="F42" s="264"/>
      <c r="G42" s="69">
        <f t="shared" si="1"/>
        <v>60.883414052045602</v>
      </c>
      <c r="H42" s="68"/>
      <c r="I42" s="259"/>
      <c r="J42" s="69">
        <f t="shared" si="8"/>
        <v>60.883414052045602</v>
      </c>
      <c r="K42" s="69">
        <f t="shared" si="3"/>
        <v>221.94</v>
      </c>
      <c r="L42" s="68">
        <f t="shared" si="9"/>
        <v>221.94435814018158</v>
      </c>
      <c r="P42" s="78"/>
      <c r="Q42" s="69"/>
    </row>
    <row r="43" spans="2:17" ht="15">
      <c r="B43" s="67">
        <f t="shared" si="0"/>
        <v>2058</v>
      </c>
      <c r="C43" s="70"/>
      <c r="D43" s="259">
        <f t="shared" ref="D43:E43" si="16">D42*D42/D41</f>
        <v>160.89354177547506</v>
      </c>
      <c r="E43" s="259">
        <f t="shared" si="16"/>
        <v>65.889203287783189</v>
      </c>
      <c r="F43" s="264"/>
      <c r="G43" s="69">
        <f t="shared" si="1"/>
        <v>62.2106724552334</v>
      </c>
      <c r="H43" s="68"/>
      <c r="I43" s="259"/>
      <c r="J43" s="69">
        <f t="shared" si="8"/>
        <v>62.2106724552334</v>
      </c>
      <c r="K43" s="69">
        <f t="shared" si="3"/>
        <v>226.78</v>
      </c>
      <c r="L43" s="68">
        <f t="shared" si="9"/>
        <v>226.78274506325823</v>
      </c>
      <c r="P43" s="78"/>
      <c r="Q43" s="69"/>
    </row>
    <row r="44" spans="2:17" ht="15">
      <c r="B44" s="67">
        <f t="shared" si="0"/>
        <v>2059</v>
      </c>
      <c r="C44" s="70"/>
      <c r="D44" s="259">
        <f t="shared" ref="D44:E44" si="17">D43*D43/D42</f>
        <v>164.40102092501155</v>
      </c>
      <c r="E44" s="259">
        <f t="shared" si="17"/>
        <v>67.325587894406993</v>
      </c>
      <c r="F44" s="264"/>
      <c r="G44" s="69">
        <f t="shared" si="1"/>
        <v>63.566865091106109</v>
      </c>
      <c r="H44" s="68"/>
      <c r="I44" s="259"/>
      <c r="J44" s="69">
        <f t="shared" si="8"/>
        <v>63.566865091106109</v>
      </c>
      <c r="K44" s="69">
        <f t="shared" si="3"/>
        <v>231.73</v>
      </c>
      <c r="L44" s="68">
        <f t="shared" si="9"/>
        <v>231.72660881941854</v>
      </c>
      <c r="P44" s="78"/>
      <c r="Q44" s="69"/>
    </row>
    <row r="45" spans="2:17" ht="15">
      <c r="B45" s="67">
        <f t="shared" si="0"/>
        <v>2060</v>
      </c>
      <c r="C45" s="70"/>
      <c r="D45" s="259">
        <f t="shared" ref="D45:E45" si="18">D44*D44/D43</f>
        <v>167.98496311867447</v>
      </c>
      <c r="E45" s="259">
        <f t="shared" si="18"/>
        <v>68.793285684909108</v>
      </c>
      <c r="F45" s="264"/>
      <c r="G45" s="69">
        <f t="shared" si="1"/>
        <v>64.952622725925252</v>
      </c>
      <c r="H45" s="68"/>
      <c r="I45" s="259"/>
      <c r="J45" s="69">
        <f t="shared" si="8"/>
        <v>64.952622725925252</v>
      </c>
      <c r="K45" s="69">
        <f t="shared" si="3"/>
        <v>236.78</v>
      </c>
      <c r="L45" s="68">
        <f t="shared" si="9"/>
        <v>236.77824880358358</v>
      </c>
      <c r="P45" s="78"/>
      <c r="Q45" s="69"/>
    </row>
    <row r="46" spans="2:17" ht="15">
      <c r="B46" s="67">
        <f t="shared" si="0"/>
        <v>2061</v>
      </c>
      <c r="C46" s="70"/>
      <c r="D46" s="259">
        <f t="shared" ref="D46:E46" si="19">D45*D45/D44</f>
        <v>171.6470352507967</v>
      </c>
      <c r="E46" s="259">
        <f t="shared" si="19"/>
        <v>70.292979286686176</v>
      </c>
      <c r="F46" s="264"/>
      <c r="G46" s="69">
        <f t="shared" si="1"/>
        <v>66.3685898766566</v>
      </c>
      <c r="H46" s="68"/>
      <c r="I46" s="259"/>
      <c r="J46" s="69">
        <f t="shared" si="8"/>
        <v>66.3685898766566</v>
      </c>
      <c r="K46" s="69">
        <f t="shared" si="3"/>
        <v>241.94</v>
      </c>
      <c r="L46" s="68">
        <f t="shared" si="9"/>
        <v>241.94001453748288</v>
      </c>
      <c r="P46" s="78"/>
      <c r="Q46" s="69"/>
    </row>
    <row r="47" spans="2:17">
      <c r="B47" s="67"/>
      <c r="C47" s="70"/>
      <c r="D47" s="68"/>
      <c r="E47" s="68"/>
      <c r="F47" s="68"/>
      <c r="G47" s="69"/>
      <c r="H47" s="68"/>
      <c r="I47" s="68"/>
      <c r="J47" s="68"/>
      <c r="K47" s="68"/>
      <c r="L47" s="68"/>
      <c r="M47" s="68"/>
    </row>
    <row r="48" spans="2:17">
      <c r="B48" s="67" t="s">
        <v>307</v>
      </c>
      <c r="F48" s="68">
        <f>NPV(Discount_Rate,F15:F44)</f>
        <v>0</v>
      </c>
      <c r="G48" s="69"/>
      <c r="H48" s="68"/>
      <c r="I48" s="68"/>
      <c r="J48" s="69">
        <f>-PMT(Discount_Rate,COUNT(J$15:J$44),NPV(Discount_Rate,J$15:J$44))</f>
        <v>14.527484781733044</v>
      </c>
      <c r="K48" s="69">
        <f>-PMT(Discount_Rate,COUNT(K$15:K$44),NPV(Discount_Rate,K$15:K$44))</f>
        <v>52.957964289160955</v>
      </c>
      <c r="L48" s="69">
        <f>-PMT(Discount_Rate,COUNT(L$15:L$44),NPV(Discount_Rate,L$15:L$44))</f>
        <v>156.57463760784563</v>
      </c>
      <c r="M48" s="72"/>
    </row>
    <row r="49" spans="2:20" ht="14.25">
      <c r="B49" s="73" t="s">
        <v>25</v>
      </c>
      <c r="C49" s="74"/>
      <c r="D49" s="74"/>
      <c r="E49" s="74"/>
      <c r="F49" s="74"/>
      <c r="G49" s="74"/>
      <c r="H49" s="74"/>
      <c r="I49" s="74"/>
    </row>
    <row r="51" spans="2:20">
      <c r="B51" s="60" t="s">
        <v>59</v>
      </c>
      <c r="C51" s="75" t="s">
        <v>60</v>
      </c>
      <c r="D51" s="146" t="s">
        <v>186</v>
      </c>
    </row>
    <row r="52" spans="2:20">
      <c r="C52" s="75" t="str">
        <f>C7</f>
        <v>(a)</v>
      </c>
      <c r="D52" s="60" t="s">
        <v>61</v>
      </c>
    </row>
    <row r="53" spans="2:20">
      <c r="C53" s="75" t="str">
        <f>D7</f>
        <v>(b)</v>
      </c>
      <c r="D53" s="69" t="str">
        <f>"= "&amp;C7&amp;" x "&amp;C60</f>
        <v>= (a) x 0.06316</v>
      </c>
    </row>
    <row r="54" spans="2:20">
      <c r="C54" s="75">
        <f>F7</f>
        <v>0</v>
      </c>
      <c r="D54" s="69" t="str">
        <f>"= ("&amp;$D$7&amp;" + "&amp;$E$7&amp;") /  (8.76 x "&amp;TEXT(C61,"0.0%")&amp;")"</f>
        <v>= ((b) + (c)) /  (8.76 x 41.6%)</v>
      </c>
    </row>
    <row r="55" spans="2:20">
      <c r="C55" s="75" t="str">
        <f>J7</f>
        <v>(g)</v>
      </c>
      <c r="D55" s="69" t="str">
        <f>"= "&amp;$G$7&amp;" + "&amp;$H$7</f>
        <v>= (e) + (f)</v>
      </c>
    </row>
    <row r="56" spans="2:20">
      <c r="C56" s="75" t="str">
        <f>K7</f>
        <v>(h)</v>
      </c>
      <c r="D56" t="str">
        <f>D51</f>
        <v>Plant Costs  - 2025 IRP - Table 7.1 &amp; 7.2</v>
      </c>
    </row>
    <row r="57" spans="2:20">
      <c r="Q57" s="60" t="s">
        <v>82</v>
      </c>
      <c r="R57" s="67">
        <v>2030</v>
      </c>
      <c r="T57" s="156" t="s">
        <v>149</v>
      </c>
    </row>
    <row r="58" spans="2:20">
      <c r="B58"/>
      <c r="C58" s="274"/>
      <c r="P58" s="143"/>
      <c r="T58" s="156"/>
    </row>
    <row r="59" spans="2:20">
      <c r="B59"/>
      <c r="C59" s="275"/>
      <c r="Q59" s="60" t="s">
        <v>189</v>
      </c>
      <c r="R59" s="78">
        <v>100</v>
      </c>
    </row>
    <row r="60" spans="2:20">
      <c r="C60" s="154">
        <v>6.3159999999999994E-2</v>
      </c>
      <c r="D60" s="60" t="s">
        <v>197</v>
      </c>
      <c r="E60" s="150"/>
      <c r="F60" s="273" t="s">
        <v>198</v>
      </c>
      <c r="J60" s="258"/>
      <c r="L60" s="145"/>
      <c r="M60" s="80"/>
      <c r="N60" s="80"/>
      <c r="P60" s="81"/>
    </row>
    <row r="61" spans="2:20">
      <c r="C61" s="154">
        <v>0.41614147855251299</v>
      </c>
      <c r="D61" s="60" t="s">
        <v>35</v>
      </c>
    </row>
    <row r="62" spans="2:20">
      <c r="C62" s="161"/>
      <c r="D62" s="79"/>
      <c r="H62" s="348">
        <v>1.1000000000000001</v>
      </c>
      <c r="I62" s="60" t="s">
        <v>305</v>
      </c>
    </row>
    <row r="63" spans="2:20" ht="15">
      <c r="I63" s="105" t="s">
        <v>31</v>
      </c>
      <c r="J63" s="105" t="s">
        <v>302</v>
      </c>
    </row>
    <row r="64" spans="2:20" ht="15">
      <c r="C64" s="105"/>
      <c r="D64" s="105"/>
      <c r="E64" s="105"/>
      <c r="F64" s="105"/>
      <c r="G64" s="260">
        <v>47484</v>
      </c>
      <c r="H64" s="67">
        <f>YEAR(G64)</f>
        <v>2030</v>
      </c>
      <c r="I64" s="68">
        <f>IF($H$62=110%,INDEX('2025 IRP Assumptions'!$E$341:$E$361,MATCH(H64,'2025 IRP Assumptions'!$S$341:$S$361,0),1),INDEX('2025 IRP Assumptions'!$E$309:$E$338,MATCH(H64,'2025 IRP Assumptions'!$S$341:$S$361,0)))</f>
        <v>47.74</v>
      </c>
      <c r="J64" s="78">
        <f>I64*(8.76*$C$61)</f>
        <v>174.03136507020946</v>
      </c>
    </row>
    <row r="65" spans="3:10" ht="15">
      <c r="C65" s="260"/>
      <c r="D65" s="105"/>
      <c r="E65" s="241"/>
      <c r="F65" s="265"/>
      <c r="G65" s="260">
        <v>47849</v>
      </c>
      <c r="H65" s="67">
        <f>YEAR(G65)</f>
        <v>2031</v>
      </c>
      <c r="I65" s="68">
        <f>IF($H$62=110%,INDEX('2025 IRP Assumptions'!$E$341:$E$361,MATCH(H65,'2025 IRP Assumptions'!$S$341:$S$361,0),1),INDEX('2025 IRP Assumptions'!$E$309:$E$338,MATCH(H65,'2025 IRP Assumptions'!$S$341:$S$361,0)))</f>
        <v>49.06</v>
      </c>
      <c r="J65" s="78">
        <f t="shared" ref="J65:J73" si="20">I65*(8.76*$C$61)</f>
        <v>178.84329221500789</v>
      </c>
    </row>
    <row r="66" spans="3:10" ht="15">
      <c r="C66" s="260"/>
      <c r="D66" s="105"/>
      <c r="E66" s="241"/>
      <c r="F66" s="265"/>
      <c r="G66" s="260">
        <v>48214</v>
      </c>
      <c r="H66" s="67">
        <f t="shared" ref="H66:H73" si="21">YEAR(G66)</f>
        <v>2032</v>
      </c>
      <c r="I66" s="68">
        <f>IF($H$62=110%,INDEX('2025 IRP Assumptions'!$E$341:$E$361,MATCH(H66,'2025 IRP Assumptions'!$S$341:$S$361,0),1),INDEX('2025 IRP Assumptions'!$E$309:$E$338,MATCH(H66,'2025 IRP Assumptions'!$S$341:$S$361,0)))</f>
        <v>50.39</v>
      </c>
      <c r="J66" s="78">
        <f t="shared" si="20"/>
        <v>183.6916733533275</v>
      </c>
    </row>
    <row r="67" spans="3:10" ht="15">
      <c r="C67" s="260"/>
      <c r="D67" s="105"/>
      <c r="E67" s="241"/>
      <c r="F67" s="265"/>
      <c r="G67" s="260">
        <v>48580</v>
      </c>
      <c r="H67" s="67">
        <f t="shared" si="21"/>
        <v>2033</v>
      </c>
      <c r="I67" s="68">
        <f>IF($H$62=110%,INDEX('2025 IRP Assumptions'!$E$341:$E$361,MATCH(H67,'2025 IRP Assumptions'!$S$341:$S$361,0),1),INDEX('2025 IRP Assumptions'!$E$309:$E$338,MATCH(H67,'2025 IRP Assumptions'!$S$341:$S$361,0)))</f>
        <v>50.39</v>
      </c>
      <c r="J67" s="78">
        <f t="shared" si="20"/>
        <v>183.6916733533275</v>
      </c>
    </row>
    <row r="68" spans="3:10" ht="15">
      <c r="C68" s="260"/>
      <c r="D68" s="105"/>
      <c r="E68" s="241"/>
      <c r="F68" s="265"/>
      <c r="G68" s="260">
        <v>48945</v>
      </c>
      <c r="H68" s="67">
        <f t="shared" si="21"/>
        <v>2034</v>
      </c>
      <c r="I68" s="68">
        <f>IF($H$62=110%,INDEX('2025 IRP Assumptions'!$E$341:$E$361,MATCH(H68,'2025 IRP Assumptions'!$S$341:$S$361,0),1),INDEX('2025 IRP Assumptions'!$E$309:$E$338,MATCH(H68,'2025 IRP Assumptions'!$S$341:$S$361,0)))</f>
        <v>51.71</v>
      </c>
      <c r="J68" s="78">
        <f t="shared" si="20"/>
        <v>188.50360049812593</v>
      </c>
    </row>
    <row r="69" spans="3:10" ht="15">
      <c r="C69" s="260"/>
      <c r="D69" s="105"/>
      <c r="E69" s="241"/>
      <c r="F69" s="265"/>
      <c r="G69" s="260">
        <v>49310</v>
      </c>
      <c r="H69" s="67">
        <f t="shared" si="21"/>
        <v>2035</v>
      </c>
      <c r="I69" s="68">
        <f>IF($H$62=110%,INDEX('2025 IRP Assumptions'!$E$341:$E$361,MATCH(H69,'2025 IRP Assumptions'!$S$341:$S$361,0),1),INDEX('2025 IRP Assumptions'!$E$309:$E$338,MATCH(H69,'2025 IRP Assumptions'!$S$341:$S$361,0)))</f>
        <v>53.04</v>
      </c>
      <c r="J69" s="78">
        <f t="shared" si="20"/>
        <v>193.35198163644554</v>
      </c>
    </row>
    <row r="70" spans="3:10" ht="15">
      <c r="C70" s="260"/>
      <c r="D70" s="105"/>
      <c r="E70" s="241"/>
      <c r="F70" s="265"/>
      <c r="G70" s="260">
        <v>49675</v>
      </c>
      <c r="H70" s="67">
        <f t="shared" si="21"/>
        <v>2036</v>
      </c>
      <c r="I70" s="68">
        <f>IF($H$62=110%,INDEX('2025 IRP Assumptions'!$E$341:$E$361,MATCH(H70,'2025 IRP Assumptions'!$S$341:$S$361,0),1),INDEX('2025 IRP Assumptions'!$E$309:$E$338,MATCH(H70,'2025 IRP Assumptions'!$S$341:$S$361,0)))</f>
        <v>54.37</v>
      </c>
      <c r="J70" s="78">
        <f t="shared" si="20"/>
        <v>198.20036277476515</v>
      </c>
    </row>
    <row r="71" spans="3:10" ht="15">
      <c r="C71" s="260"/>
      <c r="D71" s="105"/>
      <c r="E71" s="241"/>
      <c r="F71" s="265"/>
      <c r="G71" s="260">
        <v>50041</v>
      </c>
      <c r="H71" s="67">
        <f t="shared" si="21"/>
        <v>2037</v>
      </c>
      <c r="I71" s="68">
        <f>IF($H$62=110%,INDEX('2025 IRP Assumptions'!$E$341:$E$361,MATCH(H71,'2025 IRP Assumptions'!$S$341:$S$361,0),1),INDEX('2025 IRP Assumptions'!$E$309:$E$338,MATCH(H71,'2025 IRP Assumptions'!$S$341:$S$361,0)))</f>
        <v>55.69</v>
      </c>
      <c r="J71" s="78">
        <f t="shared" si="20"/>
        <v>203.01228991956356</v>
      </c>
    </row>
    <row r="72" spans="3:10" ht="15">
      <c r="C72" s="260"/>
      <c r="D72" s="105"/>
      <c r="E72" s="241"/>
      <c r="F72" s="265"/>
      <c r="G72" s="260">
        <v>50406</v>
      </c>
      <c r="H72" s="67">
        <f t="shared" si="21"/>
        <v>2038</v>
      </c>
      <c r="I72" s="68">
        <f>IF($H$62=110%,INDEX('2025 IRP Assumptions'!$E$341:$E$361,MATCH(H72,'2025 IRP Assumptions'!$S$341:$S$361,0),1),INDEX('2025 IRP Assumptions'!$E$309:$E$338,MATCH(H72,'2025 IRP Assumptions'!$S$341:$S$361,0)))</f>
        <v>55.69</v>
      </c>
      <c r="J72" s="78">
        <f t="shared" si="20"/>
        <v>203.01228991956356</v>
      </c>
    </row>
    <row r="73" spans="3:10" ht="15">
      <c r="C73" s="260"/>
      <c r="D73" s="105"/>
      <c r="E73" s="241"/>
      <c r="F73" s="265"/>
      <c r="G73" s="260">
        <v>50771</v>
      </c>
      <c r="H73" s="67">
        <f t="shared" si="21"/>
        <v>2039</v>
      </c>
      <c r="I73" s="68">
        <f>IF($H$62=110%,INDEX('2025 IRP Assumptions'!$E$341:$E$361,MATCH(H73,'2025 IRP Assumptions'!$S$341:$S$361,0),1),INDEX('2025 IRP Assumptions'!$E$309:$E$338,MATCH(H73,'2025 IRP Assumptions'!$S$341:$S$361,0)))</f>
        <v>57.02</v>
      </c>
      <c r="J73" s="78">
        <f t="shared" si="20"/>
        <v>207.8606710578832</v>
      </c>
    </row>
    <row r="74" spans="3:10" ht="15">
      <c r="C74" s="260"/>
      <c r="D74" s="105"/>
      <c r="E74" s="241"/>
      <c r="F74" s="265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177</v>
      </c>
      <c r="J76" s="60">
        <f>INDEX('2025 IRP Assumptions'!$E$126:$E$157,MATCH(T57,'2025 IRP Assumptions'!$C$126:$C$157,0),1)</f>
        <v>30</v>
      </c>
    </row>
    <row r="77" spans="3:10" ht="15">
      <c r="C77" s="105"/>
      <c r="D77" s="105"/>
      <c r="E77" s="261"/>
      <c r="F77" s="261"/>
      <c r="G77" s="105" t="s">
        <v>309</v>
      </c>
      <c r="I77" s="261"/>
      <c r="J77" s="261">
        <f>-PMT(Real_Discount_Rate,J76,NPV(Discount_Rate,J64:J73))</f>
        <v>80.2980521506299</v>
      </c>
    </row>
    <row r="80" spans="3:10">
      <c r="C80" s="77"/>
      <c r="D80" s="79"/>
    </row>
    <row r="81" spans="3:4">
      <c r="C81" s="77"/>
      <c r="D81" s="79"/>
    </row>
    <row r="82" spans="3:4">
      <c r="C82" s="77"/>
      <c r="D82" s="79"/>
    </row>
    <row r="83" spans="3:4">
      <c r="C83" s="77"/>
      <c r="D83" s="79"/>
    </row>
    <row r="84" spans="3:4">
      <c r="C84" s="77"/>
      <c r="D84" s="79"/>
    </row>
    <row r="85" spans="3:4">
      <c r="C85" s="77"/>
      <c r="D85" s="79"/>
    </row>
    <row r="86" spans="3:4">
      <c r="C86" s="77"/>
      <c r="D86" s="79"/>
    </row>
    <row r="87" spans="3:4">
      <c r="C87" s="77"/>
      <c r="D87" s="79"/>
    </row>
    <row r="88" spans="3:4">
      <c r="C88" s="77"/>
      <c r="D88" s="79"/>
    </row>
    <row r="89" spans="3:4">
      <c r="C89" s="77"/>
      <c r="D89" s="79"/>
    </row>
  </sheetData>
  <hyperlinks>
    <hyperlink ref="F60" r:id="rId1" xr:uid="{1A31F0DF-0BB8-48FA-93A8-430AFBE86DEC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A701A-1462-4B25-AD71-5C49A09803DE}">
  <sheetPr>
    <tabColor rgb="FFCCFFCC"/>
    <pageSetUpPr fitToPage="1"/>
  </sheetPr>
  <dimension ref="B1:AC89"/>
  <sheetViews>
    <sheetView workbookViewId="0">
      <selection activeCell="I30" sqref="I30"/>
    </sheetView>
  </sheetViews>
  <sheetFormatPr defaultColWidth="9.33203125" defaultRowHeight="12.75"/>
  <cols>
    <col min="1" max="1" width="13.33203125" style="60" customWidth="1"/>
    <col min="2" max="2" width="15" style="60" customWidth="1"/>
    <col min="3" max="3" width="19.33203125" style="60" customWidth="1"/>
    <col min="4" max="4" width="22.83203125" style="60" customWidth="1"/>
    <col min="5" max="5" width="11.1640625" style="60" customWidth="1"/>
    <col min="6" max="6" width="9.5" style="60" customWidth="1"/>
    <col min="7" max="7" width="17" style="60" customWidth="1"/>
    <col min="8" max="8" width="9.5" style="60" bestFit="1" customWidth="1"/>
    <col min="9" max="9" width="10.5" style="60" customWidth="1"/>
    <col min="10" max="10" width="12.6640625" style="60" customWidth="1"/>
    <col min="11" max="11" width="14" style="60" customWidth="1"/>
    <col min="12" max="12" width="13.33203125" style="60" customWidth="1"/>
    <col min="13" max="13" width="3.1640625" style="60" customWidth="1"/>
    <col min="14" max="14" width="15" style="60" hidden="1" customWidth="1"/>
    <col min="15" max="15" width="5.6640625" style="60" customWidth="1"/>
    <col min="16" max="16" width="9.33203125" style="60" customWidth="1"/>
    <col min="17" max="18" width="16" style="60" customWidth="1"/>
    <col min="19" max="19" width="23.5" style="60" customWidth="1"/>
    <col min="20" max="20" width="18.1640625" style="60" customWidth="1"/>
    <col min="21" max="21" width="13.33203125" style="60" customWidth="1"/>
    <col min="22" max="22" width="18.1640625" style="60" customWidth="1"/>
    <col min="23" max="23" width="12.83203125" style="60" customWidth="1"/>
    <col min="24" max="24" width="15.33203125" style="60" customWidth="1"/>
    <col min="25" max="26" width="9.33203125" style="60"/>
    <col min="27" max="27" width="13.33203125" style="60" customWidth="1"/>
    <col min="28" max="28" width="13.6640625" style="60" customWidth="1"/>
    <col min="29" max="29" width="12" style="60" bestFit="1" customWidth="1"/>
    <col min="30" max="16384" width="9.33203125" style="60"/>
  </cols>
  <sheetData>
    <row r="1" spans="2:29" ht="15.75">
      <c r="B1" s="58" t="s">
        <v>53</v>
      </c>
      <c r="C1" s="59"/>
      <c r="D1" s="59"/>
      <c r="E1" s="59"/>
      <c r="F1" s="59"/>
      <c r="G1" s="59"/>
      <c r="H1" s="59"/>
      <c r="I1" s="59"/>
      <c r="J1" s="59"/>
      <c r="K1" s="59"/>
    </row>
    <row r="2" spans="2:29" ht="15.75">
      <c r="B2" s="58" t="str">
        <f>T57</f>
        <v>WD_.PX.DJW._.PTC.Utility_Scale</v>
      </c>
      <c r="C2" s="59"/>
      <c r="D2" s="59"/>
      <c r="E2" s="59"/>
      <c r="F2" s="59"/>
      <c r="G2" s="59"/>
      <c r="H2" s="59"/>
      <c r="I2" s="59"/>
      <c r="J2" s="59"/>
      <c r="K2" s="59"/>
    </row>
    <row r="3" spans="2:29" ht="15.75">
      <c r="B3" s="58" t="str">
        <f>TEXT($C$61,"0%")&amp;" Capacity Factor"</f>
        <v>42% Capacity Factor</v>
      </c>
      <c r="C3" s="59"/>
      <c r="D3" s="59"/>
      <c r="E3" s="59"/>
      <c r="F3" s="59"/>
      <c r="G3" s="59"/>
      <c r="H3" s="59"/>
      <c r="I3" s="59"/>
      <c r="J3" s="59"/>
      <c r="K3" s="59"/>
    </row>
    <row r="4" spans="2:29">
      <c r="B4" s="59"/>
      <c r="C4" s="59"/>
      <c r="D4" s="59"/>
      <c r="E4" s="59"/>
      <c r="F4" s="59"/>
      <c r="G4" s="59"/>
      <c r="H4" s="59"/>
      <c r="I4" s="59"/>
    </row>
    <row r="5" spans="2:29" ht="51.75" customHeight="1">
      <c r="B5" s="61" t="s">
        <v>0</v>
      </c>
      <c r="C5" s="62" t="s">
        <v>10</v>
      </c>
      <c r="D5" s="62" t="s">
        <v>11</v>
      </c>
      <c r="E5" s="62" t="s">
        <v>12</v>
      </c>
      <c r="F5" s="14"/>
      <c r="G5" s="62" t="s">
        <v>58</v>
      </c>
      <c r="H5" s="14" t="s">
        <v>13</v>
      </c>
      <c r="I5" s="62" t="s">
        <v>113</v>
      </c>
      <c r="J5" s="62" t="s">
        <v>64</v>
      </c>
      <c r="K5" s="14" t="s">
        <v>49</v>
      </c>
      <c r="L5" s="62" t="s">
        <v>86</v>
      </c>
      <c r="N5" s="100"/>
      <c r="O5" s="100"/>
      <c r="Q5" s="100"/>
      <c r="T5" s="142"/>
      <c r="Z5" s="100"/>
      <c r="AA5" s="100"/>
    </row>
    <row r="6" spans="2:29" ht="24" customHeight="1">
      <c r="B6" s="63"/>
      <c r="C6" s="64" t="s">
        <v>8</v>
      </c>
      <c r="D6" s="65" t="s">
        <v>9</v>
      </c>
      <c r="E6" s="65" t="s">
        <v>9</v>
      </c>
      <c r="F6" s="16"/>
      <c r="G6" s="64" t="s">
        <v>31</v>
      </c>
      <c r="H6" s="15" t="s">
        <v>31</v>
      </c>
      <c r="I6" s="15" t="s">
        <v>31</v>
      </c>
      <c r="J6" s="64" t="s">
        <v>31</v>
      </c>
      <c r="K6" s="16" t="s">
        <v>9</v>
      </c>
      <c r="L6" s="65" t="s">
        <v>9</v>
      </c>
      <c r="W6" s="78"/>
      <c r="X6" s="78"/>
    </row>
    <row r="7" spans="2:29">
      <c r="C7" s="66" t="s">
        <v>1</v>
      </c>
      <c r="D7" s="66" t="s">
        <v>2</v>
      </c>
      <c r="E7" s="66" t="s">
        <v>3</v>
      </c>
      <c r="F7" s="66"/>
      <c r="G7" s="66" t="s">
        <v>5</v>
      </c>
      <c r="H7" s="66" t="s">
        <v>7</v>
      </c>
      <c r="I7" s="66" t="s">
        <v>22</v>
      </c>
      <c r="J7" s="66" t="s">
        <v>22</v>
      </c>
      <c r="K7" s="66" t="s">
        <v>23</v>
      </c>
      <c r="L7" s="66" t="s">
        <v>24</v>
      </c>
      <c r="R7" s="71"/>
      <c r="S7" s="78"/>
      <c r="U7" s="78"/>
    </row>
    <row r="8" spans="2:29" ht="21.75" customHeight="1">
      <c r="R8" s="71"/>
      <c r="X8" s="71"/>
    </row>
    <row r="9" spans="2:29">
      <c r="B9" s="67">
        <v>2024</v>
      </c>
      <c r="C9" s="157">
        <f>INDEX('2025 IRP Assumptions'!$E$2:$E$58,MATCH($T$57,'2025 IRP Assumptions'!$C$2:$C$58,0),1)</f>
        <v>1392.68</v>
      </c>
      <c r="D9" s="68"/>
      <c r="E9" s="232">
        <f>INDEX('2025 IRP Assumptions'!$E$62:$E$118,MATCH($T$57,'2025 IRP Assumptions'!$C$62:$C$118,0),1)</f>
        <v>31.65</v>
      </c>
      <c r="F9" s="68"/>
      <c r="G9" s="69"/>
      <c r="H9" s="68"/>
      <c r="I9" s="68"/>
      <c r="J9" s="69"/>
      <c r="K9" s="69"/>
      <c r="L9" s="68"/>
      <c r="S9" s="160"/>
      <c r="T9" s="70"/>
      <c r="X9" s="158"/>
    </row>
    <row r="10" spans="2:29">
      <c r="B10" s="67">
        <f t="shared" ref="B10:B46" si="0">B9+1</f>
        <v>2025</v>
      </c>
      <c r="C10" s="70">
        <f>$C$9*INDEX('2025 IRP Assumptions'!$E$238:$E$258,MATCH(B10,'2025 IRP Assumptions'!$S$238:$S$258,0),1)</f>
        <v>1393.4262466878001</v>
      </c>
      <c r="D10" s="68"/>
      <c r="E10" s="68" cm="1">
        <f t="array" ref="E10">$E$9*INDEX('2025 IRP Assumptions'!$E$373:$E$396,'WD_.PX.DJW._.PTC.2031'!$B10-2023,1)</f>
        <v>32.339970000000001</v>
      </c>
      <c r="F10" s="68"/>
      <c r="G10" s="69"/>
      <c r="H10" s="68"/>
      <c r="I10" s="68"/>
      <c r="J10" s="69"/>
      <c r="K10" s="69"/>
      <c r="L10" s="68"/>
      <c r="R10" s="158"/>
      <c r="S10" s="158"/>
      <c r="U10" s="156"/>
      <c r="X10" s="158"/>
    </row>
    <row r="11" spans="2:29">
      <c r="B11" s="67">
        <f t="shared" si="0"/>
        <v>2026</v>
      </c>
      <c r="C11" s="70">
        <f>$C$9*INDEX('2025 IRP Assumptions'!$E$238:$E$258,MATCH(B11,'2025 IRP Assumptions'!$S$238:$S$258,0),1)</f>
        <v>1394.5581390017201</v>
      </c>
      <c r="D11" s="68"/>
      <c r="E11" s="68" cm="1">
        <f t="array" ref="E11">$E$9*INDEX('2025 IRP Assumptions'!$E$373:$E$396,'WD_.PX.DJW._.PTC.2031'!$B11-2023,1)</f>
        <v>33.044981346</v>
      </c>
      <c r="F11" s="68"/>
      <c r="G11" s="69"/>
      <c r="H11" s="68"/>
      <c r="I11" s="68"/>
      <c r="J11" s="69"/>
      <c r="K11" s="69"/>
      <c r="L11" s="68"/>
      <c r="Q11" s="151"/>
      <c r="R11" s="158"/>
      <c r="S11" s="158"/>
      <c r="X11" s="158"/>
      <c r="AC11" s="144"/>
    </row>
    <row r="12" spans="2:29">
      <c r="B12" s="67">
        <f t="shared" si="0"/>
        <v>2027</v>
      </c>
      <c r="C12" s="70">
        <f>$C$9*INDEX('2025 IRP Assumptions'!$E$238:$E$258,MATCH(B12,'2025 IRP Assumptions'!$S$238:$S$258,0),1)</f>
        <v>1395.0771713402</v>
      </c>
      <c r="D12" s="68"/>
      <c r="E12" s="68" cm="1">
        <f t="array" ref="E12">$E$9*INDEX('2025 IRP Assumptions'!$E$373:$E$396,'WD_.PX.DJW._.PTC.2031'!$B12-2023,1)</f>
        <v>33.765361931999998</v>
      </c>
      <c r="F12" s="68"/>
      <c r="G12" s="69"/>
      <c r="H12" s="68"/>
      <c r="I12" s="68"/>
      <c r="J12" s="69"/>
      <c r="K12" s="69"/>
      <c r="L12" s="68"/>
      <c r="P12" s="78"/>
      <c r="Q12" s="69"/>
      <c r="R12" s="158"/>
      <c r="S12" s="158"/>
      <c r="U12" s="160"/>
      <c r="X12" s="158"/>
      <c r="Y12" s="160"/>
    </row>
    <row r="13" spans="2:29">
      <c r="B13" s="67">
        <f t="shared" si="0"/>
        <v>2028</v>
      </c>
      <c r="C13" s="70">
        <f>$C$9*INDEX('2025 IRP Assumptions'!$E$238:$E$258,MATCH(B13,'2025 IRP Assumptions'!$S$238:$S$258,0),1)</f>
        <v>1394.9560833849202</v>
      </c>
      <c r="D13" s="68"/>
      <c r="E13" s="68" cm="1">
        <f t="array" ref="E13">$E$9*INDEX('2025 IRP Assumptions'!$E$373:$E$396,'WD_.PX.DJW._.PTC.2031'!$B13-2023,1)</f>
        <v>34.501446836549995</v>
      </c>
      <c r="F13" s="264"/>
      <c r="G13" s="69"/>
      <c r="H13" s="68"/>
      <c r="I13" s="68"/>
      <c r="J13" s="69"/>
      <c r="K13" s="69"/>
      <c r="L13" s="68"/>
      <c r="P13" s="78"/>
      <c r="Q13" s="69"/>
      <c r="U13" s="160"/>
      <c r="W13" s="78"/>
      <c r="X13" s="158"/>
      <c r="Y13" s="160"/>
    </row>
    <row r="14" spans="2:29">
      <c r="B14" s="67">
        <f t="shared" si="0"/>
        <v>2029</v>
      </c>
      <c r="C14" s="70">
        <f>$C$9*INDEX('2025 IRP Assumptions'!$E$238:$E$258,MATCH(B14,'2025 IRP Assumptions'!$S$238:$S$258,0),1)</f>
        <v>1394.16671932432</v>
      </c>
      <c r="D14" s="68"/>
      <c r="E14" s="68" cm="1">
        <f t="array" ref="E14">$E$9*INDEX('2025 IRP Assumptions'!$E$373:$E$396,'WD_.PX.DJW._.PTC.2031'!$B14-2023,1)</f>
        <v>35.253578386050002</v>
      </c>
      <c r="F14" s="264"/>
      <c r="G14" s="69"/>
      <c r="H14" s="68"/>
      <c r="I14" s="68"/>
      <c r="J14" s="69"/>
      <c r="K14" s="69"/>
      <c r="L14" s="68"/>
      <c r="P14" s="78"/>
      <c r="Q14" s="69"/>
      <c r="U14" s="160"/>
      <c r="V14" s="78"/>
      <c r="W14" s="78"/>
      <c r="X14" s="158"/>
      <c r="Y14" s="160"/>
      <c r="Z14" s="78"/>
    </row>
    <row r="15" spans="2:29">
      <c r="B15" s="67">
        <f t="shared" si="0"/>
        <v>2030</v>
      </c>
      <c r="C15" s="70">
        <f>$C$9*INDEX('2025 IRP Assumptions'!$E$238:$E$258,MATCH(B15,'2025 IRP Assumptions'!$S$238:$S$258,0),1)</f>
        <v>1392.68</v>
      </c>
      <c r="D15" s="68"/>
      <c r="E15" s="68" cm="1">
        <f t="array" ref="E15">$E$9*INDEX('2025 IRP Assumptions'!$E$373:$E$396,'WD_.PX.DJW._.PTC.2031'!$B15-2023,1)</f>
        <v>36.022106376299995</v>
      </c>
      <c r="F15" s="264"/>
      <c r="G15" s="69"/>
      <c r="H15" s="68"/>
      <c r="I15" s="68"/>
      <c r="J15" s="69"/>
      <c r="K15" s="69"/>
      <c r="L15" s="68"/>
      <c r="P15" s="78"/>
      <c r="Q15" s="69"/>
      <c r="U15" s="160"/>
      <c r="V15" s="78"/>
      <c r="W15" s="78"/>
      <c r="X15" s="158"/>
      <c r="Y15" s="160"/>
      <c r="Z15" s="78"/>
      <c r="AA15" s="78"/>
    </row>
    <row r="16" spans="2:29">
      <c r="B16" s="67">
        <f t="shared" si="0"/>
        <v>2031</v>
      </c>
      <c r="C16" s="70">
        <f>$C$9*INDEX('2025 IRP Assumptions'!$E$238:$E$258,MATCH(B16,'2025 IRP Assumptions'!$S$238:$S$258,0),1)</f>
        <v>1408.2311634594403</v>
      </c>
      <c r="D16" s="232">
        <f>C16*$C$60</f>
        <v>88.943880284098242</v>
      </c>
      <c r="E16" s="68" cm="1">
        <f t="array" ref="E16">$E$9*INDEX('2025 IRP Assumptions'!$E$373:$E$396,'WD_.PX.DJW._.PTC.2031'!$B16-2023,1)</f>
        <v>36.80738829405</v>
      </c>
      <c r="F16" s="264"/>
      <c r="G16" s="69">
        <f t="shared" ref="G16:G46" si="1">(D16+E16+F16)/(8.76*$C$61)</f>
        <v>34.495882736418572</v>
      </c>
      <c r="H16" s="68"/>
      <c r="I16" s="68">
        <f>-I64</f>
        <v>-49.06</v>
      </c>
      <c r="J16" s="69">
        <f t="shared" ref="J16:J35" si="2">(G16+H16+I16)</f>
        <v>-14.56411726358143</v>
      </c>
      <c r="K16" s="69">
        <f t="shared" ref="K16:K46" si="3">ROUND(J16*$C$61*8.76,2)</f>
        <v>-53.09</v>
      </c>
      <c r="L16" s="68">
        <f t="shared" ref="L16:L35" si="4">(D16+E16+F16)</f>
        <v>125.75126857814824</v>
      </c>
      <c r="P16" s="78"/>
      <c r="Q16" s="69"/>
      <c r="U16" s="160"/>
      <c r="V16" s="78"/>
      <c r="W16" s="78"/>
      <c r="X16" s="158"/>
      <c r="Y16" s="160"/>
      <c r="Z16" s="78"/>
      <c r="AA16" s="78"/>
    </row>
    <row r="17" spans="2:27">
      <c r="B17" s="67">
        <f t="shared" si="0"/>
        <v>2032</v>
      </c>
      <c r="C17" s="70"/>
      <c r="D17" s="68" cm="1">
        <f t="array" ref="D17">D16*INDEX('2025 IRP Assumptions'!$E$373:$E$396,'WD_.PX.DJW._.PTC.2031'!$B17-2023,1)/INDEX('2025 IRP Assumptions'!$E$373:$E$396,'WD_.PX.DJW._.PTC.2031'!$B17-2023-1,1)</f>
        <v>90.882856849618747</v>
      </c>
      <c r="E17" s="68" cm="1">
        <f t="array" ref="E17">$E$9*INDEX('2025 IRP Assumptions'!$E$373:$E$396,'WD_.PX.DJW._.PTC.2031'!$B17-2023,1)</f>
        <v>37.609789348650004</v>
      </c>
      <c r="F17" s="264"/>
      <c r="G17" s="69">
        <f t="shared" si="1"/>
        <v>35.247892970503415</v>
      </c>
      <c r="H17" s="68"/>
      <c r="I17" s="68">
        <f t="shared" ref="I17:I25" si="5">-I65</f>
        <v>-50.39</v>
      </c>
      <c r="J17" s="69">
        <f t="shared" si="2"/>
        <v>-15.142107029496586</v>
      </c>
      <c r="K17" s="69">
        <f t="shared" si="3"/>
        <v>-55.2</v>
      </c>
      <c r="L17" s="68">
        <f t="shared" si="4"/>
        <v>128.49264619826874</v>
      </c>
      <c r="P17" s="78"/>
      <c r="Q17" s="69"/>
      <c r="T17" s="78"/>
      <c r="V17" s="78"/>
      <c r="W17" s="78"/>
      <c r="Y17" s="78"/>
      <c r="Z17" s="78"/>
      <c r="AA17" s="78"/>
    </row>
    <row r="18" spans="2:27">
      <c r="B18" s="67">
        <f t="shared" si="0"/>
        <v>2033</v>
      </c>
      <c r="C18" s="70"/>
      <c r="D18" s="68" cm="1">
        <f t="array" ref="D18">D17*INDEX('2025 IRP Assumptions'!$E$373:$E$396,'WD_.PX.DJW._.PTC.2031'!$B18-2023,1)/INDEX('2025 IRP Assumptions'!$E$373:$E$396,'WD_.PX.DJW._.PTC.2031'!$B18-2023-1,1)</f>
        <v>92.86410313002645</v>
      </c>
      <c r="E18" s="68" cm="1">
        <f t="array" ref="E18">$E$9*INDEX('2025 IRP Assumptions'!$E$373:$E$396,'WD_.PX.DJW._.PTC.2031'!$B18-2023,1)</f>
        <v>38.429682756899993</v>
      </c>
      <c r="F18" s="264"/>
      <c r="G18" s="69">
        <f t="shared" si="1"/>
        <v>36.016297037681596</v>
      </c>
      <c r="H18" s="68"/>
      <c r="I18" s="68">
        <f t="shared" si="5"/>
        <v>-50.39</v>
      </c>
      <c r="J18" s="69">
        <f t="shared" si="2"/>
        <v>-14.373702962318404</v>
      </c>
      <c r="K18" s="69">
        <f t="shared" si="3"/>
        <v>-52.4</v>
      </c>
      <c r="L18" s="68">
        <f t="shared" si="4"/>
        <v>131.29378588692646</v>
      </c>
      <c r="P18" s="78"/>
      <c r="Q18" s="69"/>
      <c r="T18" s="78"/>
      <c r="V18" s="78"/>
      <c r="W18" s="78"/>
      <c r="Y18" s="78"/>
      <c r="Z18" s="78"/>
      <c r="AA18" s="78"/>
    </row>
    <row r="19" spans="2:27">
      <c r="B19" s="67">
        <f t="shared" si="0"/>
        <v>2034</v>
      </c>
      <c r="C19" s="70"/>
      <c r="D19" s="68" cm="1">
        <f t="array" ref="D19">D18*INDEX('2025 IRP Assumptions'!$E$373:$E$396,'WD_.PX.DJW._.PTC.2031'!$B19-2023,1)/INDEX('2025 IRP Assumptions'!$E$373:$E$396,'WD_.PX.DJW._.PTC.2031'!$B19-2023-1,1)</f>
        <v>94.888540647491823</v>
      </c>
      <c r="E19" s="68" cm="1">
        <f t="array" ref="E19">$E$9*INDEX('2025 IRP Assumptions'!$E$373:$E$396,'WD_.PX.DJW._.PTC.2031'!$B19-2023,1)</f>
        <v>39.267449869649994</v>
      </c>
      <c r="F19" s="264"/>
      <c r="G19" s="69">
        <f t="shared" si="1"/>
        <v>36.801452339953435</v>
      </c>
      <c r="H19" s="68"/>
      <c r="I19" s="68">
        <f t="shared" si="5"/>
        <v>-51.71</v>
      </c>
      <c r="J19" s="69">
        <f t="shared" si="2"/>
        <v>-14.908547660046565</v>
      </c>
      <c r="K19" s="69">
        <f t="shared" si="3"/>
        <v>-54.35</v>
      </c>
      <c r="L19" s="68">
        <f t="shared" si="4"/>
        <v>134.15599051714182</v>
      </c>
      <c r="P19" s="78"/>
      <c r="Q19" s="69"/>
      <c r="T19" s="78"/>
      <c r="V19" s="78"/>
      <c r="W19" s="78"/>
      <c r="Y19" s="78"/>
      <c r="Z19" s="78"/>
      <c r="AA19" s="78"/>
    </row>
    <row r="20" spans="2:27">
      <c r="B20" s="67">
        <f t="shared" si="0"/>
        <v>2035</v>
      </c>
      <c r="C20" s="70"/>
      <c r="D20" s="68" cm="1">
        <f t="array" ref="D20">D19*INDEX('2025 IRP Assumptions'!$E$373:$E$396,'WD_.PX.DJW._.PTC.2031'!$B20-2023,1)/INDEX('2025 IRP Assumptions'!$E$373:$E$396,'WD_.PX.DJW._.PTC.2031'!$B20-2023-1,1)</f>
        <v>96.957110809301412</v>
      </c>
      <c r="E20" s="68" cm="1">
        <f t="array" ref="E20">$E$9*INDEX('2025 IRP Assumptions'!$E$373:$E$396,'WD_.PX.DJW._.PTC.2031'!$B20-2023,1)</f>
        <v>40.123480266749993</v>
      </c>
      <c r="F20" s="264"/>
      <c r="G20" s="69">
        <f t="shared" si="1"/>
        <v>37.603723991537713</v>
      </c>
      <c r="H20" s="68"/>
      <c r="I20" s="68">
        <f t="shared" si="5"/>
        <v>-53.04</v>
      </c>
      <c r="J20" s="69">
        <f t="shared" si="2"/>
        <v>-15.436276008462286</v>
      </c>
      <c r="K20" s="69">
        <f t="shared" si="3"/>
        <v>-56.27</v>
      </c>
      <c r="L20" s="68">
        <f t="shared" si="4"/>
        <v>137.08059107605141</v>
      </c>
      <c r="P20" s="78"/>
      <c r="Q20" s="69"/>
      <c r="T20" s="78"/>
      <c r="V20" s="78"/>
      <c r="W20" s="78"/>
      <c r="Y20" s="78"/>
      <c r="Z20" s="78"/>
      <c r="AA20" s="78"/>
    </row>
    <row r="21" spans="2:27">
      <c r="B21" s="67">
        <f t="shared" si="0"/>
        <v>2036</v>
      </c>
      <c r="C21" s="70"/>
      <c r="D21" s="68" cm="1">
        <f t="array" ref="D21">D20*INDEX('2025 IRP Assumptions'!$E$373:$E$396,'WD_.PX.DJW._.PTC.2031'!$B21-2023,1)/INDEX('2025 IRP Assumptions'!$E$373:$E$396,'WD_.PX.DJW._.PTC.2031'!$B21-2023-1,1)</f>
        <v>99.070775825632509</v>
      </c>
      <c r="E21" s="68" cm="1">
        <f t="array" ref="E21">$E$9*INDEX('2025 IRP Assumptions'!$E$373:$E$396,'WD_.PX.DJW._.PTC.2031'!$B21-2023,1)</f>
        <v>40.998172136849995</v>
      </c>
      <c r="F21" s="264"/>
      <c r="G21" s="69">
        <f t="shared" si="1"/>
        <v>38.423485174820193</v>
      </c>
      <c r="H21" s="68"/>
      <c r="I21" s="68">
        <f t="shared" si="5"/>
        <v>-54.37</v>
      </c>
      <c r="J21" s="69">
        <f t="shared" si="2"/>
        <v>-15.946514825179804</v>
      </c>
      <c r="K21" s="69">
        <f t="shared" si="3"/>
        <v>-58.13</v>
      </c>
      <c r="L21" s="68">
        <f t="shared" si="4"/>
        <v>140.0689479624825</v>
      </c>
      <c r="P21" s="78"/>
      <c r="Q21" s="69"/>
      <c r="T21" s="78"/>
      <c r="V21" s="78"/>
      <c r="W21" s="78"/>
      <c r="Y21" s="78"/>
      <c r="Z21" s="78"/>
      <c r="AA21" s="78"/>
    </row>
    <row r="22" spans="2:27">
      <c r="B22" s="67">
        <f t="shared" si="0"/>
        <v>2037</v>
      </c>
      <c r="C22" s="70"/>
      <c r="D22" s="68" cm="1">
        <f t="array" ref="D22">D21*INDEX('2025 IRP Assumptions'!$E$373:$E$396,'WD_.PX.DJW._.PTC.2031'!$B22-2023,1)/INDEX('2025 IRP Assumptions'!$E$373:$E$396,'WD_.PX.DJW._.PTC.2031'!$B22-2023-1,1)</f>
        <v>101.23051870955315</v>
      </c>
      <c r="E22" s="68" cm="1">
        <f t="array" ref="E22">$E$9*INDEX('2025 IRP Assumptions'!$E$373:$E$396,'WD_.PX.DJW._.PTC.2031'!$B22-2023,1)</f>
        <v>41.891932277399995</v>
      </c>
      <c r="F22" s="264"/>
      <c r="G22" s="69">
        <f t="shared" si="1"/>
        <v>39.26111714035364</v>
      </c>
      <c r="H22" s="68"/>
      <c r="I22" s="68">
        <f t="shared" si="5"/>
        <v>-55.69</v>
      </c>
      <c r="J22" s="69">
        <f t="shared" si="2"/>
        <v>-16.428882859646357</v>
      </c>
      <c r="K22" s="69">
        <f t="shared" si="3"/>
        <v>-59.89</v>
      </c>
      <c r="L22" s="68">
        <f t="shared" si="4"/>
        <v>143.12245098695314</v>
      </c>
      <c r="P22" s="78"/>
      <c r="Q22" s="69"/>
      <c r="T22" s="78"/>
      <c r="V22" s="78"/>
      <c r="W22" s="78"/>
      <c r="Y22" s="78"/>
      <c r="Z22" s="78"/>
      <c r="AA22" s="78"/>
    </row>
    <row r="23" spans="2:27">
      <c r="B23" s="67">
        <f t="shared" si="0"/>
        <v>2038</v>
      </c>
      <c r="C23" s="70"/>
      <c r="D23" s="68" cm="1">
        <f t="array" ref="D23">D22*INDEX('2025 IRP Assumptions'!$E$373:$E$396,'WD_.PX.DJW._.PTC.2031'!$B23-2023,1)/INDEX('2025 IRP Assumptions'!$E$373:$E$396,'WD_.PX.DJW._.PTC.2031'!$B23-2023-1,1)</f>
        <v>103.43734404183422</v>
      </c>
      <c r="E23" s="68" cm="1">
        <f t="array" ref="E23">$E$9*INDEX('2025 IRP Assumptions'!$E$373:$E$396,'WD_.PX.DJW._.PTC.2031'!$B23-2023,1)</f>
        <v>42.805176411150001</v>
      </c>
      <c r="F23" s="264"/>
      <c r="G23" s="69">
        <f t="shared" si="1"/>
        <v>40.11700950348159</v>
      </c>
      <c r="H23" s="68"/>
      <c r="I23" s="68">
        <f t="shared" si="5"/>
        <v>-55.69</v>
      </c>
      <c r="J23" s="69">
        <f t="shared" si="2"/>
        <v>-15.572990496518408</v>
      </c>
      <c r="K23" s="69">
        <f t="shared" si="3"/>
        <v>-56.77</v>
      </c>
      <c r="L23" s="68">
        <f t="shared" si="4"/>
        <v>146.24252045298422</v>
      </c>
      <c r="P23" s="78"/>
      <c r="Q23" s="69"/>
      <c r="T23" s="78"/>
      <c r="V23" s="78"/>
      <c r="W23" s="78"/>
      <c r="Y23" s="78"/>
      <c r="Z23" s="78"/>
      <c r="AA23" s="78"/>
    </row>
    <row r="24" spans="2:27">
      <c r="B24" s="67">
        <f t="shared" si="0"/>
        <v>2039</v>
      </c>
      <c r="C24" s="70"/>
      <c r="D24" s="68" cm="1">
        <f t="array" ref="D24">D23*INDEX('2025 IRP Assumptions'!$E$373:$E$396,'WD_.PX.DJW._.PTC.2031'!$B24-2023,1)/INDEX('2025 IRP Assumptions'!$E$373:$E$396,'WD_.PX.DJW._.PTC.2031'!$B24-2023-1,1)</f>
        <v>105.69227812391193</v>
      </c>
      <c r="E24" s="68" cm="1">
        <f t="array" ref="E24">$E$9*INDEX('2025 IRP Assumptions'!$E$373:$E$396,'WD_.PX.DJW._.PTC.2031'!$B24-2023,1)</f>
        <v>43.738329249449997</v>
      </c>
      <c r="F24" s="264"/>
      <c r="G24" s="69">
        <f t="shared" si="1"/>
        <v>40.9915603036631</v>
      </c>
      <c r="H24" s="68"/>
      <c r="I24" s="68">
        <f t="shared" si="5"/>
        <v>-57.02</v>
      </c>
      <c r="J24" s="69">
        <f t="shared" si="2"/>
        <v>-16.028439696336903</v>
      </c>
      <c r="K24" s="69">
        <f t="shared" si="3"/>
        <v>-58.43</v>
      </c>
      <c r="L24" s="68">
        <f t="shared" si="4"/>
        <v>149.43060737336194</v>
      </c>
      <c r="P24" s="78"/>
      <c r="Q24" s="69"/>
      <c r="T24" s="78"/>
      <c r="V24" s="78"/>
      <c r="W24" s="78"/>
      <c r="Y24" s="78"/>
      <c r="Z24" s="78"/>
      <c r="AA24" s="78"/>
    </row>
    <row r="25" spans="2:27">
      <c r="B25" s="67">
        <f t="shared" si="0"/>
        <v>2040</v>
      </c>
      <c r="C25" s="70"/>
      <c r="D25" s="68" cm="1">
        <f t="array" ref="D25">D24*INDEX('2025 IRP Assumptions'!$E$373:$E$396,'WD_.PX.DJW._.PTC.2031'!$B25-2023,1)/INDEX('2025 IRP Assumptions'!$E$373:$E$396,'WD_.PX.DJW._.PTC.2031'!$B25-2023-1,1)</f>
        <v>107.99636981918123</v>
      </c>
      <c r="E25" s="68" cm="1">
        <f t="array" ref="E25">$E$9*INDEX('2025 IRP Assumptions'!$E$373:$E$396,'WD_.PX.DJW._.PTC.2031'!$B25-2023,1)</f>
        <v>44.691824840399995</v>
      </c>
      <c r="F25" s="264"/>
      <c r="G25" s="69">
        <f t="shared" si="1"/>
        <v>41.885176330758952</v>
      </c>
      <c r="H25" s="68"/>
      <c r="I25" s="68">
        <f t="shared" si="5"/>
        <v>-58.35</v>
      </c>
      <c r="J25" s="69">
        <f t="shared" si="2"/>
        <v>-16.464823669241049</v>
      </c>
      <c r="K25" s="69">
        <f t="shared" si="3"/>
        <v>-60.02</v>
      </c>
      <c r="L25" s="68">
        <f t="shared" si="4"/>
        <v>152.68819465958123</v>
      </c>
      <c r="P25" s="78"/>
      <c r="Q25" s="69"/>
      <c r="T25" s="78"/>
      <c r="V25" s="78"/>
      <c r="W25" s="78"/>
      <c r="Y25" s="78"/>
      <c r="Z25" s="78"/>
      <c r="AA25" s="78"/>
    </row>
    <row r="26" spans="2:27">
      <c r="B26" s="67">
        <f t="shared" si="0"/>
        <v>2041</v>
      </c>
      <c r="C26" s="70"/>
      <c r="D26" s="68" cm="1">
        <f t="array" ref="D26">D25*INDEX('2025 IRP Assumptions'!$E$373:$E$396,'WD_.PX.DJW._.PTC.2031'!$B26-2023,1)/INDEX('2025 IRP Assumptions'!$E$373:$E$396,'WD_.PX.DJW._.PTC.2031'!$B26-2023-1,1)</f>
        <v>110.3506906294769</v>
      </c>
      <c r="E26" s="68" cm="1">
        <f t="array" ref="E26">$E$9*INDEX('2025 IRP Assumptions'!$E$373:$E$396,'WD_.PX.DJW._.PTC.2031'!$B26-2023,1)</f>
        <v>45.666106600499994</v>
      </c>
      <c r="F26" s="264"/>
      <c r="G26" s="69">
        <f t="shared" si="1"/>
        <v>42.798273154694002</v>
      </c>
      <c r="H26" s="68"/>
      <c r="I26" s="68"/>
      <c r="J26" s="69">
        <f t="shared" si="2"/>
        <v>42.798273154694002</v>
      </c>
      <c r="K26" s="69">
        <f t="shared" si="3"/>
        <v>156.02000000000001</v>
      </c>
      <c r="L26" s="68">
        <f t="shared" si="4"/>
        <v>156.0167972299769</v>
      </c>
      <c r="P26" s="78"/>
      <c r="Q26" s="69"/>
    </row>
    <row r="27" spans="2:27">
      <c r="B27" s="67">
        <f t="shared" si="0"/>
        <v>2042</v>
      </c>
      <c r="C27" s="70"/>
      <c r="D27" s="68" cm="1">
        <f t="array" ref="D27">D26*INDEX('2025 IRP Assumptions'!$E$373:$E$396,'WD_.PX.DJW._.PTC.2031'!$B27-2023,1)/INDEX('2025 IRP Assumptions'!$E$373:$E$396,'WD_.PX.DJW._.PTC.2031'!$B27-2023-1,1)</f>
        <v>112.75633568932949</v>
      </c>
      <c r="E27" s="68" cm="1">
        <f t="array" ref="E27">$E$9*INDEX('2025 IRP Assumptions'!$E$373:$E$396,'WD_.PX.DJW._.PTC.2031'!$B27-2023,1)</f>
        <v>46.661627726100001</v>
      </c>
      <c r="F27" s="264"/>
      <c r="G27" s="69">
        <f t="shared" si="1"/>
        <v>43.731275511068098</v>
      </c>
      <c r="H27" s="68"/>
      <c r="I27" s="68"/>
      <c r="J27" s="69">
        <f t="shared" si="2"/>
        <v>43.731275511068098</v>
      </c>
      <c r="K27" s="69">
        <f t="shared" si="3"/>
        <v>159.41999999999999</v>
      </c>
      <c r="L27" s="68">
        <f t="shared" si="4"/>
        <v>159.41796341542948</v>
      </c>
      <c r="P27" s="78"/>
      <c r="Q27" s="69"/>
    </row>
    <row r="28" spans="2:27">
      <c r="B28" s="67">
        <f t="shared" si="0"/>
        <v>2043</v>
      </c>
      <c r="C28" s="70"/>
      <c r="D28" s="68" cm="1">
        <f t="array" ref="D28">D27*INDEX('2025 IRP Assumptions'!$E$373:$E$396,'WD_.PX.DJW._.PTC.2031'!$B28-2023,1)/INDEX('2025 IRP Assumptions'!$E$373:$E$396,'WD_.PX.DJW._.PTC.2031'!$B28-2023-1,1)</f>
        <v>115.21442384244646</v>
      </c>
      <c r="E28" s="68" cm="1">
        <f t="array" ref="E28">$E$9*INDEX('2025 IRP Assumptions'!$E$373:$E$396,'WD_.PX.DJW._.PTC.2031'!$B28-2023,1)</f>
        <v>47.678851225049996</v>
      </c>
      <c r="F28" s="264"/>
      <c r="G28" s="69">
        <f t="shared" si="1"/>
        <v>44.68461733081849</v>
      </c>
      <c r="H28" s="68"/>
      <c r="I28" s="68"/>
      <c r="J28" s="69">
        <f t="shared" si="2"/>
        <v>44.68461733081849</v>
      </c>
      <c r="K28" s="69">
        <f t="shared" si="3"/>
        <v>162.88999999999999</v>
      </c>
      <c r="L28" s="68">
        <f t="shared" si="4"/>
        <v>162.89327506749646</v>
      </c>
      <c r="P28" s="78"/>
      <c r="Q28" s="69"/>
    </row>
    <row r="29" spans="2:27">
      <c r="B29" s="67">
        <f t="shared" si="0"/>
        <v>2044</v>
      </c>
      <c r="C29" s="70"/>
      <c r="D29" s="68" cm="1">
        <f t="array" ref="D29">D28*INDEX('2025 IRP Assumptions'!$E$373:$E$396,'WD_.PX.DJW._.PTC.2031'!$B29-2023,1)/INDEX('2025 IRP Assumptions'!$E$373:$E$396,'WD_.PX.DJW._.PTC.2031'!$B29-2023-1,1)</f>
        <v>117.72609825356193</v>
      </c>
      <c r="E29" s="68" cm="1">
        <f t="array" ref="E29">$E$9*INDEX('2025 IRP Assumptions'!$E$373:$E$396,'WD_.PX.DJW._.PTC.2031'!$B29-2023,1)</f>
        <v>48.718250169900003</v>
      </c>
      <c r="F29" s="264"/>
      <c r="G29" s="69">
        <f t="shared" si="1"/>
        <v>45.658741977518801</v>
      </c>
      <c r="H29" s="68"/>
      <c r="I29" s="68"/>
      <c r="J29" s="69">
        <f t="shared" si="2"/>
        <v>45.658741977518801</v>
      </c>
      <c r="K29" s="69">
        <f t="shared" si="3"/>
        <v>166.44</v>
      </c>
      <c r="L29" s="68">
        <f t="shared" si="4"/>
        <v>166.44434842346192</v>
      </c>
      <c r="P29" s="78"/>
      <c r="Q29" s="69"/>
    </row>
    <row r="30" spans="2:27">
      <c r="B30" s="67">
        <f t="shared" si="0"/>
        <v>2045</v>
      </c>
      <c r="C30" s="70"/>
      <c r="D30" s="68" cm="1">
        <f t="array" ref="D30">D29*INDEX('2025 IRP Assumptions'!$E$373:$E$396,'WD_.PX.DJW._.PTC.2031'!$B30-2023,1)/INDEX('2025 IRP Assumptions'!$E$373:$E$396,'WD_.PX.DJW._.PTC.2031'!$B30-2023-1,1)</f>
        <v>120.29252724973006</v>
      </c>
      <c r="E30" s="68" cm="1">
        <f t="array" ref="E30">$E$9*INDEX('2025 IRP Assumptions'!$E$373:$E$396,'WD_.PX.DJW._.PTC.2031'!$B30-2023,1)</f>
        <v>49.780308046050003</v>
      </c>
      <c r="F30" s="264"/>
      <c r="G30" s="69">
        <f t="shared" si="1"/>
        <v>46.654102573665277</v>
      </c>
      <c r="H30" s="68"/>
      <c r="I30" s="68"/>
      <c r="J30" s="69">
        <f t="shared" si="2"/>
        <v>46.654102573665277</v>
      </c>
      <c r="K30" s="69">
        <f t="shared" si="3"/>
        <v>170.07</v>
      </c>
      <c r="L30" s="68">
        <f t="shared" si="4"/>
        <v>170.07283529578007</v>
      </c>
      <c r="P30" s="78"/>
      <c r="Q30" s="69"/>
    </row>
    <row r="31" spans="2:27">
      <c r="B31" s="67">
        <f t="shared" si="0"/>
        <v>2046</v>
      </c>
      <c r="C31" s="70"/>
      <c r="D31" s="68" cm="1">
        <f t="array" ref="D31">D30*INDEX('2025 IRP Assumptions'!$E$373:$E$396,'WD_.PX.DJW._.PTC.2031'!$B31-2023,1)/INDEX('2025 IRP Assumptions'!$E$373:$E$396,'WD_.PX.DJW._.PTC.2031'!$B31-2023-1,1)</f>
        <v>122.91490432032502</v>
      </c>
      <c r="E31" s="68" cm="1">
        <f t="array" ref="E31">$E$9*INDEX('2025 IRP Assumptions'!$E$373:$E$396,'WD_.PX.DJW._.PTC.2031'!$B31-2023,1)</f>
        <v>50.865518751749995</v>
      </c>
      <c r="F31" s="264"/>
      <c r="G31" s="69">
        <f t="shared" si="1"/>
        <v>47.671162000676688</v>
      </c>
      <c r="H31" s="68"/>
      <c r="I31" s="68"/>
      <c r="J31" s="69">
        <f t="shared" si="2"/>
        <v>47.671162000676688</v>
      </c>
      <c r="K31" s="69">
        <f t="shared" si="3"/>
        <v>173.78</v>
      </c>
      <c r="L31" s="68">
        <f t="shared" si="4"/>
        <v>173.78042307207502</v>
      </c>
      <c r="P31" s="78"/>
      <c r="Q31" s="69"/>
    </row>
    <row r="32" spans="2:27">
      <c r="B32" s="67">
        <f t="shared" si="0"/>
        <v>2047</v>
      </c>
      <c r="C32" s="70"/>
      <c r="D32" s="68" cm="1">
        <f t="array" ref="D32">D31*INDEX('2025 IRP Assumptions'!$E$373:$E$396,'WD_.PX.DJW._.PTC.2031'!$B32-2023,1)/INDEX('2025 IRP Assumptions'!$E$373:$E$396,'WD_.PX.DJW._.PTC.2031'!$B32-2023-1,1)</f>
        <v>125.59444918777807</v>
      </c>
      <c r="E32" s="68" cm="1">
        <f t="array" ref="E32">$E$9*INDEX('2025 IRP Assumptions'!$E$373:$E$396,'WD_.PX.DJW._.PTC.2031'!$B32-2023,1)</f>
        <v>51.974387041199996</v>
      </c>
      <c r="F32" s="264"/>
      <c r="G32" s="69">
        <f t="shared" si="1"/>
        <v>48.710393314167717</v>
      </c>
      <c r="H32" s="68"/>
      <c r="I32" s="68"/>
      <c r="J32" s="69">
        <f t="shared" si="2"/>
        <v>48.710393314167717</v>
      </c>
      <c r="K32" s="69">
        <f t="shared" si="3"/>
        <v>177.57</v>
      </c>
      <c r="L32" s="68">
        <f t="shared" si="4"/>
        <v>177.56883622897806</v>
      </c>
      <c r="P32" s="78"/>
      <c r="Q32" s="69"/>
    </row>
    <row r="33" spans="2:17" ht="15">
      <c r="B33" s="67">
        <f t="shared" si="0"/>
        <v>2048</v>
      </c>
      <c r="C33" s="70"/>
      <c r="D33" s="259">
        <f t="shared" ref="D33:E35" si="6">D32*D32/D31</f>
        <v>128.33240813232288</v>
      </c>
      <c r="E33" s="259">
        <f t="shared" si="6"/>
        <v>53.107428658938439</v>
      </c>
      <c r="F33" s="264"/>
      <c r="G33" s="69">
        <f t="shared" si="1"/>
        <v>49.772279869897766</v>
      </c>
      <c r="H33" s="68"/>
      <c r="I33" s="259"/>
      <c r="J33" s="69">
        <f t="shared" si="2"/>
        <v>49.772279869897766</v>
      </c>
      <c r="K33" s="69">
        <f t="shared" si="3"/>
        <v>181.44</v>
      </c>
      <c r="L33" s="68">
        <f t="shared" si="4"/>
        <v>181.43983679126131</v>
      </c>
      <c r="P33" s="78"/>
      <c r="Q33" s="69"/>
    </row>
    <row r="34" spans="2:17" ht="15">
      <c r="B34" s="67">
        <f t="shared" si="0"/>
        <v>2049</v>
      </c>
      <c r="C34" s="70"/>
      <c r="D34" s="259">
        <f t="shared" si="6"/>
        <v>131.13005458081784</v>
      </c>
      <c r="E34" s="259">
        <f t="shared" si="6"/>
        <v>54.26517058351282</v>
      </c>
      <c r="F34" s="264"/>
      <c r="G34" s="69">
        <f t="shared" si="1"/>
        <v>50.857315552139013</v>
      </c>
      <c r="H34" s="68"/>
      <c r="I34" s="259"/>
      <c r="J34" s="69">
        <f t="shared" si="2"/>
        <v>50.857315552139013</v>
      </c>
      <c r="K34" s="69">
        <f t="shared" si="3"/>
        <v>185.4</v>
      </c>
      <c r="L34" s="68">
        <f t="shared" si="4"/>
        <v>185.39522516433067</v>
      </c>
      <c r="P34" s="78"/>
      <c r="Q34" s="69"/>
    </row>
    <row r="35" spans="2:17" ht="15">
      <c r="B35" s="67">
        <f t="shared" si="0"/>
        <v>2050</v>
      </c>
      <c r="C35" s="70"/>
      <c r="D35" s="259">
        <f t="shared" si="6"/>
        <v>133.98868972082636</v>
      </c>
      <c r="E35" s="259">
        <f t="shared" si="6"/>
        <v>55.448151281602769</v>
      </c>
      <c r="F35" s="264"/>
      <c r="G35" s="69">
        <f t="shared" si="1"/>
        <v>51.966005011840608</v>
      </c>
      <c r="H35" s="68"/>
      <c r="I35" s="259"/>
      <c r="J35" s="69">
        <f t="shared" si="2"/>
        <v>51.966005011840608</v>
      </c>
      <c r="K35" s="69">
        <f t="shared" si="3"/>
        <v>189.44</v>
      </c>
      <c r="L35" s="68">
        <f t="shared" si="4"/>
        <v>189.43684100242913</v>
      </c>
      <c r="P35" s="78"/>
      <c r="Q35" s="69"/>
    </row>
    <row r="36" spans="2:17" ht="15">
      <c r="B36" s="67">
        <f t="shared" si="0"/>
        <v>2051</v>
      </c>
      <c r="C36" s="70"/>
      <c r="D36" s="259">
        <f t="shared" ref="D36:E36" si="7">D35*D35/D34</f>
        <v>136.90964310580026</v>
      </c>
      <c r="E36" s="259">
        <f t="shared" si="7"/>
        <v>56.656920958461328</v>
      </c>
      <c r="F36" s="264"/>
      <c r="G36" s="69">
        <f t="shared" si="1"/>
        <v>53.098863901342177</v>
      </c>
      <c r="H36" s="68"/>
      <c r="I36" s="259"/>
      <c r="J36" s="69">
        <f t="shared" ref="J36:J45" si="8">(G36+H36+I36)</f>
        <v>53.098863901342177</v>
      </c>
      <c r="K36" s="69">
        <f t="shared" si="3"/>
        <v>193.57</v>
      </c>
      <c r="L36" s="68">
        <f t="shared" ref="L36:L45" si="9">(D36+E36+F36)</f>
        <v>193.56656406426157</v>
      </c>
      <c r="P36" s="78"/>
      <c r="Q36" s="69"/>
    </row>
    <row r="37" spans="2:17" ht="15">
      <c r="B37" s="67">
        <f t="shared" si="0"/>
        <v>2052</v>
      </c>
      <c r="C37" s="70"/>
      <c r="D37" s="259">
        <f t="shared" ref="D37:E37" si="10">D36*D36/D35</f>
        <v>139.89427327345609</v>
      </c>
      <c r="E37" s="259">
        <f t="shared" si="10"/>
        <v>57.892041813815851</v>
      </c>
      <c r="F37" s="264"/>
      <c r="G37" s="69">
        <f t="shared" si="1"/>
        <v>54.256419114204199</v>
      </c>
      <c r="H37" s="68"/>
      <c r="I37" s="259"/>
      <c r="J37" s="69">
        <f t="shared" si="8"/>
        <v>54.256419114204199</v>
      </c>
      <c r="K37" s="69">
        <f t="shared" si="3"/>
        <v>197.79</v>
      </c>
      <c r="L37" s="68">
        <f t="shared" si="9"/>
        <v>197.78631508727193</v>
      </c>
      <c r="P37" s="78"/>
      <c r="Q37" s="69"/>
    </row>
    <row r="38" spans="2:17" ht="15">
      <c r="B38" s="67">
        <f t="shared" si="0"/>
        <v>2053</v>
      </c>
      <c r="C38" s="70"/>
      <c r="D38" s="259">
        <f t="shared" ref="D38:E38" si="11">D37*D37/D36</f>
        <v>142.9439683776321</v>
      </c>
      <c r="E38" s="259">
        <f t="shared" si="11"/>
        <v>59.154088303347535</v>
      </c>
      <c r="F38" s="264"/>
      <c r="G38" s="69">
        <f t="shared" si="1"/>
        <v>55.439209030266539</v>
      </c>
      <c r="H38" s="68"/>
      <c r="I38" s="259"/>
      <c r="J38" s="69">
        <f t="shared" si="8"/>
        <v>55.439209030266539</v>
      </c>
      <c r="K38" s="69">
        <f t="shared" si="3"/>
        <v>202.1</v>
      </c>
      <c r="L38" s="68">
        <f t="shared" si="9"/>
        <v>202.09805668097965</v>
      </c>
      <c r="P38" s="78"/>
      <c r="Q38" s="69"/>
    </row>
    <row r="39" spans="2:17" ht="15">
      <c r="B39" s="67">
        <f t="shared" si="0"/>
        <v>2054</v>
      </c>
      <c r="C39" s="70"/>
      <c r="D39" s="259">
        <f t="shared" ref="D39:E39" si="12">D38*D38/D37</f>
        <v>146.06014683391973</v>
      </c>
      <c r="E39" s="259">
        <f t="shared" si="12"/>
        <v>60.443647405871204</v>
      </c>
      <c r="F39" s="264"/>
      <c r="G39" s="69">
        <f t="shared" si="1"/>
        <v>56.647783766049344</v>
      </c>
      <c r="H39" s="68"/>
      <c r="I39" s="259"/>
      <c r="J39" s="69">
        <f t="shared" si="8"/>
        <v>56.647783766049344</v>
      </c>
      <c r="K39" s="69">
        <f t="shared" si="3"/>
        <v>206.5</v>
      </c>
      <c r="L39" s="68">
        <f t="shared" si="9"/>
        <v>206.50379423979092</v>
      </c>
      <c r="P39" s="78"/>
      <c r="Q39" s="69"/>
    </row>
    <row r="40" spans="2:17" ht="15">
      <c r="B40" s="67">
        <f t="shared" si="0"/>
        <v>2055</v>
      </c>
      <c r="C40" s="70"/>
      <c r="D40" s="259">
        <f t="shared" ref="D40:E40" si="13">D39*D39/D38</f>
        <v>149.24425797936971</v>
      </c>
      <c r="E40" s="259">
        <f t="shared" si="13"/>
        <v>61.761318896339617</v>
      </c>
      <c r="F40" s="264"/>
      <c r="G40" s="69">
        <f t="shared" si="1"/>
        <v>57.882705430612752</v>
      </c>
      <c r="H40" s="68"/>
      <c r="I40" s="259"/>
      <c r="J40" s="69">
        <f t="shared" si="8"/>
        <v>57.882705430612752</v>
      </c>
      <c r="K40" s="69">
        <f t="shared" si="3"/>
        <v>211.01</v>
      </c>
      <c r="L40" s="68">
        <f t="shared" si="9"/>
        <v>211.00557687570932</v>
      </c>
      <c r="P40" s="78"/>
      <c r="Q40" s="69"/>
    </row>
    <row r="41" spans="2:17" ht="15">
      <c r="B41" s="67">
        <f t="shared" si="0"/>
        <v>2056</v>
      </c>
      <c r="C41" s="70"/>
      <c r="D41" s="259">
        <f t="shared" ref="D41:E41" si="14">D40*D40/D39</f>
        <v>152.49778274657996</v>
      </c>
      <c r="E41" s="259">
        <f t="shared" si="14"/>
        <v>63.10771562479929</v>
      </c>
      <c r="F41" s="264"/>
      <c r="G41" s="69">
        <f t="shared" si="1"/>
        <v>59.144548386994138</v>
      </c>
      <c r="H41" s="68"/>
      <c r="I41" s="259"/>
      <c r="J41" s="69">
        <f t="shared" si="8"/>
        <v>59.144548386994138</v>
      </c>
      <c r="K41" s="69">
        <f t="shared" si="3"/>
        <v>215.61</v>
      </c>
      <c r="L41" s="68">
        <f t="shared" si="9"/>
        <v>215.60549837137924</v>
      </c>
      <c r="P41" s="78"/>
      <c r="Q41" s="69"/>
    </row>
    <row r="42" spans="2:17" ht="15">
      <c r="B42" s="67">
        <f t="shared" si="0"/>
        <v>2057</v>
      </c>
      <c r="C42" s="70"/>
      <c r="D42" s="259">
        <f t="shared" ref="D42:E42" si="15">D41*D41/D40</f>
        <v>155.82223435247846</v>
      </c>
      <c r="E42" s="259">
        <f t="shared" si="15"/>
        <v>64.483463801427504</v>
      </c>
      <c r="F42" s="264"/>
      <c r="G42" s="69">
        <f t="shared" si="1"/>
        <v>60.433899519344912</v>
      </c>
      <c r="H42" s="68"/>
      <c r="I42" s="259"/>
      <c r="J42" s="69">
        <f t="shared" si="8"/>
        <v>60.433899519344912</v>
      </c>
      <c r="K42" s="69">
        <f t="shared" si="3"/>
        <v>220.31</v>
      </c>
      <c r="L42" s="68">
        <f t="shared" si="9"/>
        <v>220.30569815390595</v>
      </c>
      <c r="P42" s="78"/>
      <c r="Q42" s="69"/>
    </row>
    <row r="43" spans="2:17" ht="15">
      <c r="B43" s="67">
        <f t="shared" si="0"/>
        <v>2058</v>
      </c>
      <c r="C43" s="70"/>
      <c r="D43" s="259">
        <f t="shared" ref="D43:E43" si="16">D42*D42/D41</f>
        <v>159.21915900212167</v>
      </c>
      <c r="E43" s="259">
        <f t="shared" si="16"/>
        <v>65.889203287783189</v>
      </c>
      <c r="F43" s="264"/>
      <c r="G43" s="69">
        <f t="shared" si="1"/>
        <v>61.751358505890749</v>
      </c>
      <c r="H43" s="68"/>
      <c r="I43" s="259"/>
      <c r="J43" s="69">
        <f t="shared" si="8"/>
        <v>61.751358505890749</v>
      </c>
      <c r="K43" s="69">
        <f t="shared" si="3"/>
        <v>225.11</v>
      </c>
      <c r="L43" s="68">
        <f t="shared" si="9"/>
        <v>225.10836228990485</v>
      </c>
      <c r="P43" s="78"/>
      <c r="Q43" s="69"/>
    </row>
    <row r="44" spans="2:17" ht="15">
      <c r="B44" s="67">
        <f t="shared" si="0"/>
        <v>2059</v>
      </c>
      <c r="C44" s="70"/>
      <c r="D44" s="259">
        <f t="shared" ref="D44:E44" si="17">D43*D43/D42</f>
        <v>162.69013660783565</v>
      </c>
      <c r="E44" s="259">
        <f t="shared" si="17"/>
        <v>67.325587894406993</v>
      </c>
      <c r="F44" s="264"/>
      <c r="G44" s="69">
        <f t="shared" si="1"/>
        <v>63.097538097842417</v>
      </c>
      <c r="H44" s="68"/>
      <c r="I44" s="259"/>
      <c r="J44" s="69">
        <f t="shared" si="8"/>
        <v>63.097538097842417</v>
      </c>
      <c r="K44" s="69">
        <f t="shared" si="3"/>
        <v>230.02</v>
      </c>
      <c r="L44" s="68">
        <f t="shared" si="9"/>
        <v>230.01572450224265</v>
      </c>
      <c r="P44" s="78"/>
      <c r="Q44" s="69"/>
    </row>
    <row r="45" spans="2:17" ht="15">
      <c r="B45" s="67">
        <f t="shared" si="0"/>
        <v>2060</v>
      </c>
      <c r="C45" s="70"/>
      <c r="D45" s="259">
        <f t="shared" ref="D45:E46" si="18">D44*D44/D43</f>
        <v>166.2367815240346</v>
      </c>
      <c r="E45" s="259">
        <f t="shared" si="18"/>
        <v>68.793285684909108</v>
      </c>
      <c r="F45" s="264"/>
      <c r="G45" s="69">
        <f t="shared" si="1"/>
        <v>64.473064404386832</v>
      </c>
      <c r="H45" s="68"/>
      <c r="I45" s="259"/>
      <c r="J45" s="69">
        <f t="shared" si="8"/>
        <v>64.473064404386832</v>
      </c>
      <c r="K45" s="69">
        <f t="shared" si="3"/>
        <v>235.03</v>
      </c>
      <c r="L45" s="68">
        <f t="shared" si="9"/>
        <v>235.03006720894371</v>
      </c>
      <c r="P45" s="78"/>
      <c r="Q45" s="69"/>
    </row>
    <row r="46" spans="2:17" ht="15">
      <c r="B46" s="67">
        <f t="shared" si="0"/>
        <v>2061</v>
      </c>
      <c r="C46" s="70"/>
      <c r="D46" s="259">
        <f t="shared" si="18"/>
        <v>169.86074329805831</v>
      </c>
      <c r="E46" s="259">
        <f t="shared" si="18"/>
        <v>70.292979286686176</v>
      </c>
      <c r="F46" s="264"/>
      <c r="G46" s="69">
        <f t="shared" si="1"/>
        <v>65.878577183890968</v>
      </c>
      <c r="H46" s="68"/>
      <c r="I46" s="259"/>
      <c r="J46" s="69">
        <f t="shared" ref="J46" si="19">(G46+H46+I46)</f>
        <v>65.878577183890968</v>
      </c>
      <c r="K46" s="69">
        <f t="shared" si="3"/>
        <v>240.15</v>
      </c>
      <c r="L46" s="68">
        <f t="shared" ref="L46" si="20">(D46+E46+F46)</f>
        <v>240.15372258474449</v>
      </c>
      <c r="P46" s="78"/>
      <c r="Q46" s="69"/>
    </row>
    <row r="47" spans="2:17">
      <c r="B47" s="67"/>
      <c r="C47" s="70"/>
      <c r="D47" s="68"/>
      <c r="E47" s="68"/>
      <c r="F47" s="68"/>
      <c r="G47" s="69"/>
      <c r="H47" s="68"/>
      <c r="I47" s="68"/>
      <c r="J47" s="68"/>
      <c r="K47" s="68"/>
      <c r="L47" s="68"/>
      <c r="M47" s="68"/>
    </row>
    <row r="48" spans="2:17">
      <c r="B48" s="67" t="s">
        <v>307</v>
      </c>
      <c r="C48" s="70"/>
      <c r="D48" s="68"/>
      <c r="E48" s="68"/>
      <c r="F48" s="68">
        <f>NPV(Discount_Rate,F16:F45)</f>
        <v>0</v>
      </c>
      <c r="G48" s="69"/>
      <c r="H48" s="68"/>
      <c r="I48" s="68"/>
      <c r="J48" s="69">
        <f>-PMT(Discount_Rate,COUNT(J$16:J$45),NPV(Discount_Rate,J$16:J$45))</f>
        <v>14.559301381535818</v>
      </c>
      <c r="K48" s="69">
        <f>-PMT(Discount_Rate,COUNT(K$16:K$45),NPV(Discount_Rate,K$16:K$45))</f>
        <v>53.074897199128884</v>
      </c>
      <c r="L48" s="69">
        <f>-PMT(Discount_Rate,COUNT(L$16:L$45),NPV(Discount_Rate,L$16:L$45))</f>
        <v>158.8067412592269</v>
      </c>
      <c r="M48" s="72"/>
    </row>
    <row r="49" spans="2:20" ht="14.25">
      <c r="B49" s="73" t="s">
        <v>25</v>
      </c>
      <c r="C49" s="74"/>
      <c r="D49" s="74"/>
      <c r="E49" s="74"/>
      <c r="F49" s="74"/>
      <c r="G49" s="74"/>
      <c r="H49" s="74"/>
      <c r="I49" s="74"/>
    </row>
    <row r="51" spans="2:20">
      <c r="B51" s="60" t="s">
        <v>59</v>
      </c>
      <c r="C51" s="75" t="s">
        <v>60</v>
      </c>
      <c r="D51" s="146" t="s">
        <v>186</v>
      </c>
    </row>
    <row r="52" spans="2:20">
      <c r="C52" s="75" t="str">
        <f>C7</f>
        <v>(a)</v>
      </c>
      <c r="D52" s="60" t="s">
        <v>61</v>
      </c>
    </row>
    <row r="53" spans="2:20">
      <c r="C53" s="75" t="str">
        <f>D7</f>
        <v>(b)</v>
      </c>
      <c r="D53" s="69" t="str">
        <f>"= "&amp;C7&amp;" x "&amp;C60</f>
        <v>= (a) x 0.06316</v>
      </c>
    </row>
    <row r="54" spans="2:20">
      <c r="C54" s="75">
        <f>F7</f>
        <v>0</v>
      </c>
      <c r="D54" s="69" t="str">
        <f>"= ("&amp;$D$7&amp;" + "&amp;$E$7&amp;") /  (8.76 x "&amp;TEXT(C61,"0.0%")&amp;")"</f>
        <v>= ((b) + (c)) /  (8.76 x 41.6%)</v>
      </c>
    </row>
    <row r="55" spans="2:20">
      <c r="C55" s="75" t="str">
        <f>J7</f>
        <v>(g)</v>
      </c>
      <c r="D55" s="69" t="str">
        <f>"= "&amp;$G$7&amp;" + "&amp;$H$7</f>
        <v>= (e) + (f)</v>
      </c>
    </row>
    <row r="56" spans="2:20">
      <c r="C56" s="75" t="str">
        <f>K7</f>
        <v>(h)</v>
      </c>
      <c r="D56" t="str">
        <f>D51</f>
        <v>Plant Costs  - 2025 IRP - Table 7.1 &amp; 7.2</v>
      </c>
    </row>
    <row r="57" spans="2:20">
      <c r="Q57" s="60" t="s">
        <v>82</v>
      </c>
      <c r="R57" s="67">
        <v>2031</v>
      </c>
      <c r="T57" s="156" t="s">
        <v>149</v>
      </c>
    </row>
    <row r="58" spans="2:20">
      <c r="B58"/>
      <c r="C58" s="274"/>
      <c r="P58" s="143"/>
      <c r="T58" s="156"/>
    </row>
    <row r="59" spans="2:20">
      <c r="B59"/>
      <c r="C59" s="275"/>
      <c r="Q59" s="60" t="s">
        <v>189</v>
      </c>
      <c r="R59" s="78">
        <v>244.18979999999999</v>
      </c>
    </row>
    <row r="60" spans="2:20">
      <c r="C60" s="154">
        <v>6.3159999999999994E-2</v>
      </c>
      <c r="D60" s="60" t="s">
        <v>197</v>
      </c>
      <c r="E60" s="150"/>
      <c r="F60" s="273" t="s">
        <v>198</v>
      </c>
      <c r="J60" s="258"/>
      <c r="L60" s="145"/>
      <c r="M60" s="80"/>
      <c r="N60" s="80"/>
      <c r="P60" s="81"/>
    </row>
    <row r="61" spans="2:20">
      <c r="C61" s="154">
        <v>0.41614147855251299</v>
      </c>
      <c r="D61" s="60" t="s">
        <v>35</v>
      </c>
    </row>
    <row r="62" spans="2:20">
      <c r="C62" s="161"/>
      <c r="D62" s="79"/>
      <c r="H62" s="348">
        <v>1.1000000000000001</v>
      </c>
      <c r="I62" s="60" t="s">
        <v>305</v>
      </c>
    </row>
    <row r="63" spans="2:20" ht="15">
      <c r="I63" s="105" t="s">
        <v>31</v>
      </c>
      <c r="J63" s="105" t="s">
        <v>302</v>
      </c>
    </row>
    <row r="64" spans="2:20" ht="15">
      <c r="C64" s="105"/>
      <c r="D64" s="105"/>
      <c r="E64" s="105"/>
      <c r="F64" s="105"/>
      <c r="G64" s="260">
        <v>47849</v>
      </c>
      <c r="H64" s="67">
        <f>YEAR(G64)</f>
        <v>2031</v>
      </c>
      <c r="I64" s="68">
        <f>IF($H$62=110%,INDEX('2025 IRP Assumptions'!$E$341:$E$361,MATCH(H64,'2025 IRP Assumptions'!$S$341:$S$361,0),1),INDEX('2025 IRP Assumptions'!$E$309:$E$338,MATCH(H64,'2025 IRP Assumptions'!$S$341:$S$361,0)))</f>
        <v>49.06</v>
      </c>
      <c r="J64" s="78">
        <f>I64*(8.76*$C$61)</f>
        <v>178.84329221500789</v>
      </c>
    </row>
    <row r="65" spans="3:10" ht="15">
      <c r="C65" s="260"/>
      <c r="D65" s="105"/>
      <c r="E65" s="241"/>
      <c r="F65" s="265"/>
      <c r="G65" s="260">
        <v>48214</v>
      </c>
      <c r="H65" s="67">
        <f>YEAR(G65)</f>
        <v>2032</v>
      </c>
      <c r="I65" s="68">
        <f>IF($H$62=110%,INDEX('2025 IRP Assumptions'!$E$341:$E$361,MATCH(H65,'2025 IRP Assumptions'!$S$341:$S$361,0),1),INDEX('2025 IRP Assumptions'!$E$309:$E$338,MATCH(H65,'2025 IRP Assumptions'!$S$341:$S$361,0)))</f>
        <v>50.39</v>
      </c>
      <c r="J65" s="78">
        <f t="shared" ref="J65:J73" si="21">I65*(8.76*$C$61)</f>
        <v>183.6916733533275</v>
      </c>
    </row>
    <row r="66" spans="3:10" ht="15">
      <c r="C66" s="260"/>
      <c r="D66" s="105"/>
      <c r="E66" s="241"/>
      <c r="F66" s="265"/>
      <c r="G66" s="260">
        <v>48580</v>
      </c>
      <c r="H66" s="67">
        <f t="shared" ref="H66:H73" si="22">YEAR(G66)</f>
        <v>2033</v>
      </c>
      <c r="I66" s="68">
        <f>IF($H$62=110%,INDEX('2025 IRP Assumptions'!$E$341:$E$361,MATCH(H66,'2025 IRP Assumptions'!$S$341:$S$361,0),1),INDEX('2025 IRP Assumptions'!$E$309:$E$338,MATCH(H66,'2025 IRP Assumptions'!$S$341:$S$361,0)))</f>
        <v>50.39</v>
      </c>
      <c r="J66" s="78">
        <f t="shared" si="21"/>
        <v>183.6916733533275</v>
      </c>
    </row>
    <row r="67" spans="3:10" ht="15">
      <c r="C67" s="260"/>
      <c r="D67" s="105"/>
      <c r="E67" s="241"/>
      <c r="F67" s="265"/>
      <c r="G67" s="260">
        <v>48945</v>
      </c>
      <c r="H67" s="67">
        <f t="shared" si="22"/>
        <v>2034</v>
      </c>
      <c r="I67" s="68">
        <f>IF($H$62=110%,INDEX('2025 IRP Assumptions'!$E$341:$E$361,MATCH(H67,'2025 IRP Assumptions'!$S$341:$S$361,0),1),INDEX('2025 IRP Assumptions'!$E$309:$E$338,MATCH(H67,'2025 IRP Assumptions'!$S$341:$S$361,0)))</f>
        <v>51.71</v>
      </c>
      <c r="J67" s="78">
        <f t="shared" si="21"/>
        <v>188.50360049812593</v>
      </c>
    </row>
    <row r="68" spans="3:10" ht="15">
      <c r="C68" s="260"/>
      <c r="D68" s="105"/>
      <c r="E68" s="241"/>
      <c r="F68" s="265"/>
      <c r="G68" s="260">
        <v>49310</v>
      </c>
      <c r="H68" s="67">
        <f t="shared" si="22"/>
        <v>2035</v>
      </c>
      <c r="I68" s="68">
        <f>IF($H$62=110%,INDEX('2025 IRP Assumptions'!$E$341:$E$361,MATCH(H68,'2025 IRP Assumptions'!$S$341:$S$361,0),1),INDEX('2025 IRP Assumptions'!$E$309:$E$338,MATCH(H68,'2025 IRP Assumptions'!$S$341:$S$361,0)))</f>
        <v>53.04</v>
      </c>
      <c r="J68" s="78">
        <f t="shared" si="21"/>
        <v>193.35198163644554</v>
      </c>
    </row>
    <row r="69" spans="3:10" ht="15">
      <c r="C69" s="260"/>
      <c r="D69" s="105"/>
      <c r="E69" s="241"/>
      <c r="F69" s="265"/>
      <c r="G69" s="260">
        <v>49675</v>
      </c>
      <c r="H69" s="67">
        <f t="shared" si="22"/>
        <v>2036</v>
      </c>
      <c r="I69" s="68">
        <f>IF($H$62=110%,INDEX('2025 IRP Assumptions'!$E$341:$E$361,MATCH(H69,'2025 IRP Assumptions'!$S$341:$S$361,0),1),INDEX('2025 IRP Assumptions'!$E$309:$E$338,MATCH(H69,'2025 IRP Assumptions'!$S$341:$S$361,0)))</f>
        <v>54.37</v>
      </c>
      <c r="J69" s="78">
        <f t="shared" si="21"/>
        <v>198.20036277476515</v>
      </c>
    </row>
    <row r="70" spans="3:10" ht="15">
      <c r="C70" s="260"/>
      <c r="D70" s="105"/>
      <c r="E70" s="241"/>
      <c r="F70" s="265"/>
      <c r="G70" s="260">
        <v>50041</v>
      </c>
      <c r="H70" s="67">
        <f t="shared" si="22"/>
        <v>2037</v>
      </c>
      <c r="I70" s="68">
        <f>IF($H$62=110%,INDEX('2025 IRP Assumptions'!$E$341:$E$361,MATCH(H70,'2025 IRP Assumptions'!$S$341:$S$361,0),1),INDEX('2025 IRP Assumptions'!$E$309:$E$338,MATCH(H70,'2025 IRP Assumptions'!$S$341:$S$361,0)))</f>
        <v>55.69</v>
      </c>
      <c r="J70" s="78">
        <f t="shared" si="21"/>
        <v>203.01228991956356</v>
      </c>
    </row>
    <row r="71" spans="3:10" ht="15">
      <c r="C71" s="260"/>
      <c r="D71" s="105"/>
      <c r="E71" s="241"/>
      <c r="F71" s="265"/>
      <c r="G71" s="260">
        <v>50406</v>
      </c>
      <c r="H71" s="67">
        <f t="shared" si="22"/>
        <v>2038</v>
      </c>
      <c r="I71" s="68">
        <f>IF($H$62=110%,INDEX('2025 IRP Assumptions'!$E$341:$E$361,MATCH(H71,'2025 IRP Assumptions'!$S$341:$S$361,0),1),INDEX('2025 IRP Assumptions'!$E$309:$E$338,MATCH(H71,'2025 IRP Assumptions'!$S$341:$S$361,0)))</f>
        <v>55.69</v>
      </c>
      <c r="J71" s="78">
        <f t="shared" si="21"/>
        <v>203.01228991956356</v>
      </c>
    </row>
    <row r="72" spans="3:10" ht="15">
      <c r="C72" s="260"/>
      <c r="D72" s="105"/>
      <c r="E72" s="241"/>
      <c r="F72" s="265"/>
      <c r="G72" s="260">
        <v>50771</v>
      </c>
      <c r="H72" s="67">
        <f t="shared" si="22"/>
        <v>2039</v>
      </c>
      <c r="I72" s="68">
        <f>IF($H$62=110%,INDEX('2025 IRP Assumptions'!$E$341:$E$361,MATCH(H72,'2025 IRP Assumptions'!$S$341:$S$361,0),1),INDEX('2025 IRP Assumptions'!$E$309:$E$338,MATCH(H72,'2025 IRP Assumptions'!$S$341:$S$361,0)))</f>
        <v>57.02</v>
      </c>
      <c r="J72" s="78">
        <f t="shared" si="21"/>
        <v>207.8606710578832</v>
      </c>
    </row>
    <row r="73" spans="3:10" ht="15">
      <c r="C73" s="260"/>
      <c r="D73" s="105"/>
      <c r="E73" s="241"/>
      <c r="F73" s="265"/>
      <c r="G73" s="260">
        <v>51136</v>
      </c>
      <c r="H73" s="67">
        <f t="shared" si="22"/>
        <v>2040</v>
      </c>
      <c r="I73" s="68">
        <f>IF($H$62=110%,INDEX('2025 IRP Assumptions'!$E$341:$E$361,MATCH(H73,'2025 IRP Assumptions'!$S$341:$S$361,0),1),INDEX('2025 IRP Assumptions'!$E$309:$E$338,MATCH(H73,'2025 IRP Assumptions'!$S$341:$S$361,0)))</f>
        <v>58.35</v>
      </c>
      <c r="J73" s="78">
        <f t="shared" si="21"/>
        <v>212.7090521962028</v>
      </c>
    </row>
    <row r="74" spans="3:10" ht="15">
      <c r="C74" s="260"/>
      <c r="D74" s="105"/>
      <c r="E74" s="241"/>
      <c r="F74" s="265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177</v>
      </c>
      <c r="J76" s="60">
        <f>INDEX('2025 IRP Assumptions'!$E$126:$E$157,MATCH(T57,'2025 IRP Assumptions'!$C$126:$C$157,0),1)</f>
        <v>30</v>
      </c>
    </row>
    <row r="77" spans="3:10" ht="15">
      <c r="C77" s="105"/>
      <c r="D77" s="105"/>
      <c r="E77" s="261"/>
      <c r="F77" s="261"/>
      <c r="G77" s="105" t="s">
        <v>310</v>
      </c>
      <c r="I77" s="261"/>
      <c r="J77" s="261">
        <f>-PMT(Real_Discount_Rate,J76,NPV(Discount_Rate,J64:J73))</f>
        <v>81.937953483787723</v>
      </c>
    </row>
    <row r="80" spans="3:10">
      <c r="C80" s="77"/>
      <c r="D80" s="79"/>
    </row>
    <row r="81" spans="3:4">
      <c r="C81" s="77"/>
      <c r="D81" s="79"/>
    </row>
    <row r="82" spans="3:4">
      <c r="C82" s="77"/>
      <c r="D82" s="79"/>
    </row>
    <row r="83" spans="3:4">
      <c r="C83" s="77"/>
      <c r="D83" s="79"/>
    </row>
    <row r="84" spans="3:4">
      <c r="C84" s="77"/>
      <c r="D84" s="79"/>
    </row>
    <row r="85" spans="3:4">
      <c r="C85" s="77"/>
      <c r="D85" s="79"/>
    </row>
    <row r="86" spans="3:4">
      <c r="C86" s="77"/>
      <c r="D86" s="79"/>
    </row>
    <row r="87" spans="3:4">
      <c r="C87" s="77"/>
      <c r="D87" s="79"/>
    </row>
    <row r="88" spans="3:4">
      <c r="C88" s="77"/>
      <c r="D88" s="79"/>
    </row>
    <row r="89" spans="3:4">
      <c r="C89" s="77"/>
      <c r="D89" s="79"/>
    </row>
  </sheetData>
  <hyperlinks>
    <hyperlink ref="F60" r:id="rId1" xr:uid="{2ECB194A-DBBB-4F8C-B20C-A1A332164D80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78FAB-9259-475F-BB5E-F76CD6BD7A13}">
  <sheetPr>
    <tabColor rgb="FFFFFF00"/>
    <pageSetUpPr fitToPage="1"/>
  </sheetPr>
  <dimension ref="B1:AC89"/>
  <sheetViews>
    <sheetView topLeftCell="A5" zoomScaleNormal="100" workbookViewId="0">
      <selection activeCell="F18" sqref="F18:F19"/>
    </sheetView>
  </sheetViews>
  <sheetFormatPr defaultColWidth="9.33203125" defaultRowHeight="12.75"/>
  <cols>
    <col min="1" max="1" width="13.33203125" style="60" customWidth="1"/>
    <col min="2" max="2" width="15" style="60" customWidth="1"/>
    <col min="3" max="3" width="19.33203125" style="60" customWidth="1"/>
    <col min="4" max="4" width="22.83203125" style="60" customWidth="1"/>
    <col min="5" max="5" width="13.33203125" style="60" customWidth="1"/>
    <col min="6" max="6" width="18.83203125" style="60" customWidth="1"/>
    <col min="7" max="7" width="23" style="60" customWidth="1"/>
    <col min="8" max="8" width="9.5" style="60" bestFit="1" customWidth="1"/>
    <col min="9" max="9" width="10.5" style="60" customWidth="1"/>
    <col min="10" max="10" width="12.6640625" style="60" customWidth="1"/>
    <col min="11" max="11" width="14" style="60" customWidth="1"/>
    <col min="12" max="12" width="13.33203125" style="60" customWidth="1"/>
    <col min="13" max="13" width="3.1640625" style="60" customWidth="1"/>
    <col min="14" max="14" width="15" style="60" hidden="1" customWidth="1"/>
    <col min="15" max="15" width="5.6640625" style="60" customWidth="1"/>
    <col min="16" max="16" width="9.33203125" style="60" customWidth="1"/>
    <col min="17" max="18" width="16" style="60" customWidth="1"/>
    <col min="19" max="19" width="23.5" style="60" customWidth="1"/>
    <col min="20" max="20" width="18.1640625" style="60" customWidth="1"/>
    <col min="21" max="21" width="13.33203125" style="60" customWidth="1"/>
    <col min="22" max="22" width="18.1640625" style="60" customWidth="1"/>
    <col min="23" max="23" width="12.83203125" style="60" customWidth="1"/>
    <col min="24" max="24" width="15.33203125" style="60" customWidth="1"/>
    <col min="25" max="26" width="9.33203125" style="60"/>
    <col min="27" max="27" width="13.33203125" style="60" customWidth="1"/>
    <col min="28" max="28" width="13.6640625" style="60" customWidth="1"/>
    <col min="29" max="29" width="12" style="60" bestFit="1" customWidth="1"/>
    <col min="30" max="16384" width="9.33203125" style="60"/>
  </cols>
  <sheetData>
    <row r="1" spans="2:29" ht="15.75">
      <c r="B1" s="58" t="s">
        <v>53</v>
      </c>
      <c r="C1" s="59"/>
      <c r="D1" s="59"/>
      <c r="E1" s="59"/>
      <c r="F1" s="59"/>
      <c r="G1" s="59"/>
      <c r="H1" s="59"/>
      <c r="I1" s="59"/>
      <c r="J1" s="59"/>
      <c r="K1" s="59"/>
    </row>
    <row r="2" spans="2:29" ht="15.75">
      <c r="B2" s="58" t="str">
        <f>T57</f>
        <v>PV_.PX.BDG._.PTC.Utility_Scale</v>
      </c>
      <c r="C2" s="59"/>
      <c r="D2" s="59"/>
      <c r="E2" s="59"/>
      <c r="F2" s="59"/>
      <c r="G2" s="59"/>
      <c r="H2" s="59"/>
      <c r="I2" s="59"/>
      <c r="J2" s="59"/>
      <c r="K2" s="59"/>
    </row>
    <row r="3" spans="2:29" ht="15.75">
      <c r="B3" s="58" t="str">
        <f>TEXT($C$61,"0%")&amp;" Capacity Factor"</f>
        <v>30% Capacity Factor</v>
      </c>
      <c r="C3" s="59"/>
      <c r="D3" s="59"/>
      <c r="E3" s="59"/>
      <c r="F3" s="59"/>
      <c r="G3" s="59"/>
      <c r="H3" s="59"/>
      <c r="I3" s="59"/>
      <c r="J3" s="59"/>
      <c r="K3" s="59"/>
    </row>
    <row r="4" spans="2:29">
      <c r="B4" s="59"/>
      <c r="C4" s="59"/>
      <c r="D4" s="59"/>
      <c r="E4" s="59"/>
      <c r="F4" s="59"/>
      <c r="G4" s="59"/>
      <c r="H4" s="59"/>
      <c r="I4" s="59"/>
      <c r="Q4" s="263"/>
      <c r="R4" s="263"/>
    </row>
    <row r="5" spans="2:29" ht="51.75" customHeight="1">
      <c r="B5" s="61" t="s">
        <v>0</v>
      </c>
      <c r="C5" s="62" t="s">
        <v>10</v>
      </c>
      <c r="D5" s="62" t="s">
        <v>11</v>
      </c>
      <c r="E5" s="62" t="s">
        <v>12</v>
      </c>
      <c r="F5" s="14"/>
      <c r="G5" s="62" t="s">
        <v>58</v>
      </c>
      <c r="H5" s="14" t="s">
        <v>13</v>
      </c>
      <c r="I5" s="62" t="s">
        <v>113</v>
      </c>
      <c r="J5" s="62" t="s">
        <v>64</v>
      </c>
      <c r="K5" s="14" t="s">
        <v>49</v>
      </c>
      <c r="L5" s="62" t="s">
        <v>86</v>
      </c>
      <c r="N5" s="100"/>
      <c r="O5" s="100"/>
      <c r="Q5" s="263"/>
      <c r="R5" s="263"/>
      <c r="T5" s="142"/>
      <c r="Z5" s="100"/>
      <c r="AA5" s="100"/>
    </row>
    <row r="6" spans="2:29" ht="24" customHeight="1">
      <c r="B6" s="63"/>
      <c r="C6" s="64" t="s">
        <v>8</v>
      </c>
      <c r="D6" s="65" t="s">
        <v>9</v>
      </c>
      <c r="E6" s="65" t="s">
        <v>9</v>
      </c>
      <c r="F6" s="16"/>
      <c r="G6" s="64" t="s">
        <v>31</v>
      </c>
      <c r="H6" s="15" t="s">
        <v>31</v>
      </c>
      <c r="I6" s="15" t="s">
        <v>31</v>
      </c>
      <c r="J6" s="64" t="s">
        <v>31</v>
      </c>
      <c r="K6" s="16" t="s">
        <v>9</v>
      </c>
      <c r="L6" s="65" t="s">
        <v>9</v>
      </c>
      <c r="W6" s="78"/>
      <c r="X6" s="78"/>
    </row>
    <row r="7" spans="2:29">
      <c r="C7" s="66" t="s">
        <v>1</v>
      </c>
      <c r="D7" s="66" t="s">
        <v>2</v>
      </c>
      <c r="E7" s="66" t="s">
        <v>3</v>
      </c>
      <c r="F7" s="66"/>
      <c r="G7" s="66" t="s">
        <v>5</v>
      </c>
      <c r="H7" s="66" t="s">
        <v>7</v>
      </c>
      <c r="I7" s="66" t="s">
        <v>22</v>
      </c>
      <c r="J7" s="66" t="s">
        <v>22</v>
      </c>
      <c r="K7" s="66" t="s">
        <v>23</v>
      </c>
      <c r="L7" s="66" t="s">
        <v>24</v>
      </c>
      <c r="U7" s="78"/>
    </row>
    <row r="8" spans="2:29" ht="21.75" customHeight="1">
      <c r="X8" s="71"/>
    </row>
    <row r="9" spans="2:29">
      <c r="B9" s="67">
        <v>2024</v>
      </c>
      <c r="C9" s="157">
        <f>INDEX('2025 IRP Assumptions'!$E$2:$E$58,MATCH($T$57,'2025 IRP Assumptions'!$C$2:$C$58,0),1)</f>
        <v>1216.55</v>
      </c>
      <c r="D9" s="68"/>
      <c r="E9" s="232">
        <f>INDEX('2025 IRP Assumptions'!$E$62:$E$118,MATCH($T$57,'2025 IRP Assumptions'!$C$62:$C$118,0),1)</f>
        <v>20.52</v>
      </c>
      <c r="F9" s="68"/>
      <c r="G9" s="69"/>
      <c r="H9" s="68"/>
      <c r="I9" s="68"/>
      <c r="J9" s="69"/>
      <c r="K9" s="69"/>
      <c r="L9" s="68"/>
      <c r="T9" s="70"/>
      <c r="X9" s="158"/>
    </row>
    <row r="10" spans="2:29">
      <c r="B10" s="67">
        <f t="shared" ref="B10:B46" si="0">B9+1</f>
        <v>2025</v>
      </c>
      <c r="C10" s="70">
        <f>$C$9*INDEX('2025 IRP Assumptions'!$E$192:$E$212,MATCH(B10,'2025 IRP Assumptions'!$S$192:$S$212,0),1)</f>
        <v>1295.73496334315</v>
      </c>
      <c r="D10" s="68"/>
      <c r="E10" s="68" cm="1">
        <f t="array" ref="E10">$E$9*INDEX('2025 IRP Assumptions'!$E$373:$E$396,'PV_.PX.BDG._.PTC.2031'!$B10-2023,1)</f>
        <v>20.967336</v>
      </c>
      <c r="F10" s="68"/>
      <c r="G10" s="69"/>
      <c r="H10" s="68"/>
      <c r="I10" s="68"/>
      <c r="J10" s="69"/>
      <c r="K10" s="69"/>
      <c r="L10" s="68"/>
      <c r="Q10" s="68"/>
      <c r="R10" s="68"/>
      <c r="U10" s="156"/>
      <c r="X10" s="158"/>
    </row>
    <row r="11" spans="2:29">
      <c r="B11" s="67">
        <f t="shared" si="0"/>
        <v>2026</v>
      </c>
      <c r="C11" s="70">
        <f>$C$9*INDEX('2025 IRP Assumptions'!$E$192:$E$212,MATCH(B11,'2025 IRP Assumptions'!$S$192:$S$212,0),1)</f>
        <v>1271.0525920728498</v>
      </c>
      <c r="D11" s="68"/>
      <c r="E11" s="68" cm="1">
        <f t="array" ref="E11">$E$9*INDEX('2025 IRP Assumptions'!$E$373:$E$396,'PV_.PX.BDG._.PTC.2031'!$B11-2023,1)</f>
        <v>21.424423924799999</v>
      </c>
      <c r="F11" s="68"/>
      <c r="G11" s="69"/>
      <c r="H11" s="68"/>
      <c r="I11" s="68"/>
      <c r="J11" s="69"/>
      <c r="K11" s="69"/>
      <c r="L11" s="68"/>
      <c r="Q11" s="68"/>
      <c r="R11" s="68"/>
      <c r="X11" s="158"/>
      <c r="AC11" s="144"/>
    </row>
    <row r="12" spans="2:29">
      <c r="B12" s="67">
        <f t="shared" si="0"/>
        <v>2027</v>
      </c>
      <c r="C12" s="70">
        <f>$C$9*INDEX('2025 IRP Assumptions'!$E$192:$E$212,MATCH(B12,'2025 IRP Assumptions'!$S$192:$S$212,0),1)</f>
        <v>1244.6782832086999</v>
      </c>
      <c r="D12" s="68"/>
      <c r="E12" s="68" cm="1">
        <f t="array" ref="E12">$E$9*INDEX('2025 IRP Assumptions'!$E$373:$E$396,'PV_.PX.BDG._.PTC.2031'!$B12-2023,1)</f>
        <v>21.891476361600002</v>
      </c>
      <c r="F12" s="68"/>
      <c r="G12" s="69"/>
      <c r="H12" s="68"/>
      <c r="I12" s="68"/>
      <c r="J12" s="69"/>
      <c r="K12" s="69"/>
      <c r="L12" s="68"/>
      <c r="P12" s="78"/>
      <c r="Q12" s="68"/>
      <c r="R12" s="68"/>
      <c r="U12" s="160"/>
      <c r="X12" s="158"/>
      <c r="Y12" s="160"/>
    </row>
    <row r="13" spans="2:29">
      <c r="B13" s="67">
        <f t="shared" si="0"/>
        <v>2028</v>
      </c>
      <c r="C13" s="70">
        <f>$C$9*INDEX('2025 IRP Assumptions'!$E$192:$E$212,MATCH(B13,'2025 IRP Assumptions'!$S$192:$S$212,0),1)</f>
        <v>1216.55</v>
      </c>
      <c r="D13" s="68"/>
      <c r="E13" s="68" cm="1">
        <f t="array" ref="E13">$E$9*INDEX('2025 IRP Assumptions'!$E$373:$E$396,'PV_.PX.BDG._.PTC.2031'!$B13-2023,1)</f>
        <v>22.36871055564</v>
      </c>
      <c r="F13" s="264"/>
      <c r="G13" s="69"/>
      <c r="H13" s="68"/>
      <c r="I13" s="68"/>
      <c r="J13" s="69"/>
      <c r="K13" s="69"/>
      <c r="L13" s="68"/>
      <c r="P13" s="78"/>
      <c r="Q13" s="68"/>
      <c r="R13" s="68"/>
      <c r="U13" s="160"/>
      <c r="W13" s="78"/>
      <c r="X13" s="158"/>
      <c r="Y13" s="160"/>
    </row>
    <row r="14" spans="2:29">
      <c r="B14" s="67">
        <f t="shared" si="0"/>
        <v>2029</v>
      </c>
      <c r="C14" s="70">
        <f>$C$9*INDEX('2025 IRP Assumptions'!$E$192:$E$212,MATCH(B14,'2025 IRP Assumptions'!$S$192:$S$212,0),1)</f>
        <v>1186.60380301185</v>
      </c>
      <c r="D14" s="68"/>
      <c r="E14" s="68" cm="1">
        <f t="array" ref="E14">$E$9*INDEX('2025 IRP Assumptions'!$E$373:$E$396,'PV_.PX.BDG._.PTC.2031'!$B14-2023,1)</f>
        <v>22.856348451240002</v>
      </c>
      <c r="F14" s="264"/>
      <c r="G14" s="69"/>
      <c r="H14" s="68"/>
      <c r="I14" s="68"/>
      <c r="J14" s="69"/>
      <c r="K14" s="69"/>
      <c r="L14" s="68"/>
      <c r="P14" s="78"/>
      <c r="Q14" s="68"/>
      <c r="R14" s="68"/>
      <c r="U14" s="160"/>
      <c r="V14" s="78"/>
      <c r="W14" s="78"/>
      <c r="X14" s="158"/>
      <c r="Y14" s="160"/>
      <c r="Z14" s="78"/>
    </row>
    <row r="15" spans="2:29">
      <c r="B15" s="67">
        <f t="shared" si="0"/>
        <v>2030</v>
      </c>
      <c r="C15" s="70">
        <f>$C$9*INDEX('2025 IRP Assumptions'!$E$192:$E$212,MATCH(B15,'2025 IRP Assumptions'!$S$192:$S$212,0),1)</f>
        <v>1154.7737978135001</v>
      </c>
      <c r="D15" s="68"/>
      <c r="E15" s="68" cm="1">
        <f t="array" ref="E15">$E$9*INDEX('2025 IRP Assumptions'!$E$373:$E$396,'PV_.PX.BDG._.PTC.2031'!$B15-2023,1)</f>
        <v>23.354616835439998</v>
      </c>
      <c r="F15" s="264"/>
      <c r="G15" s="69"/>
      <c r="H15" s="68"/>
      <c r="I15" s="68"/>
      <c r="J15" s="69"/>
      <c r="K15" s="69"/>
      <c r="L15" s="68"/>
      <c r="P15" s="78"/>
      <c r="Q15" s="68"/>
      <c r="R15" s="68"/>
      <c r="U15" s="160"/>
      <c r="V15" s="78"/>
      <c r="W15" s="78"/>
      <c r="X15" s="158"/>
      <c r="Y15" s="160"/>
      <c r="Z15" s="78"/>
      <c r="AA15" s="78"/>
    </row>
    <row r="16" spans="2:29">
      <c r="B16" s="67">
        <f t="shared" si="0"/>
        <v>2031</v>
      </c>
      <c r="C16" s="70">
        <f>$C$9*INDEX('2025 IRP Assumptions'!$E$192:$E$212,MATCH(B16,'2025 IRP Assumptions'!$S$192:$S$212,0),1)</f>
        <v>1120.9920826667001</v>
      </c>
      <c r="D16" s="232">
        <f>C16*$C$60</f>
        <v>76.911266791762301</v>
      </c>
      <c r="E16" s="68" cm="1">
        <f t="array" ref="E16">$E$9*INDEX('2025 IRP Assumptions'!$E$373:$E$396,'PV_.PX.BDG._.PTC.2031'!$B16-2023,1)</f>
        <v>23.863747481640001</v>
      </c>
      <c r="F16" s="264"/>
      <c r="G16" s="69">
        <f t="shared" ref="G16:G46" si="1">(D16+E16+F16)/(8.76*$C$61)</f>
        <v>38.406509695055568</v>
      </c>
      <c r="H16" s="68"/>
      <c r="I16" s="68">
        <f>-I64</f>
        <v>-49.06</v>
      </c>
      <c r="J16" s="69">
        <f>(G16+H16+I16)</f>
        <v>-10.653490304944434</v>
      </c>
      <c r="K16" s="69">
        <f t="shared" ref="K16:K46" si="2">ROUND(J16*$C$61*8.76,2)</f>
        <v>-27.95</v>
      </c>
      <c r="L16" s="68">
        <f t="shared" ref="L16:L46" si="3">(D16+E16+F16)</f>
        <v>100.77501427340231</v>
      </c>
      <c r="P16" s="78"/>
      <c r="Q16" s="68"/>
      <c r="R16" s="68"/>
      <c r="U16" s="160"/>
      <c r="V16" s="78"/>
      <c r="W16" s="78"/>
      <c r="X16" s="158"/>
      <c r="Y16" s="160"/>
      <c r="Z16" s="78"/>
      <c r="AA16" s="78"/>
    </row>
    <row r="17" spans="2:27">
      <c r="B17" s="67">
        <f t="shared" si="0"/>
        <v>2032</v>
      </c>
      <c r="C17" s="70"/>
      <c r="D17" s="68" cm="1">
        <f t="array" ref="D17">D16*INDEX('2025 IRP Assumptions'!$E$373:$E$396,'PV_.PX.BDG._.PTC.2031'!$B17-2023,1)/INDEX('2025 IRP Assumptions'!$E$373:$E$396,'PV_.PX.BDG._.PTC.2031'!$B17-2023-1,1)</f>
        <v>78.587932386487694</v>
      </c>
      <c r="E17" s="68" cm="1">
        <f t="array" ref="E17">$E$9*INDEX('2025 IRP Assumptions'!$E$373:$E$396,'PV_.PX.BDG._.PTC.2031'!$B17-2023,1)</f>
        <v>24.383977170120001</v>
      </c>
      <c r="F17" s="264"/>
      <c r="G17" s="69">
        <f t="shared" si="1"/>
        <v>39.243771595753891</v>
      </c>
      <c r="H17" s="68"/>
      <c r="I17" s="68">
        <f t="shared" ref="I17:I25" si="4">-I65</f>
        <v>-50.39</v>
      </c>
      <c r="J17" s="69">
        <f t="shared" ref="J17:J35" si="5">(G17+H17+I17)</f>
        <v>-11.146228404246109</v>
      </c>
      <c r="K17" s="69">
        <f t="shared" si="2"/>
        <v>-29.25</v>
      </c>
      <c r="L17" s="68">
        <f t="shared" si="3"/>
        <v>102.9719095566077</v>
      </c>
      <c r="P17" s="78"/>
      <c r="Q17" s="68"/>
      <c r="R17" s="68"/>
      <c r="T17" s="78"/>
      <c r="V17" s="78"/>
      <c r="W17" s="78"/>
      <c r="Y17" s="78"/>
      <c r="Z17" s="78"/>
      <c r="AA17" s="78"/>
    </row>
    <row r="18" spans="2:27">
      <c r="B18" s="67">
        <f t="shared" si="0"/>
        <v>2033</v>
      </c>
      <c r="C18" s="70"/>
      <c r="D18" s="68" cm="1">
        <f t="array" ref="D18">D17*INDEX('2025 IRP Assumptions'!$E$373:$E$396,'PV_.PX.BDG._.PTC.2031'!$B18-2023,1)/INDEX('2025 IRP Assumptions'!$E$373:$E$396,'PV_.PX.BDG._.PTC.2031'!$B18-2023-1,1)</f>
        <v>80.301149313452228</v>
      </c>
      <c r="E18" s="68" cm="1">
        <f t="array" ref="E18">$E$9*INDEX('2025 IRP Assumptions'!$E$373:$E$396,'PV_.PX.BDG._.PTC.2031'!$B18-2023,1)</f>
        <v>24.915547872719998</v>
      </c>
      <c r="F18" s="264"/>
      <c r="G18" s="69">
        <f t="shared" si="1"/>
        <v>40.099285817010276</v>
      </c>
      <c r="H18" s="68"/>
      <c r="I18" s="68">
        <f t="shared" si="4"/>
        <v>-50.39</v>
      </c>
      <c r="J18" s="69">
        <f t="shared" si="5"/>
        <v>-10.290714182989724</v>
      </c>
      <c r="K18" s="69">
        <f t="shared" si="2"/>
        <v>-27</v>
      </c>
      <c r="L18" s="68">
        <f t="shared" si="3"/>
        <v>105.21669718617223</v>
      </c>
      <c r="P18" s="78"/>
      <c r="Q18" s="68"/>
      <c r="R18" s="68"/>
      <c r="T18" s="78"/>
      <c r="V18" s="78"/>
      <c r="W18" s="78"/>
      <c r="Y18" s="78"/>
      <c r="Z18" s="78"/>
      <c r="AA18" s="78"/>
    </row>
    <row r="19" spans="2:27">
      <c r="B19" s="67">
        <f t="shared" si="0"/>
        <v>2034</v>
      </c>
      <c r="C19" s="70"/>
      <c r="D19" s="68" cm="1">
        <f t="array" ref="D19">D18*INDEX('2025 IRP Assumptions'!$E$373:$E$396,'PV_.PX.BDG._.PTC.2031'!$B19-2023,1)/INDEX('2025 IRP Assumptions'!$E$373:$E$396,'PV_.PX.BDG._.PTC.2031'!$B19-2023-1,1)</f>
        <v>82.051714428350522</v>
      </c>
      <c r="E19" s="68" cm="1">
        <f t="array" ref="E19">$E$9*INDEX('2025 IRP Assumptions'!$E$373:$E$396,'PV_.PX.BDG._.PTC.2031'!$B19-2023,1)</f>
        <v>25.458706834919997</v>
      </c>
      <c r="F19" s="264"/>
      <c r="G19" s="69">
        <f t="shared" si="1"/>
        <v>40.973450277715379</v>
      </c>
      <c r="H19" s="68"/>
      <c r="I19" s="68">
        <f t="shared" si="4"/>
        <v>-51.71</v>
      </c>
      <c r="J19" s="69">
        <f t="shared" si="5"/>
        <v>-10.736549722284622</v>
      </c>
      <c r="K19" s="69">
        <f t="shared" si="2"/>
        <v>-28.17</v>
      </c>
      <c r="L19" s="68">
        <f t="shared" si="3"/>
        <v>107.51042126327052</v>
      </c>
      <c r="P19" s="78"/>
      <c r="Q19" s="68"/>
      <c r="R19" s="68"/>
      <c r="T19" s="78"/>
      <c r="V19" s="78"/>
      <c r="W19" s="78"/>
      <c r="Y19" s="78"/>
      <c r="Z19" s="78"/>
      <c r="AA19" s="78"/>
    </row>
    <row r="20" spans="2:27">
      <c r="B20" s="67">
        <f t="shared" si="0"/>
        <v>2035</v>
      </c>
      <c r="C20" s="70"/>
      <c r="D20" s="68" cm="1">
        <f t="array" ref="D20">D19*INDEX('2025 IRP Assumptions'!$E$373:$E$396,'PV_.PX.BDG._.PTC.2031'!$B20-2023,1)/INDEX('2025 IRP Assumptions'!$E$373:$E$396,'PV_.PX.BDG._.PTC.2031'!$B20-2023-1,1)</f>
        <v>83.840441781870993</v>
      </c>
      <c r="E20" s="68" cm="1">
        <f t="array" ref="E20">$E$9*INDEX('2025 IRP Assumptions'!$E$373:$E$396,'PV_.PX.BDG._.PTC.2031'!$B20-2023,1)</f>
        <v>26.013706637399999</v>
      </c>
      <c r="F20" s="264"/>
      <c r="G20" s="69">
        <f t="shared" si="1"/>
        <v>41.86667148327421</v>
      </c>
      <c r="H20" s="68"/>
      <c r="I20" s="68">
        <f t="shared" si="4"/>
        <v>-53.04</v>
      </c>
      <c r="J20" s="69">
        <f t="shared" si="5"/>
        <v>-11.173328516725789</v>
      </c>
      <c r="K20" s="69">
        <f t="shared" si="2"/>
        <v>-29.32</v>
      </c>
      <c r="L20" s="68">
        <f t="shared" si="3"/>
        <v>109.85414841927098</v>
      </c>
      <c r="P20" s="78"/>
      <c r="Q20" s="68"/>
      <c r="R20" s="68"/>
      <c r="T20" s="78"/>
      <c r="V20" s="78"/>
      <c r="W20" s="78"/>
      <c r="Y20" s="78"/>
      <c r="Z20" s="78"/>
      <c r="AA20" s="78"/>
    </row>
    <row r="21" spans="2:27">
      <c r="B21" s="67">
        <f t="shared" si="0"/>
        <v>2036</v>
      </c>
      <c r="C21" s="70"/>
      <c r="D21" s="68" cm="1">
        <f t="array" ref="D21">D20*INDEX('2025 IRP Assumptions'!$E$373:$E$396,'PV_.PX.BDG._.PTC.2031'!$B21-2023,1)/INDEX('2025 IRP Assumptions'!$E$373:$E$396,'PV_.PX.BDG._.PTC.2031'!$B21-2023-1,1)</f>
        <v>85.668163413310992</v>
      </c>
      <c r="E21" s="68" cm="1">
        <f t="array" ref="E21">$E$9*INDEX('2025 IRP Assumptions'!$E$373:$E$396,'PV_.PX.BDG._.PTC.2031'!$B21-2023,1)</f>
        <v>26.580805442279999</v>
      </c>
      <c r="F21" s="264"/>
      <c r="G21" s="69">
        <f t="shared" si="1"/>
        <v>42.779364921906819</v>
      </c>
      <c r="H21" s="68"/>
      <c r="I21" s="68">
        <f t="shared" si="4"/>
        <v>-54.37</v>
      </c>
      <c r="J21" s="69">
        <f t="shared" si="5"/>
        <v>-11.590635078093179</v>
      </c>
      <c r="K21" s="69">
        <f t="shared" si="2"/>
        <v>-30.41</v>
      </c>
      <c r="L21" s="68">
        <f t="shared" si="3"/>
        <v>112.24896885559099</v>
      </c>
      <c r="P21" s="78"/>
      <c r="Q21" s="68"/>
      <c r="R21" s="68"/>
      <c r="T21" s="78"/>
      <c r="V21" s="78"/>
      <c r="W21" s="78"/>
      <c r="Y21" s="78"/>
      <c r="Z21" s="78"/>
      <c r="AA21" s="78"/>
    </row>
    <row r="22" spans="2:27">
      <c r="B22" s="67">
        <f t="shared" si="0"/>
        <v>2037</v>
      </c>
      <c r="C22" s="70"/>
      <c r="D22" s="68" cm="1">
        <f t="array" ref="D22">D21*INDEX('2025 IRP Assumptions'!$E$373:$E$396,'PV_.PX.BDG._.PTC.2031'!$B22-2023,1)/INDEX('2025 IRP Assumptions'!$E$373:$E$396,'PV_.PX.BDG._.PTC.2031'!$B22-2023-1,1)</f>
        <v>87.535729350576801</v>
      </c>
      <c r="E22" s="68" cm="1">
        <f t="array" ref="E22">$E$9*INDEX('2025 IRP Assumptions'!$E$373:$E$396,'PV_.PX.BDG._.PTC.2031'!$B22-2023,1)</f>
        <v>27.160266993119997</v>
      </c>
      <c r="F22" s="264"/>
      <c r="G22" s="69">
        <f t="shared" si="1"/>
        <v>43.711955064648265</v>
      </c>
      <c r="H22" s="68"/>
      <c r="I22" s="68">
        <f t="shared" si="4"/>
        <v>-55.69</v>
      </c>
      <c r="J22" s="69">
        <f t="shared" si="5"/>
        <v>-11.978044935351733</v>
      </c>
      <c r="K22" s="69">
        <f t="shared" si="2"/>
        <v>-31.43</v>
      </c>
      <c r="L22" s="68">
        <f t="shared" si="3"/>
        <v>114.69599634369681</v>
      </c>
      <c r="P22" s="78"/>
      <c r="Q22" s="68"/>
      <c r="R22" s="68"/>
      <c r="T22" s="78"/>
      <c r="V22" s="78"/>
      <c r="W22" s="78"/>
      <c r="Y22" s="78"/>
      <c r="Z22" s="78"/>
      <c r="AA22" s="78"/>
    </row>
    <row r="23" spans="2:27">
      <c r="B23" s="67">
        <f t="shared" si="0"/>
        <v>2038</v>
      </c>
      <c r="C23" s="70"/>
      <c r="D23" s="68" cm="1">
        <f t="array" ref="D23">D22*INDEX('2025 IRP Assumptions'!$E$373:$E$396,'PV_.PX.BDG._.PTC.2031'!$B23-2023,1)/INDEX('2025 IRP Assumptions'!$E$373:$E$396,'PV_.PX.BDG._.PTC.2031'!$B23-2023-1,1)</f>
        <v>89.44400827152954</v>
      </c>
      <c r="E23" s="68" cm="1">
        <f t="array" ref="E23">$E$9*INDEX('2025 IRP Assumptions'!$E$373:$E$396,'PV_.PX.BDG._.PTC.2031'!$B23-2023,1)</f>
        <v>27.75236082012</v>
      </c>
      <c r="F23" s="264"/>
      <c r="G23" s="69">
        <f t="shared" si="1"/>
        <v>44.664875695599193</v>
      </c>
      <c r="H23" s="68"/>
      <c r="I23" s="68">
        <f t="shared" si="4"/>
        <v>-55.69</v>
      </c>
      <c r="J23" s="69">
        <f t="shared" si="5"/>
        <v>-11.025124304400805</v>
      </c>
      <c r="K23" s="69">
        <f t="shared" si="2"/>
        <v>-28.93</v>
      </c>
      <c r="L23" s="68">
        <f t="shared" si="3"/>
        <v>117.19636909164954</v>
      </c>
      <c r="P23" s="78"/>
      <c r="Q23" s="68"/>
      <c r="R23" s="68"/>
      <c r="T23" s="78"/>
      <c r="V23" s="78"/>
      <c r="W23" s="78"/>
      <c r="Y23" s="78"/>
      <c r="Z23" s="78"/>
      <c r="AA23" s="78"/>
    </row>
    <row r="24" spans="2:27">
      <c r="B24" s="67">
        <f t="shared" si="0"/>
        <v>2039</v>
      </c>
      <c r="C24" s="70"/>
      <c r="D24" s="68" cm="1">
        <f t="array" ref="D24">D23*INDEX('2025 IRP Assumptions'!$E$373:$E$396,'PV_.PX.BDG._.PTC.2031'!$B24-2023,1)/INDEX('2025 IRP Assumptions'!$E$373:$E$396,'PV_.PX.BDG._.PTC.2031'!$B24-2023-1,1)</f>
        <v>91.393887636254348</v>
      </c>
      <c r="E24" s="68" cm="1">
        <f t="array" ref="E24">$E$9*INDEX('2025 IRP Assumptions'!$E$373:$E$396,'PV_.PX.BDG._.PTC.2031'!$B24-2023,1)</f>
        <v>28.35736228116</v>
      </c>
      <c r="F24" s="264"/>
      <c r="G24" s="69">
        <f t="shared" si="1"/>
        <v>45.638569977975948</v>
      </c>
      <c r="H24" s="68"/>
      <c r="I24" s="68">
        <f t="shared" si="4"/>
        <v>-57.02</v>
      </c>
      <c r="J24" s="69">
        <f t="shared" si="5"/>
        <v>-11.381430022024055</v>
      </c>
      <c r="K24" s="69">
        <f t="shared" si="2"/>
        <v>-29.86</v>
      </c>
      <c r="L24" s="68">
        <f t="shared" si="3"/>
        <v>119.75124991741436</v>
      </c>
      <c r="P24" s="78"/>
      <c r="Q24" s="68"/>
      <c r="R24" s="68"/>
      <c r="T24" s="78"/>
      <c r="V24" s="78"/>
      <c r="W24" s="78"/>
      <c r="Y24" s="78"/>
      <c r="Z24" s="78"/>
      <c r="AA24" s="78"/>
    </row>
    <row r="25" spans="2:27">
      <c r="B25" s="67">
        <f t="shared" si="0"/>
        <v>2040</v>
      </c>
      <c r="C25" s="70"/>
      <c r="D25" s="68" cm="1">
        <f t="array" ref="D25">D24*INDEX('2025 IRP Assumptions'!$E$373:$E$396,'PV_.PX.BDG._.PTC.2031'!$B25-2023,1)/INDEX('2025 IRP Assumptions'!$E$373:$E$396,'PV_.PX.BDG._.PTC.2031'!$B25-2023-1,1)</f>
        <v>93.386274414540893</v>
      </c>
      <c r="E25" s="68" cm="1">
        <f t="array" ref="E25">$E$9*INDEX('2025 IRP Assumptions'!$E$373:$E$396,'PV_.PX.BDG._.PTC.2031'!$B25-2023,1)</f>
        <v>28.975552787519998</v>
      </c>
      <c r="F25" s="264"/>
      <c r="G25" s="69">
        <f t="shared" si="1"/>
        <v>46.633490817386161</v>
      </c>
      <c r="H25" s="68"/>
      <c r="I25" s="68">
        <f t="shared" si="4"/>
        <v>-58.35</v>
      </c>
      <c r="J25" s="69">
        <f t="shared" si="5"/>
        <v>-11.716509182613841</v>
      </c>
      <c r="K25" s="69">
        <f t="shared" si="2"/>
        <v>-30.74</v>
      </c>
      <c r="L25" s="68">
        <f t="shared" si="3"/>
        <v>122.36182720206089</v>
      </c>
      <c r="P25" s="78"/>
      <c r="Q25" s="68"/>
      <c r="R25" s="68"/>
      <c r="T25" s="78"/>
      <c r="V25" s="78"/>
      <c r="W25" s="78"/>
      <c r="Y25" s="78"/>
      <c r="Z25" s="78"/>
      <c r="AA25" s="78"/>
    </row>
    <row r="26" spans="2:27">
      <c r="B26" s="67">
        <f t="shared" si="0"/>
        <v>2041</v>
      </c>
      <c r="C26" s="70"/>
      <c r="D26" s="68" cm="1">
        <f t="array" ref="D26">D25*INDEX('2025 IRP Assumptions'!$E$373:$E$396,'PV_.PX.BDG._.PTC.2031'!$B26-2023,1)/INDEX('2025 IRP Assumptions'!$E$373:$E$396,'PV_.PX.BDG._.PTC.2031'!$B26-2023-1,1)</f>
        <v>95.422095152017988</v>
      </c>
      <c r="E26" s="68" cm="1">
        <f t="array" ref="E26">$E$9*INDEX('2025 IRP Assumptions'!$E$373:$E$396,'PV_.PX.BDG._.PTC.2031'!$B26-2023,1)</f>
        <v>29.607219824399998</v>
      </c>
      <c r="F26" s="264"/>
      <c r="G26" s="69">
        <f t="shared" si="1"/>
        <v>47.650100894853821</v>
      </c>
      <c r="H26" s="68"/>
      <c r="I26" s="68"/>
      <c r="J26" s="69">
        <f t="shared" si="5"/>
        <v>47.650100894853821</v>
      </c>
      <c r="K26" s="69">
        <f t="shared" si="2"/>
        <v>125.03</v>
      </c>
      <c r="L26" s="68">
        <f t="shared" si="3"/>
        <v>125.02931497641799</v>
      </c>
      <c r="P26" s="78"/>
      <c r="Q26" s="68"/>
      <c r="R26" s="68"/>
    </row>
    <row r="27" spans="2:27">
      <c r="B27" s="67">
        <f t="shared" si="0"/>
        <v>2042</v>
      </c>
      <c r="C27" s="70"/>
      <c r="D27" s="68" cm="1">
        <f t="array" ref="D27">D26*INDEX('2025 IRP Assumptions'!$E$373:$E$396,'PV_.PX.BDG._.PTC.2031'!$B27-2023,1)/INDEX('2025 IRP Assumptions'!$E$373:$E$396,'PV_.PX.BDG._.PTC.2031'!$B27-2023-1,1)</f>
        <v>97.502296829903244</v>
      </c>
      <c r="E27" s="68" cm="1">
        <f t="array" ref="E27">$E$9*INDEX('2025 IRP Assumptions'!$E$373:$E$396,'PV_.PX.BDG._.PTC.2031'!$B27-2023,1)</f>
        <v>30.252657217679999</v>
      </c>
      <c r="F27" s="264"/>
      <c r="G27" s="69">
        <f t="shared" si="1"/>
        <v>48.688873096144981</v>
      </c>
      <c r="H27" s="68"/>
      <c r="I27" s="68"/>
      <c r="J27" s="69">
        <f t="shared" si="5"/>
        <v>48.688873096144981</v>
      </c>
      <c r="K27" s="69">
        <f t="shared" si="2"/>
        <v>127.75</v>
      </c>
      <c r="L27" s="68">
        <f t="shared" si="3"/>
        <v>127.75495404758324</v>
      </c>
      <c r="P27" s="78"/>
      <c r="Q27" s="68"/>
      <c r="R27" s="68"/>
    </row>
    <row r="28" spans="2:27">
      <c r="B28" s="67">
        <f t="shared" si="0"/>
        <v>2043</v>
      </c>
      <c r="C28" s="70"/>
      <c r="D28" s="68" cm="1">
        <f t="array" ref="D28">D27*INDEX('2025 IRP Assumptions'!$E$373:$E$396,'PV_.PX.BDG._.PTC.2031'!$B28-2023,1)/INDEX('2025 IRP Assumptions'!$E$373:$E$396,'PV_.PX.BDG._.PTC.2031'!$B28-2023-1,1)</f>
        <v>99.627846931137697</v>
      </c>
      <c r="E28" s="68" cm="1">
        <f t="array" ref="E28">$E$9*INDEX('2025 IRP Assumptions'!$E$373:$E$396,'PV_.PX.BDG._.PTC.2031'!$B28-2023,1)</f>
        <v>30.91216515444</v>
      </c>
      <c r="F28" s="264"/>
      <c r="G28" s="69">
        <f t="shared" si="1"/>
        <v>49.750290544792847</v>
      </c>
      <c r="H28" s="68"/>
      <c r="I28" s="68"/>
      <c r="J28" s="69">
        <f t="shared" si="5"/>
        <v>49.750290544792847</v>
      </c>
      <c r="K28" s="69">
        <f t="shared" si="2"/>
        <v>130.54</v>
      </c>
      <c r="L28" s="68">
        <f t="shared" si="3"/>
        <v>130.5400120855777</v>
      </c>
      <c r="P28" s="78"/>
      <c r="Q28" s="68"/>
      <c r="R28" s="68"/>
    </row>
    <row r="29" spans="2:27">
      <c r="B29" s="67">
        <f t="shared" si="0"/>
        <v>2044</v>
      </c>
      <c r="C29" s="70"/>
      <c r="D29" s="68" cm="1">
        <f t="array" ref="D29">D28*INDEX('2025 IRP Assumptions'!$E$373:$E$396,'PV_.PX.BDG._.PTC.2031'!$B29-2023,1)/INDEX('2025 IRP Assumptions'!$E$373:$E$396,'PV_.PX.BDG._.PTC.2031'!$B29-2023-1,1)</f>
        <v>101.79973396946248</v>
      </c>
      <c r="E29" s="68" cm="1">
        <f t="array" ref="E29">$E$9*INDEX('2025 IRP Assumptions'!$E$373:$E$396,'PV_.PX.BDG._.PTC.2031'!$B29-2023,1)</f>
        <v>31.58605034712</v>
      </c>
      <c r="F29" s="264"/>
      <c r="G29" s="69">
        <f t="shared" si="1"/>
        <v>50.834846866298143</v>
      </c>
      <c r="H29" s="68"/>
      <c r="I29" s="68"/>
      <c r="J29" s="69">
        <f t="shared" si="5"/>
        <v>50.834846866298143</v>
      </c>
      <c r="K29" s="69">
        <f t="shared" si="2"/>
        <v>133.38999999999999</v>
      </c>
      <c r="L29" s="68">
        <f t="shared" si="3"/>
        <v>133.38578431658249</v>
      </c>
      <c r="P29" s="78"/>
      <c r="Q29" s="68"/>
      <c r="R29" s="68"/>
    </row>
    <row r="30" spans="2:27">
      <c r="B30" s="67">
        <f t="shared" si="0"/>
        <v>2045</v>
      </c>
      <c r="C30" s="70"/>
      <c r="D30" s="68" cm="1">
        <f t="array" ref="D30">D29*INDEX('2025 IRP Assumptions'!$E$373:$E$396,'PV_.PX.BDG._.PTC.2031'!$B30-2023,1)/INDEX('2025 IRP Assumptions'!$E$373:$E$396,'PV_.PX.BDG._.PTC.2031'!$B30-2023-1,1)</f>
        <v>104.01896821689942</v>
      </c>
      <c r="E30" s="68" cm="1">
        <f t="array" ref="E30">$E$9*INDEX('2025 IRP Assumptions'!$E$373:$E$396,'PV_.PX.BDG._.PTC.2031'!$B30-2023,1)</f>
        <v>32.274626259240002</v>
      </c>
      <c r="F30" s="264"/>
      <c r="G30" s="69">
        <f t="shared" si="1"/>
        <v>51.943046551404812</v>
      </c>
      <c r="H30" s="68"/>
      <c r="I30" s="68"/>
      <c r="J30" s="69">
        <f t="shared" si="5"/>
        <v>51.943046551404812</v>
      </c>
      <c r="K30" s="69">
        <f t="shared" si="2"/>
        <v>136.29</v>
      </c>
      <c r="L30" s="68">
        <f t="shared" si="3"/>
        <v>136.29359447613942</v>
      </c>
      <c r="P30" s="78"/>
      <c r="Q30" s="68"/>
      <c r="R30" s="68"/>
    </row>
    <row r="31" spans="2:27">
      <c r="B31" s="67">
        <f t="shared" si="0"/>
        <v>2046</v>
      </c>
      <c r="C31" s="70"/>
      <c r="D31" s="68" cm="1">
        <f t="array" ref="D31">D30*INDEX('2025 IRP Assumptions'!$E$373:$E$396,'PV_.PX.BDG._.PTC.2031'!$B31-2023,1)/INDEX('2025 IRP Assumptions'!$E$373:$E$396,'PV_.PX.BDG._.PTC.2031'!$B31-2023-1,1)</f>
        <v>106.28658170375095</v>
      </c>
      <c r="E31" s="68" cm="1">
        <f t="array" ref="E31">$E$9*INDEX('2025 IRP Assumptions'!$E$373:$E$396,'PV_.PX.BDG._.PTC.2031'!$B31-2023,1)</f>
        <v>32.978213105400002</v>
      </c>
      <c r="F31" s="264"/>
      <c r="G31" s="69">
        <f t="shared" si="1"/>
        <v>53.075404956099945</v>
      </c>
      <c r="H31" s="68"/>
      <c r="I31" s="68"/>
      <c r="J31" s="69">
        <f t="shared" si="5"/>
        <v>53.075404956099945</v>
      </c>
      <c r="K31" s="69">
        <f t="shared" si="2"/>
        <v>139.26</v>
      </c>
      <c r="L31" s="68">
        <f t="shared" si="3"/>
        <v>139.26479480915094</v>
      </c>
      <c r="P31" s="78"/>
      <c r="Q31" s="68"/>
      <c r="R31" s="68"/>
    </row>
    <row r="32" spans="2:27">
      <c r="B32" s="67">
        <f t="shared" si="0"/>
        <v>2047</v>
      </c>
      <c r="C32" s="70"/>
      <c r="D32" s="68" cm="1">
        <f t="array" ref="D32">D31*INDEX('2025 IRP Assumptions'!$E$373:$E$396,'PV_.PX.BDG._.PTC.2031'!$B32-2023,1)/INDEX('2025 IRP Assumptions'!$E$373:$E$396,'PV_.PX.BDG._.PTC.2031'!$B32-2023-1,1)</f>
        <v>108.6036291444845</v>
      </c>
      <c r="E32" s="68" cm="1">
        <f t="array" ref="E32">$E$9*INDEX('2025 IRP Assumptions'!$E$373:$E$396,'PV_.PX.BDG._.PTC.2031'!$B32-2023,1)</f>
        <v>33.69713813856</v>
      </c>
      <c r="F32" s="264"/>
      <c r="G32" s="69">
        <f t="shared" si="1"/>
        <v>54.232448763964626</v>
      </c>
      <c r="H32" s="68"/>
      <c r="I32" s="68"/>
      <c r="J32" s="69">
        <f t="shared" si="5"/>
        <v>54.232448763964626</v>
      </c>
      <c r="K32" s="69">
        <f t="shared" si="2"/>
        <v>142.30000000000001</v>
      </c>
      <c r="L32" s="68">
        <f t="shared" si="3"/>
        <v>142.30076728304451</v>
      </c>
      <c r="P32" s="78"/>
      <c r="Q32" s="68"/>
      <c r="R32" s="68"/>
    </row>
    <row r="33" spans="2:18" ht="15">
      <c r="B33" s="67">
        <f t="shared" si="0"/>
        <v>2048</v>
      </c>
      <c r="C33" s="70"/>
      <c r="D33" s="259">
        <f t="shared" ref="D33:E35" si="6">D32*D32/D31</f>
        <v>110.97118821854514</v>
      </c>
      <c r="E33" s="259">
        <f t="shared" si="6"/>
        <v>34.431735737169561</v>
      </c>
      <c r="F33" s="264"/>
      <c r="G33" s="69">
        <f t="shared" si="1"/>
        <v>55.414716126400862</v>
      </c>
      <c r="H33" s="68"/>
      <c r="I33" s="68"/>
      <c r="J33" s="69">
        <f t="shared" si="5"/>
        <v>55.414716126400862</v>
      </c>
      <c r="K33" s="69">
        <f t="shared" si="2"/>
        <v>145.4</v>
      </c>
      <c r="L33" s="68">
        <f t="shared" si="3"/>
        <v>145.4029239557147</v>
      </c>
      <c r="P33" s="78"/>
      <c r="Q33" s="68"/>
      <c r="R33" s="68"/>
    </row>
    <row r="34" spans="2:18" ht="15">
      <c r="B34" s="67">
        <f t="shared" si="0"/>
        <v>2049</v>
      </c>
      <c r="C34" s="70"/>
      <c r="D34" s="259">
        <f t="shared" si="6"/>
        <v>113.39036007952019</v>
      </c>
      <c r="E34" s="259">
        <f t="shared" si="6"/>
        <v>35.182347563149534</v>
      </c>
      <c r="F34" s="264"/>
      <c r="G34" s="69">
        <f t="shared" si="1"/>
        <v>56.622756916888733</v>
      </c>
      <c r="H34" s="68"/>
      <c r="I34" s="68"/>
      <c r="J34" s="69">
        <f t="shared" si="5"/>
        <v>56.622756916888733</v>
      </c>
      <c r="K34" s="69">
        <f t="shared" si="2"/>
        <v>148.57</v>
      </c>
      <c r="L34" s="68">
        <f t="shared" si="3"/>
        <v>148.57270764266974</v>
      </c>
      <c r="P34" s="78"/>
      <c r="Q34" s="68"/>
      <c r="R34" s="68"/>
    </row>
    <row r="35" spans="2:18" ht="15">
      <c r="B35" s="67">
        <f t="shared" si="0"/>
        <v>2050</v>
      </c>
      <c r="C35" s="70"/>
      <c r="D35" s="259">
        <f t="shared" si="6"/>
        <v>115.86226988614479</v>
      </c>
      <c r="E35" s="259">
        <f t="shared" si="6"/>
        <v>35.9493227266505</v>
      </c>
      <c r="F35" s="264"/>
      <c r="G35" s="69">
        <f t="shared" si="1"/>
        <v>57.857132996149964</v>
      </c>
      <c r="H35" s="68"/>
      <c r="I35" s="68"/>
      <c r="J35" s="69">
        <f t="shared" si="5"/>
        <v>57.857132996149964</v>
      </c>
      <c r="K35" s="69">
        <f t="shared" si="2"/>
        <v>151.81</v>
      </c>
      <c r="L35" s="68">
        <f t="shared" si="3"/>
        <v>151.81159261279529</v>
      </c>
      <c r="P35" s="78"/>
      <c r="Q35" s="68"/>
      <c r="R35" s="68"/>
    </row>
    <row r="36" spans="2:18" ht="15">
      <c r="B36" s="67">
        <f t="shared" si="0"/>
        <v>2051</v>
      </c>
      <c r="C36" s="70"/>
      <c r="D36" s="259">
        <f t="shared" ref="D36:E36" si="7">D35*D35/D34</f>
        <v>118.38806732561402</v>
      </c>
      <c r="E36" s="259">
        <f t="shared" si="7"/>
        <v>36.733017948424198</v>
      </c>
      <c r="F36" s="264"/>
      <c r="G36" s="69">
        <f t="shared" si="1"/>
        <v>59.118418473469802</v>
      </c>
      <c r="H36" s="68"/>
      <c r="I36" s="68"/>
      <c r="J36" s="69">
        <f t="shared" ref="J36:J45" si="8">(G36+H36+I36)</f>
        <v>59.118418473469802</v>
      </c>
      <c r="K36" s="69">
        <f t="shared" si="2"/>
        <v>155.12</v>
      </c>
      <c r="L36" s="68">
        <f t="shared" si="3"/>
        <v>155.12108527403822</v>
      </c>
      <c r="P36" s="78"/>
      <c r="Q36" s="68"/>
      <c r="R36" s="68"/>
    </row>
    <row r="37" spans="2:18" ht="15">
      <c r="B37" s="67">
        <f t="shared" si="0"/>
        <v>2052</v>
      </c>
      <c r="C37" s="70"/>
      <c r="D37" s="259">
        <f t="shared" ref="D37:E37" si="9">D36*D36/D35</f>
        <v>120.96892714830341</v>
      </c>
      <c r="E37" s="259">
        <f t="shared" si="9"/>
        <v>37.533797725734615</v>
      </c>
      <c r="F37" s="264"/>
      <c r="G37" s="69">
        <f t="shared" si="1"/>
        <v>60.407199973715691</v>
      </c>
      <c r="H37" s="68"/>
      <c r="I37" s="68"/>
      <c r="J37" s="69">
        <f t="shared" si="8"/>
        <v>60.407199973715691</v>
      </c>
      <c r="K37" s="69">
        <f t="shared" si="2"/>
        <v>158.5</v>
      </c>
      <c r="L37" s="68">
        <f t="shared" si="3"/>
        <v>158.50272487403802</v>
      </c>
      <c r="P37" s="78"/>
      <c r="Q37" s="68"/>
      <c r="R37" s="68"/>
    </row>
    <row r="38" spans="2:18" ht="15">
      <c r="B38" s="67">
        <f t="shared" si="0"/>
        <v>2053</v>
      </c>
      <c r="C38" s="70"/>
      <c r="D38" s="259">
        <f t="shared" ref="D38:E38" si="10">D37*D37/D36</f>
        <v>123.60604971414624</v>
      </c>
      <c r="E38" s="259">
        <f t="shared" si="10"/>
        <v>38.35203450188596</v>
      </c>
      <c r="F38" s="264"/>
      <c r="G38" s="69">
        <f t="shared" si="1"/>
        <v>61.724076910176976</v>
      </c>
      <c r="H38" s="68"/>
      <c r="I38" s="68"/>
      <c r="J38" s="69">
        <f t="shared" si="8"/>
        <v>61.724076910176976</v>
      </c>
      <c r="K38" s="69">
        <f t="shared" si="2"/>
        <v>161.96</v>
      </c>
      <c r="L38" s="68">
        <f t="shared" si="3"/>
        <v>161.9580842160322</v>
      </c>
      <c r="P38" s="78"/>
      <c r="Q38" s="68"/>
      <c r="R38" s="68"/>
    </row>
    <row r="39" spans="2:18" ht="15">
      <c r="B39" s="67">
        <f t="shared" si="0"/>
        <v>2054</v>
      </c>
      <c r="C39" s="70"/>
      <c r="D39" s="259">
        <f t="shared" ref="D39:E39" si="11">D38*D38/D37</f>
        <v>126.30066155092186</v>
      </c>
      <c r="E39" s="259">
        <f t="shared" si="11"/>
        <v>39.188108839446329</v>
      </c>
      <c r="F39" s="264"/>
      <c r="G39" s="69">
        <f t="shared" si="1"/>
        <v>63.069661763352464</v>
      </c>
      <c r="H39" s="68"/>
      <c r="I39" s="68"/>
      <c r="J39" s="69">
        <f t="shared" si="8"/>
        <v>63.069661763352464</v>
      </c>
      <c r="K39" s="69">
        <f t="shared" si="2"/>
        <v>165.49</v>
      </c>
      <c r="L39" s="68">
        <f t="shared" si="3"/>
        <v>165.48877039036819</v>
      </c>
      <c r="P39" s="78"/>
      <c r="Q39" s="68"/>
      <c r="R39" s="68"/>
    </row>
    <row r="40" spans="2:18" ht="15">
      <c r="B40" s="67">
        <f t="shared" si="0"/>
        <v>2055</v>
      </c>
      <c r="C40" s="70"/>
      <c r="D40" s="259">
        <f t="shared" ref="D40:E40" si="12">D39*D39/D38</f>
        <v>129.05401592471475</v>
      </c>
      <c r="E40" s="259">
        <f t="shared" si="12"/>
        <v>40.042409597247648</v>
      </c>
      <c r="F40" s="264"/>
      <c r="G40" s="69">
        <f t="shared" si="1"/>
        <v>64.444580365815611</v>
      </c>
      <c r="H40" s="68"/>
      <c r="I40" s="68"/>
      <c r="J40" s="69">
        <f t="shared" si="8"/>
        <v>64.444580365815611</v>
      </c>
      <c r="K40" s="69">
        <f t="shared" si="2"/>
        <v>169.1</v>
      </c>
      <c r="L40" s="68">
        <f t="shared" si="3"/>
        <v>169.0964255219624</v>
      </c>
      <c r="P40" s="78"/>
      <c r="Q40" s="68"/>
      <c r="R40" s="68"/>
    </row>
    <row r="41" spans="2:18" ht="15">
      <c r="B41" s="67">
        <f t="shared" si="0"/>
        <v>2056</v>
      </c>
      <c r="C41" s="70"/>
      <c r="D41" s="259">
        <f t="shared" ref="D41:E41" si="13">D40*D40/D39</f>
        <v>131.86739342280956</v>
      </c>
      <c r="E41" s="259">
        <f t="shared" si="13"/>
        <v>40.915334111244249</v>
      </c>
      <c r="F41" s="264"/>
      <c r="G41" s="69">
        <f t="shared" si="1"/>
        <v>65.849472193289742</v>
      </c>
      <c r="H41" s="68"/>
      <c r="I41" s="68"/>
      <c r="J41" s="69">
        <f t="shared" si="8"/>
        <v>65.849472193289742</v>
      </c>
      <c r="K41" s="69">
        <f t="shared" si="2"/>
        <v>172.78</v>
      </c>
      <c r="L41" s="68">
        <f t="shared" si="3"/>
        <v>172.78272753405381</v>
      </c>
      <c r="P41" s="78"/>
      <c r="Q41" s="68"/>
      <c r="R41" s="68"/>
    </row>
    <row r="42" spans="2:18" ht="15">
      <c r="B42" s="67">
        <f t="shared" si="0"/>
        <v>2057</v>
      </c>
      <c r="C42" s="70"/>
      <c r="D42" s="259">
        <f t="shared" ref="D42:E42" si="14">D41*D41/D40</f>
        <v>134.74210254929324</v>
      </c>
      <c r="E42" s="259">
        <f t="shared" si="14"/>
        <v>41.807288379314109</v>
      </c>
      <c r="F42" s="264"/>
      <c r="G42" s="69">
        <f t="shared" si="1"/>
        <v>67.284990662068694</v>
      </c>
      <c r="H42" s="68"/>
      <c r="I42" s="68"/>
      <c r="J42" s="69">
        <f t="shared" si="8"/>
        <v>67.284990662068694</v>
      </c>
      <c r="K42" s="69">
        <f t="shared" si="2"/>
        <v>176.55</v>
      </c>
      <c r="L42" s="68">
        <f t="shared" si="3"/>
        <v>176.54939092860735</v>
      </c>
      <c r="P42" s="78"/>
      <c r="Q42" s="68"/>
      <c r="R42" s="68"/>
    </row>
    <row r="43" spans="2:18" ht="15">
      <c r="B43" s="67">
        <f t="shared" si="0"/>
        <v>2058</v>
      </c>
      <c r="C43" s="70"/>
      <c r="D43" s="259">
        <f t="shared" ref="D43:E43" si="15">D42*D42/D41</f>
        <v>137.67948033364135</v>
      </c>
      <c r="E43" s="259">
        <f t="shared" si="15"/>
        <v>42.718687250088784</v>
      </c>
      <c r="F43" s="264"/>
      <c r="G43" s="69">
        <f t="shared" si="1"/>
        <v>68.751803432921264</v>
      </c>
      <c r="H43" s="68"/>
      <c r="I43" s="68"/>
      <c r="J43" s="69">
        <f t="shared" si="8"/>
        <v>68.751803432921264</v>
      </c>
      <c r="K43" s="69">
        <f t="shared" si="2"/>
        <v>180.4</v>
      </c>
      <c r="L43" s="68">
        <f t="shared" si="3"/>
        <v>180.39816758373013</v>
      </c>
      <c r="P43" s="78"/>
      <c r="Q43" s="68"/>
      <c r="R43" s="68"/>
    </row>
    <row r="44" spans="2:18" ht="15">
      <c r="B44" s="67">
        <f t="shared" si="0"/>
        <v>2059</v>
      </c>
      <c r="C44" s="70"/>
      <c r="D44" s="259">
        <f t="shared" ref="D44:E44" si="16">D43*D43/D42</f>
        <v>140.6808929525715</v>
      </c>
      <c r="E44" s="259">
        <f t="shared" si="16"/>
        <v>43.649954615899851</v>
      </c>
      <c r="F44" s="264"/>
      <c r="G44" s="69">
        <f t="shared" si="1"/>
        <v>70.250592721620762</v>
      </c>
      <c r="H44" s="68"/>
      <c r="I44" s="68"/>
      <c r="J44" s="69">
        <f t="shared" si="8"/>
        <v>70.250592721620762</v>
      </c>
      <c r="K44" s="69">
        <f t="shared" si="2"/>
        <v>184.33</v>
      </c>
      <c r="L44" s="68">
        <f t="shared" si="3"/>
        <v>184.33084756847134</v>
      </c>
      <c r="P44" s="78"/>
      <c r="Q44" s="68"/>
      <c r="R44" s="68"/>
    </row>
    <row r="45" spans="2:18" ht="15">
      <c r="B45" s="67">
        <f t="shared" si="0"/>
        <v>2060</v>
      </c>
      <c r="C45" s="70"/>
      <c r="D45" s="259">
        <f t="shared" ref="D45:E46" si="17">D44*D44/D43</f>
        <v>143.74773636545322</v>
      </c>
      <c r="E45" s="259">
        <f t="shared" si="17"/>
        <v>44.601523609931547</v>
      </c>
      <c r="F45" s="264"/>
      <c r="G45" s="69">
        <f t="shared" si="1"/>
        <v>71.782055616244094</v>
      </c>
      <c r="H45" s="68"/>
      <c r="I45" s="68"/>
      <c r="J45" s="69">
        <f t="shared" si="8"/>
        <v>71.782055616244094</v>
      </c>
      <c r="K45" s="69">
        <f t="shared" si="2"/>
        <v>188.35</v>
      </c>
      <c r="L45" s="68">
        <f t="shared" si="3"/>
        <v>188.34925997538477</v>
      </c>
      <c r="P45" s="78"/>
      <c r="Q45" s="68"/>
      <c r="R45" s="68"/>
    </row>
    <row r="46" spans="2:18" ht="15">
      <c r="B46" s="67">
        <f t="shared" si="0"/>
        <v>2061</v>
      </c>
      <c r="C46" s="70"/>
      <c r="D46" s="259">
        <f t="shared" si="17"/>
        <v>146.8814369635698</v>
      </c>
      <c r="E46" s="259">
        <f t="shared" si="17"/>
        <v>45.573836807671363</v>
      </c>
      <c r="F46" s="264"/>
      <c r="G46" s="69">
        <f t="shared" si="1"/>
        <v>73.346904401387974</v>
      </c>
      <c r="H46" s="68"/>
      <c r="I46" s="68"/>
      <c r="J46" s="69">
        <f t="shared" ref="J46" si="18">(G46+H46+I46)</f>
        <v>73.346904401387974</v>
      </c>
      <c r="K46" s="69">
        <f t="shared" si="2"/>
        <v>192.46</v>
      </c>
      <c r="L46" s="68">
        <f t="shared" si="3"/>
        <v>192.45527377124117</v>
      </c>
      <c r="P46" s="78"/>
      <c r="Q46" s="68"/>
      <c r="R46" s="68"/>
    </row>
    <row r="47" spans="2:18">
      <c r="B47" s="67"/>
      <c r="C47" s="70"/>
      <c r="D47" s="68"/>
      <c r="E47" s="68"/>
      <c r="F47" s="68"/>
      <c r="G47" s="69"/>
      <c r="H47" s="68"/>
      <c r="I47" s="68"/>
      <c r="J47" s="68"/>
      <c r="K47" s="68"/>
      <c r="L47" s="68"/>
      <c r="M47" s="68"/>
    </row>
    <row r="48" spans="2:18">
      <c r="B48" s="67" t="s">
        <v>307</v>
      </c>
      <c r="C48" s="70"/>
      <c r="D48" s="68"/>
      <c r="E48" s="68"/>
      <c r="F48" s="68">
        <f>NPV(Discount_Rate,F16:F40)</f>
        <v>0</v>
      </c>
      <c r="G48" s="69"/>
      <c r="H48" s="68"/>
      <c r="I48" s="69"/>
      <c r="J48" s="69">
        <f>-PMT(Discount_Rate,COUNT(J$16:J$40),NPV(Discount_Rate,J$16:J$40))</f>
        <v>15.961702570057668</v>
      </c>
      <c r="K48" s="69">
        <f>-PMT(Discount_Rate,COUNT(K$16:K$40),NPV(Discount_Rate,K$16:K$40))</f>
        <v>41.882045453941984</v>
      </c>
      <c r="L48" s="69">
        <f>-PMT(Discount_Rate,COUNT(L$16:L$40),NPV(Discount_Rate,L$16:L$40))</f>
        <v>123.46725151754924</v>
      </c>
      <c r="M48" s="72"/>
    </row>
    <row r="49" spans="2:20" ht="14.25">
      <c r="B49" s="73" t="s">
        <v>25</v>
      </c>
      <c r="C49" s="74"/>
      <c r="D49" s="74"/>
      <c r="E49" s="74"/>
      <c r="F49" s="74"/>
      <c r="G49" s="74"/>
      <c r="H49" s="74"/>
      <c r="I49" s="74"/>
    </row>
    <row r="51" spans="2:20">
      <c r="B51" s="60" t="s">
        <v>59</v>
      </c>
      <c r="C51" s="75" t="s">
        <v>60</v>
      </c>
      <c r="D51" s="146" t="s">
        <v>186</v>
      </c>
    </row>
    <row r="52" spans="2:20">
      <c r="C52" s="75" t="str">
        <f>C7</f>
        <v>(a)</v>
      </c>
      <c r="D52" s="60" t="s">
        <v>61</v>
      </c>
    </row>
    <row r="53" spans="2:20">
      <c r="C53" s="75" t="str">
        <f>D7</f>
        <v>(b)</v>
      </c>
      <c r="D53" s="69" t="str">
        <f>"= "&amp;C7&amp;" x "&amp;C60</f>
        <v>= (a) x 0.06861</v>
      </c>
    </row>
    <row r="54" spans="2:20">
      <c r="C54" s="75">
        <f>F7</f>
        <v>0</v>
      </c>
      <c r="D54" s="69" t="str">
        <f>"= ("&amp;$D$7&amp;" + "&amp;$E$7&amp;") /  (8.76 x "&amp;TEXT(C61,"0.0%")&amp;")"</f>
        <v>= ((b) + (c)) /  (8.76 x 30.0%)</v>
      </c>
    </row>
    <row r="55" spans="2:20">
      <c r="C55" s="75" t="str">
        <f>J7</f>
        <v>(g)</v>
      </c>
      <c r="D55" s="69" t="str">
        <f>"= "&amp;$G$7&amp;" + "&amp;$H$7</f>
        <v>= (e) + (f)</v>
      </c>
    </row>
    <row r="56" spans="2:20">
      <c r="C56" s="75" t="str">
        <f>K7</f>
        <v>(h)</v>
      </c>
      <c r="D56" t="str">
        <f>D51</f>
        <v>Plant Costs  - 2025 IRP - Table 7.1 &amp; 7.2</v>
      </c>
    </row>
    <row r="57" spans="2:20">
      <c r="Q57" s="60" t="s">
        <v>82</v>
      </c>
      <c r="R57" s="67">
        <v>2031</v>
      </c>
      <c r="T57" s="156" t="s">
        <v>245</v>
      </c>
    </row>
    <row r="58" spans="2:20">
      <c r="B58" s="362" t="str">
        <f>'2025 IRP Assumptions'!A472&amp;"$"</f>
        <v>2028$</v>
      </c>
      <c r="D58" s="78">
        <v>0</v>
      </c>
      <c r="E58" s="60" t="s">
        <v>85</v>
      </c>
      <c r="P58" s="143"/>
      <c r="T58" s="156"/>
    </row>
    <row r="59" spans="2:20">
      <c r="B59"/>
      <c r="C59" s="76"/>
      <c r="Q59" s="60" t="s">
        <v>189</v>
      </c>
      <c r="R59" s="143">
        <v>88.5</v>
      </c>
    </row>
    <row r="60" spans="2:20">
      <c r="C60" s="154">
        <v>6.8610000000000004E-2</v>
      </c>
      <c r="D60" s="60" t="s">
        <v>197</v>
      </c>
      <c r="E60" s="150"/>
      <c r="J60" s="258"/>
      <c r="L60" s="145"/>
      <c r="M60" s="80"/>
      <c r="N60" s="80"/>
      <c r="P60" s="81"/>
    </row>
    <row r="61" spans="2:20">
      <c r="C61" s="350">
        <v>0.29953247911654929</v>
      </c>
      <c r="D61" s="60" t="s">
        <v>35</v>
      </c>
    </row>
    <row r="62" spans="2:20">
      <c r="C62" s="161"/>
      <c r="D62" s="79"/>
      <c r="H62" s="348">
        <v>1.1000000000000001</v>
      </c>
      <c r="I62" s="60" t="s">
        <v>305</v>
      </c>
    </row>
    <row r="63" spans="2:20" ht="15">
      <c r="I63" s="105" t="s">
        <v>31</v>
      </c>
      <c r="J63" s="105" t="s">
        <v>302</v>
      </c>
    </row>
    <row r="64" spans="2:20" ht="15">
      <c r="C64" s="105"/>
      <c r="D64" s="105"/>
      <c r="E64" s="105"/>
      <c r="F64" s="105"/>
      <c r="G64" s="260">
        <v>47849</v>
      </c>
      <c r="H64" s="67">
        <f>YEAR(G64)</f>
        <v>2031</v>
      </c>
      <c r="I64" s="68">
        <f>IF($H$62=110%,INDEX('2025 IRP Assumptions'!$E$341:$E$361,MATCH(H64,'2025 IRP Assumptions'!$S$341:$S$361,0),1),INDEX('2025 IRP Assumptions'!$E$309:$E$338,MATCH(H64,'2025 IRP Assumptions'!$S$341:$S$361,0)))</f>
        <v>49.06</v>
      </c>
      <c r="J64" s="78">
        <f>I64*(8.76*$C$61)</f>
        <v>128.72875560701129</v>
      </c>
    </row>
    <row r="65" spans="3:10" ht="15">
      <c r="C65" s="260"/>
      <c r="D65" s="105"/>
      <c r="E65" s="241"/>
      <c r="F65" s="265"/>
      <c r="G65" s="260">
        <v>48214</v>
      </c>
      <c r="H65" s="67">
        <f>YEAR(G65)</f>
        <v>2032</v>
      </c>
      <c r="I65" s="68">
        <f>IF($H$62=110%,INDEX('2025 IRP Assumptions'!$E$341:$E$361,MATCH(H65,'2025 IRP Assumptions'!$S$341:$S$361,0),1),INDEX('2025 IRP Assumptions'!$E$309:$E$338,MATCH(H65,'2025 IRP Assumptions'!$S$341:$S$361,0)))</f>
        <v>50.39</v>
      </c>
      <c r="J65" s="78">
        <f t="shared" ref="J65:J73" si="19">I65*(8.76*$C$61)</f>
        <v>132.21854861470237</v>
      </c>
    </row>
    <row r="66" spans="3:10" ht="15">
      <c r="C66" s="260"/>
      <c r="D66" s="105"/>
      <c r="E66" s="241"/>
      <c r="F66" s="265"/>
      <c r="G66" s="260">
        <v>48580</v>
      </c>
      <c r="H66" s="67">
        <f t="shared" ref="H66:H73" si="20">YEAR(G66)</f>
        <v>2033</v>
      </c>
      <c r="I66" s="68">
        <f>IF($H$62=110%,INDEX('2025 IRP Assumptions'!$E$341:$E$361,MATCH(H66,'2025 IRP Assumptions'!$S$341:$S$361,0),1),INDEX('2025 IRP Assumptions'!$E$309:$E$338,MATCH(H66,'2025 IRP Assumptions'!$S$341:$S$361,0)))</f>
        <v>50.39</v>
      </c>
      <c r="J66" s="78">
        <f t="shared" si="19"/>
        <v>132.21854861470237</v>
      </c>
    </row>
    <row r="67" spans="3:10" ht="15">
      <c r="C67" s="260"/>
      <c r="D67" s="105"/>
      <c r="E67" s="241"/>
      <c r="F67" s="265"/>
      <c r="G67" s="260">
        <v>48945</v>
      </c>
      <c r="H67" s="67">
        <f t="shared" si="20"/>
        <v>2034</v>
      </c>
      <c r="I67" s="68">
        <f>IF($H$62=110%,INDEX('2025 IRP Assumptions'!$E$341:$E$361,MATCH(H67,'2025 IRP Assumptions'!$S$341:$S$361,0),1),INDEX('2025 IRP Assumptions'!$E$309:$E$338,MATCH(H67,'2025 IRP Assumptions'!$S$341:$S$361,0)))</f>
        <v>51.71</v>
      </c>
      <c r="J67" s="78">
        <f t="shared" si="19"/>
        <v>135.68210257722285</v>
      </c>
    </row>
    <row r="68" spans="3:10" ht="15">
      <c r="C68" s="260"/>
      <c r="D68" s="105"/>
      <c r="E68" s="241"/>
      <c r="F68" s="265"/>
      <c r="G68" s="260">
        <v>49310</v>
      </c>
      <c r="H68" s="67">
        <f t="shared" si="20"/>
        <v>2035</v>
      </c>
      <c r="I68" s="68">
        <f>IF($H$62=110%,INDEX('2025 IRP Assumptions'!$E$341:$E$361,MATCH(H68,'2025 IRP Assumptions'!$S$341:$S$361,0),1),INDEX('2025 IRP Assumptions'!$E$309:$E$338,MATCH(H68,'2025 IRP Assumptions'!$S$341:$S$361,0)))</f>
        <v>53.04</v>
      </c>
      <c r="J68" s="78">
        <f t="shared" si="19"/>
        <v>139.17189558491395</v>
      </c>
    </row>
    <row r="69" spans="3:10" ht="15">
      <c r="C69" s="260"/>
      <c r="D69" s="105"/>
      <c r="E69" s="241"/>
      <c r="F69" s="265"/>
      <c r="G69" s="260">
        <v>49675</v>
      </c>
      <c r="H69" s="67">
        <f t="shared" si="20"/>
        <v>2036</v>
      </c>
      <c r="I69" s="68">
        <f>IF($H$62=110%,INDEX('2025 IRP Assumptions'!$E$341:$E$361,MATCH(H69,'2025 IRP Assumptions'!$S$341:$S$361,0),1),INDEX('2025 IRP Assumptions'!$E$309:$E$338,MATCH(H69,'2025 IRP Assumptions'!$S$341:$S$361,0)))</f>
        <v>54.37</v>
      </c>
      <c r="J69" s="78">
        <f t="shared" si="19"/>
        <v>142.66168859260503</v>
      </c>
    </row>
    <row r="70" spans="3:10" ht="15">
      <c r="C70" s="260"/>
      <c r="D70" s="105"/>
      <c r="E70" s="241"/>
      <c r="F70" s="265"/>
      <c r="G70" s="260">
        <v>50041</v>
      </c>
      <c r="H70" s="67">
        <f t="shared" si="20"/>
        <v>2037</v>
      </c>
      <c r="I70" s="68">
        <f>IF($H$62=110%,INDEX('2025 IRP Assumptions'!$E$341:$E$361,MATCH(H70,'2025 IRP Assumptions'!$S$341:$S$361,0),1),INDEX('2025 IRP Assumptions'!$E$309:$E$338,MATCH(H70,'2025 IRP Assumptions'!$S$341:$S$361,0)))</f>
        <v>55.69</v>
      </c>
      <c r="J70" s="78">
        <f t="shared" si="19"/>
        <v>146.12524255512551</v>
      </c>
    </row>
    <row r="71" spans="3:10" ht="15">
      <c r="C71" s="260"/>
      <c r="D71" s="105"/>
      <c r="E71" s="241"/>
      <c r="F71" s="265"/>
      <c r="G71" s="260">
        <v>50406</v>
      </c>
      <c r="H71" s="67">
        <f t="shared" si="20"/>
        <v>2038</v>
      </c>
      <c r="I71" s="68">
        <f>IF($H$62=110%,INDEX('2025 IRP Assumptions'!$E$341:$E$361,MATCH(H71,'2025 IRP Assumptions'!$S$341:$S$361,0),1),INDEX('2025 IRP Assumptions'!$E$309:$E$338,MATCH(H71,'2025 IRP Assumptions'!$S$341:$S$361,0)))</f>
        <v>55.69</v>
      </c>
      <c r="J71" s="78">
        <f t="shared" si="19"/>
        <v>146.12524255512551</v>
      </c>
    </row>
    <row r="72" spans="3:10" ht="15">
      <c r="C72" s="260"/>
      <c r="D72" s="105"/>
      <c r="E72" s="241"/>
      <c r="F72" s="265"/>
      <c r="G72" s="260">
        <v>50771</v>
      </c>
      <c r="H72" s="67">
        <f t="shared" si="20"/>
        <v>2039</v>
      </c>
      <c r="I72" s="68">
        <f>IF($H$62=110%,INDEX('2025 IRP Assumptions'!$E$341:$E$361,MATCH(H72,'2025 IRP Assumptions'!$S$341:$S$361,0),1),INDEX('2025 IRP Assumptions'!$E$309:$E$338,MATCH(H72,'2025 IRP Assumptions'!$S$341:$S$361,0)))</f>
        <v>57.02</v>
      </c>
      <c r="J72" s="78">
        <f t="shared" si="19"/>
        <v>149.61503556281662</v>
      </c>
    </row>
    <row r="73" spans="3:10" ht="15">
      <c r="C73" s="260"/>
      <c r="D73" s="105"/>
      <c r="E73" s="241"/>
      <c r="F73" s="265"/>
      <c r="G73" s="260">
        <v>51136</v>
      </c>
      <c r="H73" s="67">
        <f t="shared" si="20"/>
        <v>2040</v>
      </c>
      <c r="I73" s="68">
        <f>IF($H$62=110%,INDEX('2025 IRP Assumptions'!$E$341:$E$361,MATCH(H73,'2025 IRP Assumptions'!$S$341:$S$361,0),1),INDEX('2025 IRP Assumptions'!$E$309:$E$338,MATCH(H73,'2025 IRP Assumptions'!$S$341:$S$361,0)))</f>
        <v>58.35</v>
      </c>
      <c r="J73" s="78">
        <f t="shared" si="19"/>
        <v>153.10482857050772</v>
      </c>
    </row>
    <row r="74" spans="3:10" ht="15">
      <c r="C74" s="260"/>
      <c r="D74" s="105"/>
      <c r="E74" s="241"/>
      <c r="F74" s="265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177</v>
      </c>
      <c r="J76" s="60">
        <f>INDEX('2025 IRP Assumptions'!$E$126:$E$157,MATCH(T57,'2025 IRP Assumptions'!$C$126:$C$157,0),1)</f>
        <v>25</v>
      </c>
    </row>
    <row r="77" spans="3:10" ht="15">
      <c r="C77" s="105"/>
      <c r="D77" s="105"/>
      <c r="E77" s="261"/>
      <c r="F77" s="261"/>
      <c r="G77" s="105" t="s">
        <v>310</v>
      </c>
      <c r="I77" s="261"/>
      <c r="J77" s="261">
        <f>-PMT(Real_Discount_Rate,J76,NPV(Discount_Rate,J64:J73))</f>
        <v>65.169881913552985</v>
      </c>
    </row>
    <row r="79" spans="3:10">
      <c r="J79" s="78"/>
    </row>
    <row r="80" spans="3:10">
      <c r="C80" s="77"/>
      <c r="D80" s="79"/>
    </row>
    <row r="81" spans="3:4">
      <c r="C81" s="77"/>
      <c r="D81" s="79"/>
    </row>
    <row r="82" spans="3:4">
      <c r="C82" s="77"/>
      <c r="D82" s="79"/>
    </row>
    <row r="83" spans="3:4">
      <c r="C83" s="77"/>
      <c r="D83" s="79"/>
    </row>
    <row r="84" spans="3:4">
      <c r="C84" s="77"/>
      <c r="D84" s="79"/>
    </row>
    <row r="85" spans="3:4">
      <c r="C85" s="77"/>
      <c r="D85" s="79"/>
    </row>
    <row r="86" spans="3:4">
      <c r="C86" s="77"/>
      <c r="D86" s="79"/>
    </row>
    <row r="87" spans="3:4">
      <c r="C87" s="77"/>
      <c r="D87" s="79"/>
    </row>
    <row r="88" spans="3:4">
      <c r="C88" s="77"/>
      <c r="D88" s="79"/>
    </row>
    <row r="89" spans="3:4">
      <c r="C89" s="77"/>
      <c r="D89" s="79"/>
    </row>
  </sheetData>
  <printOptions horizontalCentered="1"/>
  <pageMargins left="0.8" right="0.3" top="0.4" bottom="0.4" header="0.5" footer="0.2"/>
  <pageSetup scale="4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D2495-3B6A-418E-B6A0-95CB07098F26}">
  <sheetPr>
    <tabColor rgb="FFFFFF00"/>
    <pageSetUpPr fitToPage="1"/>
  </sheetPr>
  <dimension ref="B1:AC89"/>
  <sheetViews>
    <sheetView workbookViewId="0">
      <selection activeCell="E5" sqref="E5"/>
    </sheetView>
  </sheetViews>
  <sheetFormatPr defaultColWidth="9.33203125" defaultRowHeight="12.75"/>
  <cols>
    <col min="1" max="1" width="13.33203125" style="60" customWidth="1"/>
    <col min="2" max="2" width="15" style="60" customWidth="1"/>
    <col min="3" max="3" width="19.33203125" style="60" customWidth="1"/>
    <col min="4" max="4" width="22.83203125" style="60" customWidth="1"/>
    <col min="5" max="5" width="11.1640625" style="60" customWidth="1"/>
    <col min="6" max="6" width="13.5" style="60" customWidth="1"/>
    <col min="7" max="7" width="23.83203125" style="60" customWidth="1"/>
    <col min="8" max="8" width="9.5" style="60" bestFit="1" customWidth="1"/>
    <col min="9" max="9" width="10.5" style="60" customWidth="1"/>
    <col min="10" max="10" width="12.6640625" style="60" customWidth="1"/>
    <col min="11" max="11" width="14" style="60" customWidth="1"/>
    <col min="12" max="12" width="13.33203125" style="60" customWidth="1"/>
    <col min="13" max="13" width="3.1640625" style="60" customWidth="1"/>
    <col min="14" max="14" width="15" style="60" hidden="1" customWidth="1"/>
    <col min="15" max="15" width="5.6640625" style="60" customWidth="1"/>
    <col min="16" max="16" width="9.33203125" style="60" customWidth="1"/>
    <col min="17" max="18" width="16" style="60" customWidth="1"/>
    <col min="19" max="19" width="23.5" style="60" customWidth="1"/>
    <col min="20" max="20" width="18.1640625" style="60" customWidth="1"/>
    <col min="21" max="21" width="13.33203125" style="60" customWidth="1"/>
    <col min="22" max="22" width="18.1640625" style="60" customWidth="1"/>
    <col min="23" max="23" width="12.83203125" style="60" customWidth="1"/>
    <col min="24" max="24" width="15.33203125" style="60" customWidth="1"/>
    <col min="25" max="26" width="9.33203125" style="60"/>
    <col min="27" max="27" width="13.33203125" style="60" customWidth="1"/>
    <col min="28" max="28" width="13.6640625" style="60" customWidth="1"/>
    <col min="29" max="29" width="12" style="60" bestFit="1" customWidth="1"/>
    <col min="30" max="16384" width="9.33203125" style="60"/>
  </cols>
  <sheetData>
    <row r="1" spans="2:29" ht="15.75">
      <c r="B1" s="58" t="s">
        <v>53</v>
      </c>
      <c r="C1" s="59"/>
      <c r="D1" s="59"/>
      <c r="E1" s="59"/>
      <c r="F1" s="59"/>
      <c r="G1" s="59"/>
      <c r="H1" s="59"/>
      <c r="I1" s="59"/>
      <c r="J1" s="59"/>
      <c r="K1" s="59"/>
    </row>
    <row r="2" spans="2:29" ht="15.75">
      <c r="B2" s="58" t="str">
        <f>T57</f>
        <v>PV_.PX.HTG._.PTC.Utility_Scale</v>
      </c>
      <c r="C2" s="59"/>
      <c r="D2" s="59"/>
      <c r="E2" s="59"/>
      <c r="F2" s="59"/>
      <c r="G2" s="59"/>
      <c r="H2" s="59"/>
      <c r="I2" s="59"/>
      <c r="J2" s="59"/>
      <c r="K2" s="59"/>
    </row>
    <row r="3" spans="2:29" ht="15.75">
      <c r="B3" s="58" t="str">
        <f>TEXT($C$61,"0%")&amp;" Capacity Factor"</f>
        <v>33% Capacity Factor</v>
      </c>
      <c r="C3" s="59"/>
      <c r="D3" s="59"/>
      <c r="E3" s="59"/>
      <c r="F3" s="59"/>
      <c r="G3" s="59"/>
      <c r="H3" s="59"/>
      <c r="I3" s="59"/>
      <c r="J3" s="59"/>
      <c r="K3" s="59"/>
    </row>
    <row r="4" spans="2:29">
      <c r="B4" s="59"/>
      <c r="C4" s="59"/>
      <c r="D4" s="59"/>
      <c r="E4" s="59"/>
      <c r="F4" s="59"/>
      <c r="G4" s="59"/>
      <c r="H4" s="59"/>
      <c r="I4" s="59"/>
      <c r="Q4" s="263"/>
      <c r="R4" s="263"/>
    </row>
    <row r="5" spans="2:29" ht="51.75" customHeight="1">
      <c r="B5" s="61" t="s">
        <v>0</v>
      </c>
      <c r="C5" s="62" t="s">
        <v>10</v>
      </c>
      <c r="D5" s="62" t="s">
        <v>11</v>
      </c>
      <c r="E5" s="62" t="s">
        <v>12</v>
      </c>
      <c r="F5" s="14"/>
      <c r="G5" s="62" t="s">
        <v>58</v>
      </c>
      <c r="H5" s="14" t="s">
        <v>13</v>
      </c>
      <c r="I5" s="62" t="s">
        <v>113</v>
      </c>
      <c r="J5" s="62" t="s">
        <v>64</v>
      </c>
      <c r="K5" s="14" t="s">
        <v>49</v>
      </c>
      <c r="L5" s="62" t="s">
        <v>86</v>
      </c>
      <c r="N5" s="100"/>
      <c r="O5" s="100"/>
      <c r="Q5" s="263"/>
      <c r="R5" s="263"/>
      <c r="T5" s="142"/>
      <c r="Z5" s="100"/>
      <c r="AA5" s="100"/>
    </row>
    <row r="6" spans="2:29" ht="24" customHeight="1">
      <c r="B6" s="63"/>
      <c r="C6" s="64" t="s">
        <v>8</v>
      </c>
      <c r="D6" s="65" t="s">
        <v>9</v>
      </c>
      <c r="E6" s="65" t="s">
        <v>9</v>
      </c>
      <c r="F6" s="16"/>
      <c r="G6" s="64" t="s">
        <v>31</v>
      </c>
      <c r="H6" s="15" t="s">
        <v>31</v>
      </c>
      <c r="I6" s="15" t="s">
        <v>31</v>
      </c>
      <c r="J6" s="64" t="s">
        <v>31</v>
      </c>
      <c r="K6" s="16" t="s">
        <v>9</v>
      </c>
      <c r="L6" s="65" t="s">
        <v>9</v>
      </c>
      <c r="W6" s="78"/>
      <c r="X6" s="78"/>
    </row>
    <row r="7" spans="2:29">
      <c r="C7" s="66" t="s">
        <v>1</v>
      </c>
      <c r="D7" s="66" t="s">
        <v>2</v>
      </c>
      <c r="E7" s="66" t="s">
        <v>3</v>
      </c>
      <c r="F7" s="66"/>
      <c r="G7" s="66" t="s">
        <v>5</v>
      </c>
      <c r="H7" s="66" t="s">
        <v>7</v>
      </c>
      <c r="I7" s="66" t="s">
        <v>22</v>
      </c>
      <c r="J7" s="66" t="s">
        <v>22</v>
      </c>
      <c r="K7" s="66" t="s">
        <v>23</v>
      </c>
      <c r="L7" s="66" t="s">
        <v>24</v>
      </c>
      <c r="U7" s="78"/>
    </row>
    <row r="8" spans="2:29" ht="21.75" customHeight="1">
      <c r="X8" s="71"/>
    </row>
    <row r="9" spans="2:29">
      <c r="B9" s="67">
        <v>2024</v>
      </c>
      <c r="C9" s="157">
        <f>INDEX('2025 IRP Assumptions'!$E$2:$E$58,MATCH($T$57,'2025 IRP Assumptions'!$C$2:$C$58,0),1)</f>
        <v>1216.55</v>
      </c>
      <c r="D9" s="68"/>
      <c r="E9" s="232">
        <f>INDEX('2025 IRP Assumptions'!$E$62:$E$118,MATCH($T$57,'2025 IRP Assumptions'!$C$62:$C$118,0),1)</f>
        <v>20.52</v>
      </c>
      <c r="F9" s="68"/>
      <c r="G9" s="69"/>
      <c r="H9" s="68"/>
      <c r="I9" s="68"/>
      <c r="J9" s="69"/>
      <c r="K9" s="69"/>
      <c r="L9" s="68"/>
      <c r="T9" s="70"/>
      <c r="X9" s="158"/>
    </row>
    <row r="10" spans="2:29">
      <c r="B10" s="67">
        <f t="shared" ref="B10:B46" si="0">B9+1</f>
        <v>2025</v>
      </c>
      <c r="C10" s="70">
        <f>$C$9*INDEX('2025 IRP Assumptions'!$E$192:$E$212,MATCH(B10,'2025 IRP Assumptions'!$S$192:$S$212,0),1)</f>
        <v>1295.73496334315</v>
      </c>
      <c r="D10" s="68"/>
      <c r="E10" s="68" cm="1">
        <f t="array" ref="E10">$E$9*INDEX('2025 IRP Assumptions'!$E$373:$E$396,'PV_.PX.HTG._.PTC.2031'!$B10-2023,1)</f>
        <v>20.967336</v>
      </c>
      <c r="F10" s="68"/>
      <c r="G10" s="69"/>
      <c r="H10" s="68"/>
      <c r="I10" s="68"/>
      <c r="J10" s="69"/>
      <c r="K10" s="69"/>
      <c r="L10" s="68"/>
      <c r="Q10" s="68"/>
      <c r="R10" s="68"/>
      <c r="U10" s="156"/>
      <c r="X10" s="158"/>
    </row>
    <row r="11" spans="2:29">
      <c r="B11" s="67">
        <f t="shared" si="0"/>
        <v>2026</v>
      </c>
      <c r="C11" s="70">
        <f>$C$9*INDEX('2025 IRP Assumptions'!$E$192:$E$212,MATCH(B11,'2025 IRP Assumptions'!$S$192:$S$212,0),1)</f>
        <v>1271.0525920728498</v>
      </c>
      <c r="D11" s="68"/>
      <c r="E11" s="68" cm="1">
        <f t="array" ref="E11">$E$9*INDEX('2025 IRP Assumptions'!$E$373:$E$396,'PV_.PX.HTG._.PTC.2031'!$B11-2023,1)</f>
        <v>21.424423924799999</v>
      </c>
      <c r="F11" s="68"/>
      <c r="G11" s="69"/>
      <c r="H11" s="68"/>
      <c r="I11" s="68"/>
      <c r="J11" s="69"/>
      <c r="K11" s="69"/>
      <c r="L11" s="68"/>
      <c r="Q11" s="68"/>
      <c r="R11" s="68"/>
      <c r="X11" s="158"/>
      <c r="AC11" s="144"/>
    </row>
    <row r="12" spans="2:29">
      <c r="B12" s="67">
        <f t="shared" si="0"/>
        <v>2027</v>
      </c>
      <c r="C12" s="70">
        <f>$C$9*INDEX('2025 IRP Assumptions'!$E$192:$E$212,MATCH(B12,'2025 IRP Assumptions'!$S$192:$S$212,0),1)</f>
        <v>1244.6782832086999</v>
      </c>
      <c r="D12" s="68"/>
      <c r="E12" s="68" cm="1">
        <f t="array" ref="E12">$E$9*INDEX('2025 IRP Assumptions'!$E$373:$E$396,'PV_.PX.HTG._.PTC.2031'!$B12-2023,1)</f>
        <v>21.891476361600002</v>
      </c>
      <c r="F12" s="68"/>
      <c r="G12" s="69"/>
      <c r="H12" s="68"/>
      <c r="I12" s="68"/>
      <c r="J12" s="69"/>
      <c r="K12" s="69"/>
      <c r="L12" s="68"/>
      <c r="P12" s="78"/>
      <c r="Q12" s="68"/>
      <c r="R12" s="68"/>
      <c r="U12" s="160"/>
      <c r="X12" s="158"/>
      <c r="Y12" s="160"/>
    </row>
    <row r="13" spans="2:29">
      <c r="B13" s="67">
        <f t="shared" si="0"/>
        <v>2028</v>
      </c>
      <c r="C13" s="70">
        <f>$C$9*INDEX('2025 IRP Assumptions'!$E$192:$E$212,MATCH(B13,'2025 IRP Assumptions'!$S$192:$S$212,0),1)</f>
        <v>1216.55</v>
      </c>
      <c r="D13" s="68"/>
      <c r="E13" s="68" cm="1">
        <f t="array" ref="E13">$E$9*INDEX('2025 IRP Assumptions'!$E$373:$E$396,'PV_.PX.HTG._.PTC.2031'!$B13-2023,1)</f>
        <v>22.36871055564</v>
      </c>
      <c r="F13" s="264"/>
      <c r="G13" s="69"/>
      <c r="H13" s="68"/>
      <c r="I13" s="68"/>
      <c r="J13" s="69"/>
      <c r="K13" s="69"/>
      <c r="L13" s="68"/>
      <c r="P13" s="78"/>
      <c r="Q13" s="68"/>
      <c r="R13" s="68"/>
      <c r="U13" s="160"/>
      <c r="W13" s="78"/>
      <c r="X13" s="158"/>
      <c r="Y13" s="160"/>
    </row>
    <row r="14" spans="2:29">
      <c r="B14" s="67">
        <f t="shared" si="0"/>
        <v>2029</v>
      </c>
      <c r="C14" s="70">
        <f>$C$9*INDEX('2025 IRP Assumptions'!$E$192:$E$212,MATCH(B14,'2025 IRP Assumptions'!$S$192:$S$212,0),1)</f>
        <v>1186.60380301185</v>
      </c>
      <c r="D14" s="68"/>
      <c r="E14" s="68" cm="1">
        <f t="array" ref="E14">$E$9*INDEX('2025 IRP Assumptions'!$E$373:$E$396,'PV_.PX.HTG._.PTC.2031'!$B14-2023,1)</f>
        <v>22.856348451240002</v>
      </c>
      <c r="F14" s="264"/>
      <c r="G14" s="69"/>
      <c r="H14" s="68"/>
      <c r="I14" s="68"/>
      <c r="J14" s="69"/>
      <c r="K14" s="69"/>
      <c r="L14" s="68"/>
      <c r="P14" s="78"/>
      <c r="Q14" s="68"/>
      <c r="R14" s="68"/>
      <c r="U14" s="160"/>
      <c r="V14" s="78"/>
      <c r="W14" s="78"/>
      <c r="X14" s="158"/>
      <c r="Y14" s="160"/>
      <c r="Z14" s="78"/>
    </row>
    <row r="15" spans="2:29">
      <c r="B15" s="67">
        <f t="shared" si="0"/>
        <v>2030</v>
      </c>
      <c r="C15" s="70">
        <f>$C$9*INDEX('2025 IRP Assumptions'!$E$192:$E$212,MATCH(B15,'2025 IRP Assumptions'!$S$192:$S$212,0),1)</f>
        <v>1154.7737978135001</v>
      </c>
      <c r="D15" s="68"/>
      <c r="E15" s="68" cm="1">
        <f t="array" ref="E15">$E$9*INDEX('2025 IRP Assumptions'!$E$373:$E$396,'PV_.PX.HTG._.PTC.2031'!$B15-2023,1)</f>
        <v>23.354616835439998</v>
      </c>
      <c r="F15" s="264"/>
      <c r="G15" s="69"/>
      <c r="H15" s="68"/>
      <c r="I15" s="68"/>
      <c r="J15" s="69"/>
      <c r="K15" s="69"/>
      <c r="L15" s="68"/>
      <c r="P15" s="78"/>
      <c r="Q15" s="68"/>
      <c r="R15" s="68"/>
      <c r="U15" s="160"/>
      <c r="V15" s="78"/>
      <c r="W15" s="78"/>
      <c r="X15" s="158"/>
      <c r="Y15" s="160"/>
      <c r="Z15" s="78"/>
      <c r="AA15" s="78"/>
    </row>
    <row r="16" spans="2:29">
      <c r="B16" s="67">
        <f t="shared" si="0"/>
        <v>2031</v>
      </c>
      <c r="C16" s="70">
        <f>$C$9*INDEX('2025 IRP Assumptions'!$E$192:$E$212,MATCH(B16,'2025 IRP Assumptions'!$S$192:$S$212,0),1)</f>
        <v>1120.9920826667001</v>
      </c>
      <c r="D16" s="232">
        <f>C16*$C$60</f>
        <v>76.911266791762301</v>
      </c>
      <c r="E16" s="68" cm="1">
        <f t="array" ref="E16">$E$9*INDEX('2025 IRP Assumptions'!$E$373:$E$396,'PV_.PX.HTG._.PTC.2031'!$B16-2023,1)</f>
        <v>23.863747481640001</v>
      </c>
      <c r="F16" s="264"/>
      <c r="G16" s="69">
        <f t="shared" ref="G16:G46" si="1">(D16+E16+F16)/(8.76*$C$61)</f>
        <v>35.196896705670014</v>
      </c>
      <c r="H16" s="68"/>
      <c r="I16" s="68">
        <f>-I64</f>
        <v>-49.06</v>
      </c>
      <c r="J16" s="69">
        <f>(G16+H16+I16)</f>
        <v>-13.863103294329989</v>
      </c>
      <c r="K16" s="69">
        <f t="shared" ref="K16:K46" si="2">ROUND(J16*$C$61*8.76,2)</f>
        <v>-39.69</v>
      </c>
      <c r="L16" s="68">
        <f>(D16+E16+F16)</f>
        <v>100.77501427340231</v>
      </c>
      <c r="P16" s="78"/>
      <c r="Q16" s="68"/>
      <c r="R16" s="68"/>
      <c r="U16" s="160"/>
      <c r="V16" s="78"/>
      <c r="W16" s="78"/>
      <c r="X16" s="158"/>
      <c r="Y16" s="160"/>
      <c r="Z16" s="78"/>
      <c r="AA16" s="78"/>
    </row>
    <row r="17" spans="2:27">
      <c r="B17" s="67">
        <f t="shared" si="0"/>
        <v>2032</v>
      </c>
      <c r="C17" s="70"/>
      <c r="D17" s="68" cm="1">
        <f t="array" ref="D17">D16*INDEX('2025 IRP Assumptions'!$E$373:$E$396,'PV_.PX.HTG._.PTC.2031'!$B17-2023,1)/INDEX('2025 IRP Assumptions'!$E$373:$E$396,'PV_.PX.HTG._.PTC.2031'!$B17-2023-1,1)</f>
        <v>78.587932386487694</v>
      </c>
      <c r="E17" s="68" cm="1">
        <f t="array" ref="E17">$E$9*INDEX('2025 IRP Assumptions'!$E$373:$E$396,'PV_.PX.HTG._.PTC.2031'!$B17-2023,1)</f>
        <v>24.383977170120001</v>
      </c>
      <c r="F17" s="264"/>
      <c r="G17" s="69">
        <f t="shared" si="1"/>
        <v>35.964189044090077</v>
      </c>
      <c r="H17" s="68"/>
      <c r="I17" s="68">
        <f t="shared" ref="I17:I25" si="3">-I65</f>
        <v>-50.39</v>
      </c>
      <c r="J17" s="69">
        <f t="shared" ref="J17:J35" si="4">(G17+H17+I17)</f>
        <v>-14.425810955909924</v>
      </c>
      <c r="K17" s="69">
        <f t="shared" si="2"/>
        <v>-41.3</v>
      </c>
      <c r="L17" s="68">
        <f t="shared" ref="L17:L35" si="5">(D17+E17+F17)</f>
        <v>102.9719095566077</v>
      </c>
      <c r="P17" s="78"/>
      <c r="Q17" s="68"/>
      <c r="R17" s="68"/>
      <c r="T17" s="78"/>
      <c r="V17" s="78"/>
      <c r="W17" s="78"/>
      <c r="Y17" s="78"/>
      <c r="Z17" s="78"/>
      <c r="AA17" s="78"/>
    </row>
    <row r="18" spans="2:27">
      <c r="B18" s="67">
        <f t="shared" si="0"/>
        <v>2033</v>
      </c>
      <c r="C18" s="70"/>
      <c r="D18" s="68" cm="1">
        <f t="array" ref="D18">D17*INDEX('2025 IRP Assumptions'!$E$373:$E$396,'PV_.PX.HTG._.PTC.2031'!$B18-2023,1)/INDEX('2025 IRP Assumptions'!$E$373:$E$396,'PV_.PX.HTG._.PTC.2031'!$B18-2023-1,1)</f>
        <v>80.301149313452228</v>
      </c>
      <c r="E18" s="68" cm="1">
        <f t="array" ref="E18">$E$9*INDEX('2025 IRP Assumptions'!$E$373:$E$396,'PV_.PX.HTG._.PTC.2031'!$B18-2023,1)</f>
        <v>24.915547872719998</v>
      </c>
      <c r="F18" s="264"/>
      <c r="G18" s="69">
        <f t="shared" si="1"/>
        <v>36.748208365681002</v>
      </c>
      <c r="H18" s="68"/>
      <c r="I18" s="68">
        <f t="shared" si="3"/>
        <v>-50.39</v>
      </c>
      <c r="J18" s="69">
        <f t="shared" si="4"/>
        <v>-13.641791634318999</v>
      </c>
      <c r="K18" s="69">
        <f t="shared" si="2"/>
        <v>-39.06</v>
      </c>
      <c r="L18" s="68">
        <f t="shared" si="5"/>
        <v>105.21669718617223</v>
      </c>
      <c r="P18" s="78"/>
      <c r="Q18" s="68"/>
      <c r="R18" s="68"/>
      <c r="T18" s="78"/>
      <c r="V18" s="78"/>
      <c r="W18" s="78"/>
      <c r="Y18" s="78"/>
      <c r="Z18" s="78"/>
      <c r="AA18" s="78"/>
    </row>
    <row r="19" spans="2:27">
      <c r="B19" s="67">
        <f t="shared" si="0"/>
        <v>2034</v>
      </c>
      <c r="C19" s="70"/>
      <c r="D19" s="68" cm="1">
        <f t="array" ref="D19">D18*INDEX('2025 IRP Assumptions'!$E$373:$E$396,'PV_.PX.HTG._.PTC.2031'!$B19-2023,1)/INDEX('2025 IRP Assumptions'!$E$373:$E$396,'PV_.PX.HTG._.PTC.2031'!$B19-2023-1,1)</f>
        <v>82.051714428350522</v>
      </c>
      <c r="E19" s="68" cm="1">
        <f t="array" ref="E19">$E$9*INDEX('2025 IRP Assumptions'!$E$373:$E$396,'PV_.PX.HTG._.PTC.2031'!$B19-2023,1)</f>
        <v>25.458706834919997</v>
      </c>
      <c r="F19" s="264"/>
      <c r="G19" s="69">
        <f t="shared" si="1"/>
        <v>37.549319335448878</v>
      </c>
      <c r="H19" s="68"/>
      <c r="I19" s="68">
        <f t="shared" si="3"/>
        <v>-51.71</v>
      </c>
      <c r="J19" s="69">
        <f t="shared" si="4"/>
        <v>-14.160680664551123</v>
      </c>
      <c r="K19" s="69">
        <f t="shared" si="2"/>
        <v>-40.54</v>
      </c>
      <c r="L19" s="68">
        <f t="shared" si="5"/>
        <v>107.51042126327052</v>
      </c>
      <c r="P19" s="78"/>
      <c r="Q19" s="68"/>
      <c r="R19" s="68"/>
      <c r="T19" s="78"/>
      <c r="V19" s="78"/>
      <c r="W19" s="78"/>
      <c r="Y19" s="78"/>
      <c r="Z19" s="78"/>
      <c r="AA19" s="78"/>
    </row>
    <row r="20" spans="2:27">
      <c r="B20" s="67">
        <f t="shared" si="0"/>
        <v>2035</v>
      </c>
      <c r="C20" s="70"/>
      <c r="D20" s="68" cm="1">
        <f t="array" ref="D20">D19*INDEX('2025 IRP Assumptions'!$E$373:$E$396,'PV_.PX.HTG._.PTC.2031'!$B20-2023,1)/INDEX('2025 IRP Assumptions'!$E$373:$E$396,'PV_.PX.HTG._.PTC.2031'!$B20-2023-1,1)</f>
        <v>83.840441781870993</v>
      </c>
      <c r="E20" s="68" cm="1">
        <f t="array" ref="E20">$E$9*INDEX('2025 IRP Assumptions'!$E$373:$E$396,'PV_.PX.HTG._.PTC.2031'!$B20-2023,1)</f>
        <v>26.013706637399999</v>
      </c>
      <c r="F20" s="264"/>
      <c r="G20" s="69">
        <f t="shared" si="1"/>
        <v>38.367894487343392</v>
      </c>
      <c r="H20" s="68"/>
      <c r="I20" s="68">
        <f t="shared" si="3"/>
        <v>-53.04</v>
      </c>
      <c r="J20" s="69">
        <f t="shared" si="4"/>
        <v>-14.672105512656607</v>
      </c>
      <c r="K20" s="69">
        <f t="shared" si="2"/>
        <v>-42.01</v>
      </c>
      <c r="L20" s="68">
        <f t="shared" si="5"/>
        <v>109.85414841927098</v>
      </c>
      <c r="P20" s="78"/>
      <c r="Q20" s="68"/>
      <c r="R20" s="68"/>
      <c r="T20" s="78"/>
      <c r="V20" s="78"/>
      <c r="W20" s="78"/>
      <c r="Y20" s="78"/>
      <c r="Z20" s="78"/>
      <c r="AA20" s="78"/>
    </row>
    <row r="21" spans="2:27">
      <c r="B21" s="67">
        <f t="shared" si="0"/>
        <v>2036</v>
      </c>
      <c r="C21" s="70"/>
      <c r="D21" s="68" cm="1">
        <f t="array" ref="D21">D20*INDEX('2025 IRP Assumptions'!$E$373:$E$396,'PV_.PX.HTG._.PTC.2031'!$B21-2023,1)/INDEX('2025 IRP Assumptions'!$E$373:$E$396,'PV_.PX.HTG._.PTC.2031'!$B21-2023-1,1)</f>
        <v>85.668163413310992</v>
      </c>
      <c r="E21" s="68" cm="1">
        <f t="array" ref="E21">$E$9*INDEX('2025 IRP Assumptions'!$E$373:$E$396,'PV_.PX.HTG._.PTC.2031'!$B21-2023,1)</f>
        <v>26.580805442279999</v>
      </c>
      <c r="F21" s="264"/>
      <c r="G21" s="69">
        <f t="shared" si="1"/>
        <v>39.204314587439868</v>
      </c>
      <c r="H21" s="68"/>
      <c r="I21" s="68">
        <f t="shared" si="3"/>
        <v>-54.37</v>
      </c>
      <c r="J21" s="69">
        <f t="shared" si="4"/>
        <v>-15.16568541256013</v>
      </c>
      <c r="K21" s="69">
        <f t="shared" si="2"/>
        <v>-43.42</v>
      </c>
      <c r="L21" s="68">
        <f t="shared" si="5"/>
        <v>112.24896885559099</v>
      </c>
      <c r="P21" s="78"/>
      <c r="Q21" s="68"/>
      <c r="R21" s="68"/>
      <c r="T21" s="78"/>
      <c r="V21" s="78"/>
      <c r="W21" s="78"/>
      <c r="Y21" s="78"/>
      <c r="Z21" s="78"/>
      <c r="AA21" s="78"/>
    </row>
    <row r="22" spans="2:27">
      <c r="B22" s="67">
        <f t="shared" si="0"/>
        <v>2037</v>
      </c>
      <c r="C22" s="70"/>
      <c r="D22" s="68" cm="1">
        <f t="array" ref="D22">D21*INDEX('2025 IRP Assumptions'!$E$373:$E$396,'PV_.PX.HTG._.PTC.2031'!$B22-2023,1)/INDEX('2025 IRP Assumptions'!$E$373:$E$396,'PV_.PX.HTG._.PTC.2031'!$B22-2023-1,1)</f>
        <v>87.535729350576801</v>
      </c>
      <c r="E22" s="68" cm="1">
        <f t="array" ref="E22">$E$9*INDEX('2025 IRP Assumptions'!$E$373:$E$396,'PV_.PX.HTG._.PTC.2031'!$B22-2023,1)</f>
        <v>27.160266993119997</v>
      </c>
      <c r="F22" s="264"/>
      <c r="G22" s="69">
        <f t="shared" si="1"/>
        <v>40.058968633939237</v>
      </c>
      <c r="H22" s="68"/>
      <c r="I22" s="68">
        <f t="shared" si="3"/>
        <v>-55.69</v>
      </c>
      <c r="J22" s="69">
        <f t="shared" si="4"/>
        <v>-15.63103136606076</v>
      </c>
      <c r="K22" s="69">
        <f t="shared" si="2"/>
        <v>-44.75</v>
      </c>
      <c r="L22" s="68">
        <f t="shared" si="5"/>
        <v>114.69599634369681</v>
      </c>
      <c r="P22" s="78"/>
      <c r="Q22" s="68"/>
      <c r="R22" s="68"/>
      <c r="T22" s="78"/>
      <c r="V22" s="78"/>
      <c r="W22" s="78"/>
      <c r="Y22" s="78"/>
      <c r="Z22" s="78"/>
      <c r="AA22" s="78"/>
    </row>
    <row r="23" spans="2:27">
      <c r="B23" s="67">
        <f t="shared" si="0"/>
        <v>2038</v>
      </c>
      <c r="C23" s="70"/>
      <c r="D23" s="68" cm="1">
        <f t="array" ref="D23">D22*INDEX('2025 IRP Assumptions'!$E$373:$E$396,'PV_.PX.HTG._.PTC.2031'!$B23-2023,1)/INDEX('2025 IRP Assumptions'!$E$373:$E$396,'PV_.PX.HTG._.PTC.2031'!$B23-2023-1,1)</f>
        <v>89.44400827152954</v>
      </c>
      <c r="E23" s="68" cm="1">
        <f t="array" ref="E23">$E$9*INDEX('2025 IRP Assumptions'!$E$373:$E$396,'PV_.PX.HTG._.PTC.2031'!$B23-2023,1)</f>
        <v>27.75236082012</v>
      </c>
      <c r="F23" s="264"/>
      <c r="G23" s="69">
        <f t="shared" si="1"/>
        <v>40.932254159819756</v>
      </c>
      <c r="H23" s="68"/>
      <c r="I23" s="68">
        <f t="shared" si="3"/>
        <v>-55.69</v>
      </c>
      <c r="J23" s="69">
        <f t="shared" si="4"/>
        <v>-14.757745840180242</v>
      </c>
      <c r="K23" s="69">
        <f t="shared" si="2"/>
        <v>-42.25</v>
      </c>
      <c r="L23" s="68">
        <f t="shared" si="5"/>
        <v>117.19636909164954</v>
      </c>
      <c r="P23" s="78"/>
      <c r="Q23" s="68"/>
      <c r="R23" s="68"/>
      <c r="T23" s="78"/>
      <c r="V23" s="78"/>
      <c r="W23" s="78"/>
      <c r="Y23" s="78"/>
      <c r="Z23" s="78"/>
      <c r="AA23" s="78"/>
    </row>
    <row r="24" spans="2:27">
      <c r="B24" s="67">
        <f t="shared" si="0"/>
        <v>2039</v>
      </c>
      <c r="C24" s="70"/>
      <c r="D24" s="68" cm="1">
        <f t="array" ref="D24">D23*INDEX('2025 IRP Assumptions'!$E$373:$E$396,'PV_.PX.HTG._.PTC.2031'!$B24-2023,1)/INDEX('2025 IRP Assumptions'!$E$373:$E$396,'PV_.PX.HTG._.PTC.2031'!$B24-2023-1,1)</f>
        <v>91.393887636254348</v>
      </c>
      <c r="E24" s="68" cm="1">
        <f t="array" ref="E24">$E$9*INDEX('2025 IRP Assumptions'!$E$373:$E$396,'PV_.PX.HTG._.PTC.2031'!$B24-2023,1)</f>
        <v>28.35736228116</v>
      </c>
      <c r="F24" s="264"/>
      <c r="G24" s="69">
        <f t="shared" si="1"/>
        <v>41.824577293367305</v>
      </c>
      <c r="H24" s="68"/>
      <c r="I24" s="68">
        <f t="shared" si="3"/>
        <v>-57.02</v>
      </c>
      <c r="J24" s="69">
        <f t="shared" si="4"/>
        <v>-15.195422706632698</v>
      </c>
      <c r="K24" s="69">
        <f t="shared" si="2"/>
        <v>-43.51</v>
      </c>
      <c r="L24" s="68">
        <f t="shared" si="5"/>
        <v>119.75124991741436</v>
      </c>
      <c r="P24" s="78"/>
      <c r="Q24" s="68"/>
      <c r="R24" s="68"/>
      <c r="T24" s="78"/>
      <c r="V24" s="78"/>
      <c r="W24" s="78"/>
      <c r="Y24" s="78"/>
      <c r="Z24" s="78"/>
      <c r="AA24" s="78"/>
    </row>
    <row r="25" spans="2:27">
      <c r="B25" s="67">
        <f t="shared" si="0"/>
        <v>2040</v>
      </c>
      <c r="C25" s="70"/>
      <c r="D25" s="68" cm="1">
        <f t="array" ref="D25">D24*INDEX('2025 IRP Assumptions'!$E$373:$E$396,'PV_.PX.HTG._.PTC.2031'!$B25-2023,1)/INDEX('2025 IRP Assumptions'!$E$373:$E$396,'PV_.PX.HTG._.PTC.2031'!$B25-2023-1,1)</f>
        <v>93.386274414540893</v>
      </c>
      <c r="E25" s="68" cm="1">
        <f t="array" ref="E25">$E$9*INDEX('2025 IRP Assumptions'!$E$373:$E$396,'PV_.PX.HTG._.PTC.2031'!$B25-2023,1)</f>
        <v>28.975552787519998</v>
      </c>
      <c r="F25" s="264"/>
      <c r="G25" s="69">
        <f t="shared" si="1"/>
        <v>42.736353091092234</v>
      </c>
      <c r="H25" s="68"/>
      <c r="I25" s="68">
        <f t="shared" si="3"/>
        <v>-58.35</v>
      </c>
      <c r="J25" s="69">
        <f t="shared" si="4"/>
        <v>-15.613646908907768</v>
      </c>
      <c r="K25" s="69">
        <f t="shared" si="2"/>
        <v>-44.7</v>
      </c>
      <c r="L25" s="68">
        <f t="shared" si="5"/>
        <v>122.36182720206089</v>
      </c>
      <c r="P25" s="78"/>
      <c r="Q25" s="68"/>
      <c r="R25" s="68"/>
      <c r="T25" s="78"/>
      <c r="V25" s="78"/>
      <c r="W25" s="78"/>
      <c r="Y25" s="78"/>
      <c r="Z25" s="78"/>
      <c r="AA25" s="78"/>
    </row>
    <row r="26" spans="2:27">
      <c r="B26" s="67">
        <f t="shared" si="0"/>
        <v>2041</v>
      </c>
      <c r="C26" s="70"/>
      <c r="D26" s="68" cm="1">
        <f t="array" ref="D26">D25*INDEX('2025 IRP Assumptions'!$E$373:$E$396,'PV_.PX.HTG._.PTC.2031'!$B26-2023,1)/INDEX('2025 IRP Assumptions'!$E$373:$E$396,'PV_.PX.HTG._.PTC.2031'!$B26-2023-1,1)</f>
        <v>95.422095152017988</v>
      </c>
      <c r="E26" s="68" cm="1">
        <f t="array" ref="E26">$E$9*INDEX('2025 IRP Assumptions'!$E$373:$E$396,'PV_.PX.HTG._.PTC.2031'!$B26-2023,1)</f>
        <v>29.607219824399998</v>
      </c>
      <c r="F26" s="264"/>
      <c r="G26" s="69">
        <f t="shared" si="1"/>
        <v>43.668005567994577</v>
      </c>
      <c r="H26" s="68"/>
      <c r="I26" s="68"/>
      <c r="J26" s="69">
        <f t="shared" si="4"/>
        <v>43.668005567994577</v>
      </c>
      <c r="K26" s="69">
        <f t="shared" si="2"/>
        <v>125.03</v>
      </c>
      <c r="L26" s="68">
        <f t="shared" si="5"/>
        <v>125.02931497641799</v>
      </c>
      <c r="P26" s="78"/>
      <c r="Q26" s="68"/>
      <c r="R26" s="68"/>
    </row>
    <row r="27" spans="2:27">
      <c r="B27" s="67">
        <f t="shared" si="0"/>
        <v>2042</v>
      </c>
      <c r="C27" s="70"/>
      <c r="D27" s="68" cm="1">
        <f t="array" ref="D27">D26*INDEX('2025 IRP Assumptions'!$E$373:$E$396,'PV_.PX.HTG._.PTC.2031'!$B27-2023,1)/INDEX('2025 IRP Assumptions'!$E$373:$E$396,'PV_.PX.HTG._.PTC.2031'!$B27-2023-1,1)</f>
        <v>97.502296829903244</v>
      </c>
      <c r="E27" s="68" cm="1">
        <f t="array" ref="E27">$E$9*INDEX('2025 IRP Assumptions'!$E$373:$E$396,'PV_.PX.HTG._.PTC.2031'!$B27-2023,1)</f>
        <v>30.252657217679999</v>
      </c>
      <c r="F27" s="264"/>
      <c r="G27" s="69">
        <f t="shared" si="1"/>
        <v>44.619968091011174</v>
      </c>
      <c r="H27" s="68"/>
      <c r="I27" s="68"/>
      <c r="J27" s="69">
        <f t="shared" si="4"/>
        <v>44.619968091011174</v>
      </c>
      <c r="K27" s="69">
        <f t="shared" si="2"/>
        <v>127.75</v>
      </c>
      <c r="L27" s="68">
        <f t="shared" si="5"/>
        <v>127.75495404758324</v>
      </c>
      <c r="P27" s="78"/>
      <c r="Q27" s="68"/>
      <c r="R27" s="68"/>
    </row>
    <row r="28" spans="2:27">
      <c r="B28" s="67">
        <f t="shared" si="0"/>
        <v>2043</v>
      </c>
      <c r="C28" s="70"/>
      <c r="D28" s="68" cm="1">
        <f t="array" ref="D28">D27*INDEX('2025 IRP Assumptions'!$E$373:$E$396,'PV_.PX.HTG._.PTC.2031'!$B28-2023,1)/INDEX('2025 IRP Assumptions'!$E$373:$E$396,'PV_.PX.HTG._.PTC.2031'!$B28-2023-1,1)</f>
        <v>99.627846931137697</v>
      </c>
      <c r="E28" s="68" cm="1">
        <f t="array" ref="E28">$E$9*INDEX('2025 IRP Assumptions'!$E$373:$E$396,'PV_.PX.HTG._.PTC.2031'!$B28-2023,1)</f>
        <v>30.91216515444</v>
      </c>
      <c r="F28" s="264"/>
      <c r="G28" s="69">
        <f t="shared" si="1"/>
        <v>45.592683409280887</v>
      </c>
      <c r="H28" s="68"/>
      <c r="I28" s="68"/>
      <c r="J28" s="69">
        <f t="shared" si="4"/>
        <v>45.592683409280887</v>
      </c>
      <c r="K28" s="69">
        <f t="shared" si="2"/>
        <v>130.54</v>
      </c>
      <c r="L28" s="68">
        <f t="shared" si="5"/>
        <v>130.5400120855777</v>
      </c>
      <c r="P28" s="78"/>
      <c r="Q28" s="68"/>
      <c r="R28" s="68"/>
    </row>
    <row r="29" spans="2:27">
      <c r="B29" s="67">
        <f t="shared" si="0"/>
        <v>2044</v>
      </c>
      <c r="C29" s="70"/>
      <c r="D29" s="68" cm="1">
        <f t="array" ref="D29">D28*INDEX('2025 IRP Assumptions'!$E$373:$E$396,'PV_.PX.HTG._.PTC.2031'!$B29-2023,1)/INDEX('2025 IRP Assumptions'!$E$373:$E$396,'PV_.PX.HTG._.PTC.2031'!$B29-2023-1,1)</f>
        <v>101.79973396946248</v>
      </c>
      <c r="E29" s="68" cm="1">
        <f t="array" ref="E29">$E$9*INDEX('2025 IRP Assumptions'!$E$373:$E$396,'PV_.PX.HTG._.PTC.2031'!$B29-2023,1)</f>
        <v>31.58605034712</v>
      </c>
      <c r="F29" s="264"/>
      <c r="G29" s="69">
        <f t="shared" si="1"/>
        <v>46.586603896265878</v>
      </c>
      <c r="H29" s="68"/>
      <c r="I29" s="68"/>
      <c r="J29" s="69">
        <f t="shared" si="4"/>
        <v>46.586603896265878</v>
      </c>
      <c r="K29" s="69">
        <f t="shared" si="2"/>
        <v>133.38999999999999</v>
      </c>
      <c r="L29" s="68">
        <f t="shared" si="5"/>
        <v>133.38578431658249</v>
      </c>
      <c r="P29" s="78"/>
      <c r="Q29" s="68"/>
      <c r="R29" s="68"/>
    </row>
    <row r="30" spans="2:27">
      <c r="B30" s="67">
        <f t="shared" si="0"/>
        <v>2045</v>
      </c>
      <c r="C30" s="70"/>
      <c r="D30" s="68" cm="1">
        <f t="array" ref="D30">D29*INDEX('2025 IRP Assumptions'!$E$373:$E$396,'PV_.PX.HTG._.PTC.2031'!$B30-2023,1)/INDEX('2025 IRP Assumptions'!$E$373:$E$396,'PV_.PX.HTG._.PTC.2031'!$B30-2023-1,1)</f>
        <v>104.01896821689942</v>
      </c>
      <c r="E30" s="68" cm="1">
        <f t="array" ref="E30">$E$9*INDEX('2025 IRP Assumptions'!$E$373:$E$396,'PV_.PX.HTG._.PTC.2031'!$B30-2023,1)</f>
        <v>32.274626259240002</v>
      </c>
      <c r="F30" s="264"/>
      <c r="G30" s="69">
        <f t="shared" si="1"/>
        <v>47.602191882668528</v>
      </c>
      <c r="H30" s="68"/>
      <c r="I30" s="68"/>
      <c r="J30" s="69">
        <f t="shared" si="4"/>
        <v>47.602191882668528</v>
      </c>
      <c r="K30" s="69">
        <f t="shared" si="2"/>
        <v>136.29</v>
      </c>
      <c r="L30" s="68">
        <f t="shared" si="5"/>
        <v>136.29359447613942</v>
      </c>
      <c r="P30" s="78"/>
      <c r="Q30" s="68"/>
      <c r="R30" s="68"/>
    </row>
    <row r="31" spans="2:27">
      <c r="B31" s="67">
        <f t="shared" si="0"/>
        <v>2046</v>
      </c>
      <c r="C31" s="70"/>
      <c r="D31" s="68" cm="1">
        <f t="array" ref="D31">D30*INDEX('2025 IRP Assumptions'!$E$373:$E$396,'PV_.PX.HTG._.PTC.2031'!$B31-2023,1)/INDEX('2025 IRP Assumptions'!$E$373:$E$396,'PV_.PX.HTG._.PTC.2031'!$B31-2023-1,1)</f>
        <v>106.28658170375095</v>
      </c>
      <c r="E31" s="68" cm="1">
        <f t="array" ref="E31">$E$9*INDEX('2025 IRP Assumptions'!$E$373:$E$396,'PV_.PX.HTG._.PTC.2031'!$B31-2023,1)</f>
        <v>32.978213105400002</v>
      </c>
      <c r="F31" s="264"/>
      <c r="G31" s="69">
        <f t="shared" si="1"/>
        <v>48.639919656431395</v>
      </c>
      <c r="H31" s="68"/>
      <c r="I31" s="68"/>
      <c r="J31" s="69">
        <f t="shared" si="4"/>
        <v>48.639919656431395</v>
      </c>
      <c r="K31" s="69">
        <f t="shared" si="2"/>
        <v>139.26</v>
      </c>
      <c r="L31" s="68">
        <f t="shared" si="5"/>
        <v>139.26479480915094</v>
      </c>
      <c r="P31" s="78"/>
      <c r="Q31" s="68"/>
      <c r="R31" s="68"/>
    </row>
    <row r="32" spans="2:27">
      <c r="B32" s="67">
        <f t="shared" si="0"/>
        <v>2047</v>
      </c>
      <c r="C32" s="70"/>
      <c r="D32" s="68" cm="1">
        <f t="array" ref="D32">D31*INDEX('2025 IRP Assumptions'!$E$373:$E$396,'PV_.PX.HTG._.PTC.2031'!$B32-2023,1)/INDEX('2025 IRP Assumptions'!$E$373:$E$396,'PV_.PX.HTG._.PTC.2031'!$B32-2023-1,1)</f>
        <v>108.6036291444845</v>
      </c>
      <c r="E32" s="68" cm="1">
        <f t="array" ref="E32">$E$9*INDEX('2025 IRP Assumptions'!$E$373:$E$396,'PV_.PX.HTG._.PTC.2031'!$B32-2023,1)</f>
        <v>33.69713813856</v>
      </c>
      <c r="F32" s="264"/>
      <c r="G32" s="69">
        <f t="shared" si="1"/>
        <v>49.700269886449597</v>
      </c>
      <c r="H32" s="68"/>
      <c r="I32" s="68"/>
      <c r="J32" s="69">
        <f t="shared" si="4"/>
        <v>49.700269886449597</v>
      </c>
      <c r="K32" s="69">
        <f t="shared" si="2"/>
        <v>142.30000000000001</v>
      </c>
      <c r="L32" s="68">
        <f t="shared" si="5"/>
        <v>142.30076728304451</v>
      </c>
      <c r="P32" s="78"/>
      <c r="Q32" s="68"/>
      <c r="R32" s="68"/>
    </row>
    <row r="33" spans="2:18" ht="15">
      <c r="B33" s="67">
        <f t="shared" si="0"/>
        <v>2048</v>
      </c>
      <c r="C33" s="70"/>
      <c r="D33" s="259">
        <f t="shared" ref="D33:E35" si="6">D32*D32/D31</f>
        <v>110.97118821854514</v>
      </c>
      <c r="E33" s="259">
        <f t="shared" si="6"/>
        <v>34.431735737169561</v>
      </c>
      <c r="F33" s="264"/>
      <c r="G33" s="69">
        <f t="shared" si="1"/>
        <v>50.78373575107905</v>
      </c>
      <c r="H33" s="68"/>
      <c r="I33" s="68"/>
      <c r="J33" s="69">
        <f t="shared" si="4"/>
        <v>50.78373575107905</v>
      </c>
      <c r="K33" s="69">
        <f t="shared" si="2"/>
        <v>145.4</v>
      </c>
      <c r="L33" s="68">
        <f t="shared" si="5"/>
        <v>145.4029239557147</v>
      </c>
      <c r="P33" s="78"/>
      <c r="Q33" s="68"/>
      <c r="R33" s="68"/>
    </row>
    <row r="34" spans="2:18" ht="15">
      <c r="B34" s="67">
        <f t="shared" si="0"/>
        <v>2049</v>
      </c>
      <c r="C34" s="70"/>
      <c r="D34" s="259">
        <f t="shared" si="6"/>
        <v>113.39036007952019</v>
      </c>
      <c r="E34" s="259">
        <f t="shared" si="6"/>
        <v>35.182347563149534</v>
      </c>
      <c r="F34" s="264"/>
      <c r="G34" s="69">
        <f t="shared" si="1"/>
        <v>51.890821171145525</v>
      </c>
      <c r="H34" s="68"/>
      <c r="I34" s="68"/>
      <c r="J34" s="69">
        <f t="shared" si="4"/>
        <v>51.890821171145525</v>
      </c>
      <c r="K34" s="69">
        <f t="shared" si="2"/>
        <v>148.57</v>
      </c>
      <c r="L34" s="68">
        <f t="shared" si="5"/>
        <v>148.57270764266974</v>
      </c>
      <c r="P34" s="78"/>
      <c r="Q34" s="68"/>
      <c r="R34" s="68"/>
    </row>
    <row r="35" spans="2:18" ht="15">
      <c r="B35" s="67">
        <f t="shared" si="0"/>
        <v>2050</v>
      </c>
      <c r="C35" s="70"/>
      <c r="D35" s="259">
        <f t="shared" si="6"/>
        <v>115.86226988614479</v>
      </c>
      <c r="E35" s="259">
        <f t="shared" si="6"/>
        <v>35.9493227266505</v>
      </c>
      <c r="F35" s="264"/>
      <c r="G35" s="69">
        <f t="shared" si="1"/>
        <v>53.022041052948552</v>
      </c>
      <c r="H35" s="68"/>
      <c r="I35" s="68"/>
      <c r="J35" s="69">
        <f t="shared" si="4"/>
        <v>53.022041052948552</v>
      </c>
      <c r="K35" s="69">
        <f t="shared" si="2"/>
        <v>151.81</v>
      </c>
      <c r="L35" s="68">
        <f t="shared" si="5"/>
        <v>151.81159261279529</v>
      </c>
      <c r="P35" s="78"/>
      <c r="Q35" s="68"/>
      <c r="R35" s="68"/>
    </row>
    <row r="36" spans="2:18" ht="15">
      <c r="B36" s="67">
        <f t="shared" si="0"/>
        <v>2051</v>
      </c>
      <c r="C36" s="70"/>
      <c r="D36" s="259">
        <f t="shared" ref="D36:E36" si="7">D35*D35/D34</f>
        <v>118.38806732561402</v>
      </c>
      <c r="E36" s="259">
        <f t="shared" si="7"/>
        <v>36.733017948424198</v>
      </c>
      <c r="F36" s="264"/>
      <c r="G36" s="69">
        <f t="shared" si="1"/>
        <v>54.177921527744807</v>
      </c>
      <c r="H36" s="68"/>
      <c r="I36" s="68"/>
      <c r="J36" s="69">
        <f t="shared" ref="J36:J45" si="8">(G36+H36+I36)</f>
        <v>54.177921527744807</v>
      </c>
      <c r="K36" s="69">
        <f t="shared" si="2"/>
        <v>155.12</v>
      </c>
      <c r="L36" s="68">
        <f t="shared" ref="L36:L45" si="9">(D36+E36+F36)</f>
        <v>155.12108527403822</v>
      </c>
      <c r="P36" s="78"/>
      <c r="Q36" s="68"/>
      <c r="R36" s="68"/>
    </row>
    <row r="37" spans="2:18" ht="15">
      <c r="B37" s="67">
        <f t="shared" si="0"/>
        <v>2052</v>
      </c>
      <c r="C37" s="70"/>
      <c r="D37" s="259">
        <f t="shared" ref="D37:E37" si="10">D36*D36/D35</f>
        <v>120.96892714830341</v>
      </c>
      <c r="E37" s="259">
        <f t="shared" si="10"/>
        <v>37.533797725734615</v>
      </c>
      <c r="F37" s="264"/>
      <c r="G37" s="69">
        <f t="shared" si="1"/>
        <v>55.359000196452179</v>
      </c>
      <c r="H37" s="68"/>
      <c r="I37" s="68"/>
      <c r="J37" s="69">
        <f t="shared" si="8"/>
        <v>55.359000196452179</v>
      </c>
      <c r="K37" s="69">
        <f t="shared" si="2"/>
        <v>158.5</v>
      </c>
      <c r="L37" s="68">
        <f t="shared" si="9"/>
        <v>158.50272487403802</v>
      </c>
      <c r="P37" s="78"/>
      <c r="Q37" s="68"/>
      <c r="R37" s="68"/>
    </row>
    <row r="38" spans="2:18" ht="15">
      <c r="B38" s="67">
        <f t="shared" si="0"/>
        <v>2053</v>
      </c>
      <c r="C38" s="70"/>
      <c r="D38" s="259">
        <f t="shared" ref="D38:E38" si="11">D37*D37/D36</f>
        <v>123.60604971414624</v>
      </c>
      <c r="E38" s="259">
        <f t="shared" si="11"/>
        <v>38.35203450188596</v>
      </c>
      <c r="F38" s="264"/>
      <c r="G38" s="69">
        <f t="shared" si="1"/>
        <v>56.565826379688353</v>
      </c>
      <c r="H38" s="68"/>
      <c r="I38" s="68"/>
      <c r="J38" s="69">
        <f t="shared" si="8"/>
        <v>56.565826379688353</v>
      </c>
      <c r="K38" s="69">
        <f t="shared" si="2"/>
        <v>161.96</v>
      </c>
      <c r="L38" s="68">
        <f t="shared" si="9"/>
        <v>161.9580842160322</v>
      </c>
      <c r="P38" s="78"/>
      <c r="Q38" s="68"/>
      <c r="R38" s="68"/>
    </row>
    <row r="39" spans="2:18" ht="15">
      <c r="B39" s="67">
        <f t="shared" si="0"/>
        <v>2054</v>
      </c>
      <c r="C39" s="70"/>
      <c r="D39" s="259">
        <f t="shared" ref="D39:E39" si="12">D38*D38/D37</f>
        <v>126.30066155092186</v>
      </c>
      <c r="E39" s="259">
        <f t="shared" si="12"/>
        <v>39.188108839446329</v>
      </c>
      <c r="F39" s="264"/>
      <c r="G39" s="69">
        <f t="shared" si="1"/>
        <v>57.798961373260262</v>
      </c>
      <c r="H39" s="68"/>
      <c r="I39" s="68"/>
      <c r="J39" s="69">
        <f t="shared" si="8"/>
        <v>57.798961373260262</v>
      </c>
      <c r="K39" s="69">
        <f t="shared" si="2"/>
        <v>165.49</v>
      </c>
      <c r="L39" s="68">
        <f t="shared" si="9"/>
        <v>165.48877039036819</v>
      </c>
      <c r="P39" s="78"/>
      <c r="Q39" s="68"/>
      <c r="R39" s="68"/>
    </row>
    <row r="40" spans="2:18" ht="15">
      <c r="B40" s="67">
        <f t="shared" si="0"/>
        <v>2055</v>
      </c>
      <c r="C40" s="70"/>
      <c r="D40" s="259">
        <f t="shared" ref="D40:E40" si="13">D39*D39/D38</f>
        <v>129.05401592471475</v>
      </c>
      <c r="E40" s="259">
        <f t="shared" si="13"/>
        <v>40.042409597247648</v>
      </c>
      <c r="F40" s="264"/>
      <c r="G40" s="69">
        <f t="shared" si="1"/>
        <v>59.058978709223226</v>
      </c>
      <c r="H40" s="68"/>
      <c r="I40" s="68"/>
      <c r="J40" s="69">
        <f t="shared" si="8"/>
        <v>59.058978709223226</v>
      </c>
      <c r="K40" s="69">
        <f t="shared" si="2"/>
        <v>169.1</v>
      </c>
      <c r="L40" s="68">
        <f t="shared" si="9"/>
        <v>169.0964255219624</v>
      </c>
      <c r="P40" s="78"/>
      <c r="Q40" s="68"/>
      <c r="R40" s="68"/>
    </row>
    <row r="41" spans="2:18" ht="15">
      <c r="B41" s="67">
        <f t="shared" si="0"/>
        <v>2056</v>
      </c>
      <c r="C41" s="70"/>
      <c r="D41" s="259">
        <f t="shared" ref="D41:E41" si="14">D40*D40/D39</f>
        <v>131.86739342280956</v>
      </c>
      <c r="E41" s="259">
        <f t="shared" si="14"/>
        <v>40.915334111244249</v>
      </c>
      <c r="F41" s="264"/>
      <c r="G41" s="69">
        <f t="shared" si="1"/>
        <v>60.346464422631144</v>
      </c>
      <c r="H41" s="68"/>
      <c r="I41" s="68"/>
      <c r="J41" s="69">
        <f t="shared" si="8"/>
        <v>60.346464422631144</v>
      </c>
      <c r="K41" s="69">
        <f t="shared" si="2"/>
        <v>172.78</v>
      </c>
      <c r="L41" s="68">
        <f t="shared" si="9"/>
        <v>172.78272753405381</v>
      </c>
      <c r="P41" s="78"/>
      <c r="Q41" s="68"/>
      <c r="R41" s="68"/>
    </row>
    <row r="42" spans="2:18" ht="15">
      <c r="B42" s="67">
        <f t="shared" si="0"/>
        <v>2057</v>
      </c>
      <c r="C42" s="70"/>
      <c r="D42" s="259">
        <f t="shared" ref="D42:E42" si="15">D41*D41/D40</f>
        <v>134.74210254929324</v>
      </c>
      <c r="E42" s="259">
        <f t="shared" si="15"/>
        <v>41.807288379314109</v>
      </c>
      <c r="F42" s="264"/>
      <c r="G42" s="69">
        <f t="shared" si="1"/>
        <v>61.662017324101882</v>
      </c>
      <c r="H42" s="68"/>
      <c r="I42" s="68"/>
      <c r="J42" s="69">
        <f t="shared" si="8"/>
        <v>61.662017324101882</v>
      </c>
      <c r="K42" s="69">
        <f t="shared" si="2"/>
        <v>176.55</v>
      </c>
      <c r="L42" s="68">
        <f t="shared" si="9"/>
        <v>176.54939092860735</v>
      </c>
      <c r="P42" s="78"/>
      <c r="Q42" s="68"/>
      <c r="R42" s="68"/>
    </row>
    <row r="43" spans="2:18" ht="15">
      <c r="B43" s="67">
        <f t="shared" si="0"/>
        <v>2058</v>
      </c>
      <c r="C43" s="70"/>
      <c r="D43" s="259">
        <f t="shared" ref="D43:E43" si="16">D42*D42/D41</f>
        <v>137.67948033364135</v>
      </c>
      <c r="E43" s="259">
        <f t="shared" si="16"/>
        <v>42.718687250088784</v>
      </c>
      <c r="F43" s="264"/>
      <c r="G43" s="69">
        <f t="shared" si="1"/>
        <v>63.006249278324532</v>
      </c>
      <c r="H43" s="68"/>
      <c r="I43" s="68"/>
      <c r="J43" s="69">
        <f t="shared" si="8"/>
        <v>63.006249278324532</v>
      </c>
      <c r="K43" s="69">
        <f t="shared" si="2"/>
        <v>180.4</v>
      </c>
      <c r="L43" s="68">
        <f t="shared" si="9"/>
        <v>180.39816758373013</v>
      </c>
      <c r="P43" s="78"/>
      <c r="Q43" s="68"/>
      <c r="R43" s="68"/>
    </row>
    <row r="44" spans="2:18" ht="15">
      <c r="B44" s="67">
        <f t="shared" si="0"/>
        <v>2059</v>
      </c>
      <c r="C44" s="70"/>
      <c r="D44" s="259">
        <f t="shared" ref="D44:E44" si="17">D43*D43/D42</f>
        <v>140.6808929525715</v>
      </c>
      <c r="E44" s="259">
        <f t="shared" si="17"/>
        <v>43.649954615899851</v>
      </c>
      <c r="F44" s="264"/>
      <c r="G44" s="69">
        <f t="shared" si="1"/>
        <v>64.379785488638177</v>
      </c>
      <c r="H44" s="68"/>
      <c r="I44" s="68"/>
      <c r="J44" s="69">
        <f t="shared" si="8"/>
        <v>64.379785488638177</v>
      </c>
      <c r="K44" s="69">
        <f t="shared" si="2"/>
        <v>184.33</v>
      </c>
      <c r="L44" s="68">
        <f t="shared" si="9"/>
        <v>184.33084756847134</v>
      </c>
      <c r="P44" s="78"/>
      <c r="Q44" s="68"/>
      <c r="R44" s="68"/>
    </row>
    <row r="45" spans="2:18" ht="15">
      <c r="B45" s="67">
        <f t="shared" si="0"/>
        <v>2060</v>
      </c>
      <c r="C45" s="70"/>
      <c r="D45" s="259">
        <f t="shared" ref="D45:E46" si="18">D44*D44/D43</f>
        <v>143.74773636545322</v>
      </c>
      <c r="E45" s="259">
        <f t="shared" si="18"/>
        <v>44.601523609931547</v>
      </c>
      <c r="F45" s="264"/>
      <c r="G45" s="69">
        <f t="shared" si="1"/>
        <v>65.78326478781446</v>
      </c>
      <c r="H45" s="68"/>
      <c r="I45" s="68"/>
      <c r="J45" s="69">
        <f t="shared" si="8"/>
        <v>65.78326478781446</v>
      </c>
      <c r="K45" s="69">
        <f t="shared" si="2"/>
        <v>188.35</v>
      </c>
      <c r="L45" s="68">
        <f t="shared" si="9"/>
        <v>188.34925997538477</v>
      </c>
      <c r="P45" s="78"/>
      <c r="Q45" s="68"/>
      <c r="R45" s="68"/>
    </row>
    <row r="46" spans="2:18" ht="15">
      <c r="B46" s="67">
        <f t="shared" si="0"/>
        <v>2061</v>
      </c>
      <c r="C46" s="70"/>
      <c r="D46" s="259">
        <f t="shared" si="18"/>
        <v>146.8814369635698</v>
      </c>
      <c r="E46" s="259">
        <f t="shared" si="18"/>
        <v>45.573836807671363</v>
      </c>
      <c r="F46" s="264"/>
      <c r="G46" s="69">
        <f t="shared" si="1"/>
        <v>67.217339935179197</v>
      </c>
      <c r="H46" s="68"/>
      <c r="I46" s="68"/>
      <c r="J46" s="69">
        <f t="shared" ref="J46" si="19">(G46+H46+I46)</f>
        <v>67.217339935179197</v>
      </c>
      <c r="K46" s="69">
        <f t="shared" si="2"/>
        <v>192.46</v>
      </c>
      <c r="L46" s="68">
        <f t="shared" ref="L46" si="20">(D46+E46+F46)</f>
        <v>192.45527377124117</v>
      </c>
      <c r="P46" s="78"/>
      <c r="Q46" s="68"/>
      <c r="R46" s="68"/>
    </row>
    <row r="47" spans="2:18">
      <c r="B47" s="67"/>
      <c r="C47" s="70"/>
      <c r="D47" s="68"/>
      <c r="E47" s="68"/>
      <c r="F47" s="68"/>
      <c r="G47" s="69"/>
      <c r="H47" s="68"/>
      <c r="I47" s="68"/>
      <c r="J47" s="68"/>
      <c r="K47" s="68"/>
      <c r="L47" s="68"/>
      <c r="M47" s="68"/>
    </row>
    <row r="48" spans="2:18">
      <c r="B48" s="67" t="s">
        <v>306</v>
      </c>
      <c r="C48" s="70"/>
      <c r="D48" s="68"/>
      <c r="E48" s="68"/>
      <c r="F48" s="68">
        <f>NPV(Discount_Rate,F16:F40)</f>
        <v>0</v>
      </c>
      <c r="G48" s="69"/>
      <c r="H48" s="68"/>
      <c r="I48" s="69"/>
      <c r="J48" s="69">
        <f>-PMT(Discount_Rate,COUNT(J$16:J$40),NPV(Discount_Rate,J$16:J$40))</f>
        <v>12.029357860491595</v>
      </c>
      <c r="K48" s="69">
        <f>-PMT(Discount_Rate,COUNT(K$16:K$40),NPV(Discount_Rate,K$16:K$40))</f>
        <v>34.442990016268126</v>
      </c>
      <c r="L48" s="69">
        <f>-PMT(Discount_Rate,COUNT(L$16:L$40),NPV(Discount_Rate,L$16:L$40))</f>
        <v>123.46725151754924</v>
      </c>
      <c r="M48" s="72"/>
    </row>
    <row r="49" spans="2:20" ht="14.25">
      <c r="B49" s="73" t="s">
        <v>25</v>
      </c>
      <c r="C49" s="74"/>
      <c r="D49" s="74"/>
      <c r="E49" s="74"/>
      <c r="F49" s="74"/>
      <c r="G49" s="74"/>
      <c r="H49" s="74"/>
      <c r="I49" s="74"/>
    </row>
    <row r="51" spans="2:20">
      <c r="B51" s="60" t="s">
        <v>59</v>
      </c>
      <c r="C51" s="75" t="s">
        <v>60</v>
      </c>
      <c r="D51" s="146" t="s">
        <v>186</v>
      </c>
    </row>
    <row r="52" spans="2:20">
      <c r="C52" s="75" t="str">
        <f>C7</f>
        <v>(a)</v>
      </c>
      <c r="D52" s="60" t="s">
        <v>61</v>
      </c>
    </row>
    <row r="53" spans="2:20">
      <c r="C53" s="75" t="str">
        <f>D7</f>
        <v>(b)</v>
      </c>
      <c r="D53" s="69" t="str">
        <f>"= "&amp;C7&amp;" x "&amp;C60</f>
        <v>= (a) x 0.06861</v>
      </c>
    </row>
    <row r="54" spans="2:20">
      <c r="C54" s="75">
        <f>F7</f>
        <v>0</v>
      </c>
      <c r="D54" s="69" t="str">
        <f>"= ("&amp;$D$7&amp;" + "&amp;$E$7&amp;") /  (8.76 x "&amp;TEXT(C61,"0.0%")&amp;")"</f>
        <v>= ((b) + (c)) /  (8.76 x 32.7%)</v>
      </c>
    </row>
    <row r="55" spans="2:20">
      <c r="C55" s="75" t="str">
        <f>J7</f>
        <v>(g)</v>
      </c>
      <c r="D55" s="69" t="str">
        <f>"= "&amp;$G$7&amp;" + "&amp;$H$7</f>
        <v>= (e) + (f)</v>
      </c>
    </row>
    <row r="56" spans="2:20">
      <c r="C56" s="75" t="str">
        <f>K7</f>
        <v>(h)</v>
      </c>
      <c r="D56" t="str">
        <f>D51</f>
        <v>Plant Costs  - 2025 IRP - Table 7.1 &amp; 7.2</v>
      </c>
    </row>
    <row r="57" spans="2:20">
      <c r="Q57" s="60" t="s">
        <v>82</v>
      </c>
      <c r="R57" s="67">
        <v>2031</v>
      </c>
      <c r="T57" s="156" t="s">
        <v>252</v>
      </c>
    </row>
    <row r="58" spans="2:20">
      <c r="B58"/>
      <c r="C58" s="153"/>
      <c r="P58" s="143"/>
      <c r="T58" s="156"/>
    </row>
    <row r="59" spans="2:20">
      <c r="B59"/>
      <c r="C59" s="76"/>
      <c r="Q59" s="60" t="s">
        <v>189</v>
      </c>
      <c r="R59" s="143">
        <v>405.94040000000001</v>
      </c>
    </row>
    <row r="60" spans="2:20">
      <c r="C60" s="154">
        <v>6.8610000000000004E-2</v>
      </c>
      <c r="D60" s="60" t="s">
        <v>197</v>
      </c>
      <c r="E60" s="150"/>
      <c r="J60" s="258"/>
      <c r="L60" s="145"/>
      <c r="M60" s="80"/>
      <c r="N60" s="80"/>
      <c r="P60" s="81"/>
    </row>
    <row r="61" spans="2:20">
      <c r="C61" s="155">
        <v>0.32684691378829861</v>
      </c>
      <c r="D61" s="60" t="s">
        <v>35</v>
      </c>
    </row>
    <row r="62" spans="2:20">
      <c r="C62" s="161"/>
      <c r="D62" s="79"/>
      <c r="H62" s="348">
        <v>1.1000000000000001</v>
      </c>
      <c r="I62" s="60" t="s">
        <v>305</v>
      </c>
    </row>
    <row r="63" spans="2:20" ht="15">
      <c r="I63" s="105" t="s">
        <v>31</v>
      </c>
      <c r="J63" s="105" t="s">
        <v>302</v>
      </c>
    </row>
    <row r="64" spans="2:20" ht="15">
      <c r="C64" s="105"/>
      <c r="D64" s="105"/>
      <c r="E64" s="105"/>
      <c r="F64" s="105"/>
      <c r="G64" s="260">
        <v>47849</v>
      </c>
      <c r="H64" s="67">
        <f>YEAR(G64)</f>
        <v>2031</v>
      </c>
      <c r="I64" s="68">
        <f>IF($H$62=110%,INDEX('2025 IRP Assumptions'!$E$341:$E$361,MATCH(H64,'2025 IRP Assumptions'!$S$341:$S$361,0),1),INDEX('2025 IRP Assumptions'!$E$309:$E$338,MATCH(H64,'2025 IRP Assumptions'!$S$341:$S$361,0)))</f>
        <v>49.06</v>
      </c>
      <c r="J64" s="78">
        <f>I64*(8.76*$C$61)</f>
        <v>140.46756001237642</v>
      </c>
    </row>
    <row r="65" spans="3:10" ht="15">
      <c r="C65" s="260"/>
      <c r="D65" s="105"/>
      <c r="E65" s="241"/>
      <c r="F65" s="265"/>
      <c r="G65" s="260">
        <v>48214</v>
      </c>
      <c r="H65" s="67">
        <f>YEAR(G65)</f>
        <v>2032</v>
      </c>
      <c r="I65" s="68">
        <f>IF($H$62=110%,INDEX('2025 IRP Assumptions'!$E$341:$E$361,MATCH(H65,'2025 IRP Assumptions'!$S$341:$S$361,0),1),INDEX('2025 IRP Assumptions'!$E$309:$E$338,MATCH(H65,'2025 IRP Assumptions'!$S$341:$S$361,0)))</f>
        <v>50.39</v>
      </c>
      <c r="J65" s="78">
        <f t="shared" ref="J65:J73" si="21">I65*(8.76*$C$61)</f>
        <v>144.27558803554115</v>
      </c>
    </row>
    <row r="66" spans="3:10" ht="15">
      <c r="C66" s="260"/>
      <c r="D66" s="105"/>
      <c r="E66" s="241"/>
      <c r="F66" s="265"/>
      <c r="G66" s="260">
        <v>48580</v>
      </c>
      <c r="H66" s="67">
        <f t="shared" ref="H66:H73" si="22">YEAR(G66)</f>
        <v>2033</v>
      </c>
      <c r="I66" s="68">
        <f>IF($H$62=110%,INDEX('2025 IRP Assumptions'!$E$341:$E$361,MATCH(H66,'2025 IRP Assumptions'!$S$341:$S$361,0),1),INDEX('2025 IRP Assumptions'!$E$309:$E$338,MATCH(H66,'2025 IRP Assumptions'!$S$341:$S$361,0)))</f>
        <v>50.39</v>
      </c>
      <c r="J66" s="78">
        <f t="shared" si="21"/>
        <v>144.27558803554115</v>
      </c>
    </row>
    <row r="67" spans="3:10" ht="15">
      <c r="C67" s="260"/>
      <c r="D67" s="105"/>
      <c r="E67" s="241"/>
      <c r="F67" s="265"/>
      <c r="G67" s="260">
        <v>48945</v>
      </c>
      <c r="H67" s="67">
        <f t="shared" si="22"/>
        <v>2034</v>
      </c>
      <c r="I67" s="68">
        <f>IF($H$62=110%,INDEX('2025 IRP Assumptions'!$E$341:$E$361,MATCH(H67,'2025 IRP Assumptions'!$S$341:$S$361,0),1),INDEX('2025 IRP Assumptions'!$E$309:$E$338,MATCH(H67,'2025 IRP Assumptions'!$S$341:$S$361,0)))</f>
        <v>51.71</v>
      </c>
      <c r="J67" s="78">
        <f t="shared" si="21"/>
        <v>148.054984269058</v>
      </c>
    </row>
    <row r="68" spans="3:10" ht="15">
      <c r="C68" s="260"/>
      <c r="D68" s="105"/>
      <c r="E68" s="241"/>
      <c r="F68" s="265"/>
      <c r="G68" s="260">
        <v>49310</v>
      </c>
      <c r="H68" s="67">
        <f t="shared" si="22"/>
        <v>2035</v>
      </c>
      <c r="I68" s="68">
        <f>IF($H$62=110%,INDEX('2025 IRP Assumptions'!$E$341:$E$361,MATCH(H68,'2025 IRP Assumptions'!$S$341:$S$361,0),1),INDEX('2025 IRP Assumptions'!$E$309:$E$338,MATCH(H68,'2025 IRP Assumptions'!$S$341:$S$361,0)))</f>
        <v>53.04</v>
      </c>
      <c r="J68" s="78">
        <f t="shared" si="21"/>
        <v>151.86301229222269</v>
      </c>
    </row>
    <row r="69" spans="3:10" ht="15">
      <c r="C69" s="260"/>
      <c r="D69" s="105"/>
      <c r="E69" s="241"/>
      <c r="F69" s="265"/>
      <c r="G69" s="260">
        <v>49675</v>
      </c>
      <c r="H69" s="67">
        <f t="shared" si="22"/>
        <v>2036</v>
      </c>
      <c r="I69" s="68">
        <f>IF($H$62=110%,INDEX('2025 IRP Assumptions'!$E$341:$E$361,MATCH(H69,'2025 IRP Assumptions'!$S$341:$S$361,0),1),INDEX('2025 IRP Assumptions'!$E$309:$E$338,MATCH(H69,'2025 IRP Assumptions'!$S$341:$S$361,0)))</f>
        <v>54.37</v>
      </c>
      <c r="J69" s="78">
        <f t="shared" si="21"/>
        <v>155.67104031538742</v>
      </c>
    </row>
    <row r="70" spans="3:10" ht="15">
      <c r="C70" s="260"/>
      <c r="D70" s="105"/>
      <c r="E70" s="241"/>
      <c r="F70" s="265"/>
      <c r="G70" s="260">
        <v>50041</v>
      </c>
      <c r="H70" s="67">
        <f t="shared" si="22"/>
        <v>2037</v>
      </c>
      <c r="I70" s="68">
        <f>IF($H$62=110%,INDEX('2025 IRP Assumptions'!$E$341:$E$361,MATCH(H70,'2025 IRP Assumptions'!$S$341:$S$361,0),1),INDEX('2025 IRP Assumptions'!$E$309:$E$338,MATCH(H70,'2025 IRP Assumptions'!$S$341:$S$361,0)))</f>
        <v>55.69</v>
      </c>
      <c r="J70" s="78">
        <f t="shared" si="21"/>
        <v>159.45043654890426</v>
      </c>
    </row>
    <row r="71" spans="3:10" ht="15">
      <c r="C71" s="260"/>
      <c r="D71" s="105"/>
      <c r="E71" s="241"/>
      <c r="F71" s="265"/>
      <c r="G71" s="260">
        <v>50406</v>
      </c>
      <c r="H71" s="67">
        <f t="shared" si="22"/>
        <v>2038</v>
      </c>
      <c r="I71" s="68">
        <f>IF($H$62=110%,INDEX('2025 IRP Assumptions'!$E$341:$E$361,MATCH(H71,'2025 IRP Assumptions'!$S$341:$S$361,0),1),INDEX('2025 IRP Assumptions'!$E$309:$E$338,MATCH(H71,'2025 IRP Assumptions'!$S$341:$S$361,0)))</f>
        <v>55.69</v>
      </c>
      <c r="J71" s="78">
        <f t="shared" si="21"/>
        <v>159.45043654890426</v>
      </c>
    </row>
    <row r="72" spans="3:10" ht="15">
      <c r="C72" s="260"/>
      <c r="D72" s="105"/>
      <c r="E72" s="241"/>
      <c r="F72" s="265"/>
      <c r="G72" s="260">
        <v>50771</v>
      </c>
      <c r="H72" s="67">
        <f t="shared" si="22"/>
        <v>2039</v>
      </c>
      <c r="I72" s="68">
        <f>IF($H$62=110%,INDEX('2025 IRP Assumptions'!$E$341:$E$361,MATCH(H72,'2025 IRP Assumptions'!$S$341:$S$361,0),1),INDEX('2025 IRP Assumptions'!$E$309:$E$338,MATCH(H72,'2025 IRP Assumptions'!$S$341:$S$361,0)))</f>
        <v>57.02</v>
      </c>
      <c r="J72" s="78">
        <f t="shared" si="21"/>
        <v>163.25846457206899</v>
      </c>
    </row>
    <row r="73" spans="3:10" ht="15">
      <c r="C73" s="260"/>
      <c r="D73" s="105"/>
      <c r="E73" s="241"/>
      <c r="F73" s="265"/>
      <c r="G73" s="260">
        <v>51136</v>
      </c>
      <c r="H73" s="67">
        <f t="shared" si="22"/>
        <v>2040</v>
      </c>
      <c r="I73" s="68">
        <f>IF($H$62=110%,INDEX('2025 IRP Assumptions'!$E$341:$E$361,MATCH(H73,'2025 IRP Assumptions'!$S$341:$S$361,0),1),INDEX('2025 IRP Assumptions'!$E$309:$E$338,MATCH(H73,'2025 IRP Assumptions'!$S$341:$S$361,0)))</f>
        <v>58.35</v>
      </c>
      <c r="J73" s="78">
        <f t="shared" si="21"/>
        <v>167.06649259523368</v>
      </c>
    </row>
    <row r="74" spans="3:10" ht="15">
      <c r="C74" s="260"/>
      <c r="D74" s="105"/>
      <c r="E74" s="241"/>
      <c r="F74" s="265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177</v>
      </c>
      <c r="J76" s="60">
        <f>INDEX('2025 IRP Assumptions'!$E$126:$E$157,MATCH(T57,'2025 IRP Assumptions'!$C$126:$C$157,0),1)</f>
        <v>25</v>
      </c>
    </row>
    <row r="77" spans="3:10" ht="15">
      <c r="C77" s="105"/>
      <c r="D77" s="105"/>
      <c r="E77" s="261"/>
      <c r="F77" s="261"/>
      <c r="G77" s="105" t="s">
        <v>310</v>
      </c>
      <c r="I77" s="261"/>
      <c r="J77" s="261">
        <f>-PMT(Real_Discount_Rate,J76,NPV(Discount_Rate,J64:J73))</f>
        <v>71.112738218630753</v>
      </c>
    </row>
    <row r="80" spans="3:10">
      <c r="C80" s="77"/>
      <c r="D80" s="79"/>
    </row>
    <row r="81" spans="3:4">
      <c r="C81" s="77"/>
      <c r="D81" s="79"/>
    </row>
    <row r="82" spans="3:4">
      <c r="C82" s="77"/>
      <c r="D82" s="79"/>
    </row>
    <row r="83" spans="3:4">
      <c r="C83" s="77"/>
      <c r="D83" s="79"/>
    </row>
    <row r="84" spans="3:4">
      <c r="C84" s="77"/>
      <c r="D84" s="79"/>
    </row>
    <row r="85" spans="3:4">
      <c r="C85" s="77"/>
      <c r="D85" s="79"/>
    </row>
    <row r="86" spans="3:4">
      <c r="C86" s="77"/>
      <c r="D86" s="79"/>
    </row>
    <row r="87" spans="3:4">
      <c r="C87" s="77"/>
      <c r="D87" s="79"/>
    </row>
    <row r="88" spans="3:4">
      <c r="C88" s="77"/>
      <c r="D88" s="79"/>
    </row>
    <row r="89" spans="3:4">
      <c r="C89" s="77"/>
      <c r="D89" s="79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1086A-67B2-493D-A5A8-007331A6CF79}">
  <sheetPr>
    <tabColor rgb="FFFFFF00"/>
    <pageSetUpPr fitToPage="1"/>
  </sheetPr>
  <dimension ref="B1:AC89"/>
  <sheetViews>
    <sheetView workbookViewId="0">
      <selection activeCell="E5" sqref="E5"/>
    </sheetView>
  </sheetViews>
  <sheetFormatPr defaultColWidth="9.33203125" defaultRowHeight="12.75"/>
  <cols>
    <col min="1" max="1" width="13.33203125" style="60" customWidth="1"/>
    <col min="2" max="2" width="15" style="60" customWidth="1"/>
    <col min="3" max="3" width="19.33203125" style="60" customWidth="1"/>
    <col min="4" max="4" width="22.83203125" style="60" customWidth="1"/>
    <col min="5" max="5" width="11.1640625" style="60" customWidth="1"/>
    <col min="6" max="6" width="13.5" style="60" customWidth="1"/>
    <col min="7" max="7" width="21.1640625" style="60" customWidth="1"/>
    <col min="8" max="8" width="9.5" style="60" bestFit="1" customWidth="1"/>
    <col min="9" max="9" width="10.5" style="60" customWidth="1"/>
    <col min="10" max="10" width="12.6640625" style="60" customWidth="1"/>
    <col min="11" max="11" width="14" style="60" customWidth="1"/>
    <col min="12" max="12" width="13.33203125" style="60" customWidth="1"/>
    <col min="13" max="13" width="3.1640625" style="60" customWidth="1"/>
    <col min="14" max="14" width="15" style="60" hidden="1" customWidth="1"/>
    <col min="15" max="15" width="5.6640625" style="60" customWidth="1"/>
    <col min="16" max="16" width="9.33203125" style="60" customWidth="1"/>
    <col min="17" max="18" width="16" style="60" customWidth="1"/>
    <col min="19" max="19" width="23.5" style="60" customWidth="1"/>
    <col min="20" max="20" width="18.1640625" style="60" customWidth="1"/>
    <col min="21" max="21" width="13.33203125" style="60" customWidth="1"/>
    <col min="22" max="22" width="18.1640625" style="60" customWidth="1"/>
    <col min="23" max="23" width="12.83203125" style="60" customWidth="1"/>
    <col min="24" max="24" width="15.33203125" style="60" customWidth="1"/>
    <col min="25" max="26" width="9.33203125" style="60"/>
    <col min="27" max="27" width="13.33203125" style="60" customWidth="1"/>
    <col min="28" max="28" width="13.6640625" style="60" customWidth="1"/>
    <col min="29" max="29" width="12" style="60" bestFit="1" customWidth="1"/>
    <col min="30" max="16384" width="9.33203125" style="60"/>
  </cols>
  <sheetData>
    <row r="1" spans="2:29" ht="15.75">
      <c r="B1" s="58" t="s">
        <v>53</v>
      </c>
      <c r="C1" s="59"/>
      <c r="D1" s="59"/>
      <c r="E1" s="59"/>
      <c r="F1" s="59"/>
      <c r="G1" s="59"/>
      <c r="H1" s="59"/>
      <c r="I1" s="59"/>
      <c r="J1" s="59"/>
      <c r="K1" s="59"/>
    </row>
    <row r="2" spans="2:29" ht="15.75">
      <c r="B2" s="58" t="str">
        <f>T57</f>
        <v>PV_.PX.NTN._.PTC.Utility_Scale</v>
      </c>
      <c r="C2" s="59"/>
      <c r="D2" s="59"/>
      <c r="E2" s="59"/>
      <c r="F2" s="59"/>
      <c r="G2" s="59"/>
      <c r="H2" s="59"/>
      <c r="I2" s="59"/>
      <c r="J2" s="59"/>
      <c r="K2" s="59"/>
    </row>
    <row r="3" spans="2:29" ht="15.75">
      <c r="B3" s="58" t="str">
        <f>TEXT($C$61,"0%")&amp;" Capacity Factor"</f>
        <v>30% Capacity Factor</v>
      </c>
      <c r="C3" s="59"/>
      <c r="D3" s="59"/>
      <c r="E3" s="59"/>
      <c r="F3" s="59"/>
      <c r="G3" s="59"/>
      <c r="H3" s="59"/>
      <c r="I3" s="59"/>
      <c r="J3" s="59"/>
      <c r="K3" s="59"/>
    </row>
    <row r="4" spans="2:29">
      <c r="B4" s="59"/>
      <c r="C4" s="59"/>
      <c r="D4" s="59"/>
      <c r="E4" s="59"/>
      <c r="F4" s="59"/>
      <c r="G4" s="59"/>
      <c r="H4" s="59"/>
      <c r="I4" s="59"/>
      <c r="Q4" s="263"/>
      <c r="R4" s="263"/>
    </row>
    <row r="5" spans="2:29" ht="51.75" customHeight="1">
      <c r="B5" s="61" t="s">
        <v>0</v>
      </c>
      <c r="C5" s="62" t="s">
        <v>10</v>
      </c>
      <c r="D5" s="62" t="s">
        <v>11</v>
      </c>
      <c r="E5" s="62" t="s">
        <v>12</v>
      </c>
      <c r="F5" s="14"/>
      <c r="G5" s="62" t="s">
        <v>58</v>
      </c>
      <c r="H5" s="14" t="s">
        <v>13</v>
      </c>
      <c r="I5" s="62" t="s">
        <v>113</v>
      </c>
      <c r="J5" s="62" t="s">
        <v>64</v>
      </c>
      <c r="K5" s="14" t="s">
        <v>49</v>
      </c>
      <c r="L5" s="62" t="s">
        <v>86</v>
      </c>
      <c r="N5" s="100"/>
      <c r="O5" s="100"/>
      <c r="Q5" s="263"/>
      <c r="R5" s="263"/>
      <c r="T5" s="142"/>
      <c r="Z5" s="100"/>
      <c r="AA5" s="100"/>
    </row>
    <row r="6" spans="2:29" ht="24" customHeight="1">
      <c r="B6" s="63"/>
      <c r="C6" s="64" t="s">
        <v>8</v>
      </c>
      <c r="D6" s="65" t="s">
        <v>9</v>
      </c>
      <c r="E6" s="65" t="s">
        <v>9</v>
      </c>
      <c r="F6" s="16"/>
      <c r="G6" s="64" t="s">
        <v>31</v>
      </c>
      <c r="H6" s="15" t="s">
        <v>31</v>
      </c>
      <c r="I6" s="15" t="s">
        <v>31</v>
      </c>
      <c r="J6" s="64" t="s">
        <v>31</v>
      </c>
      <c r="K6" s="16" t="s">
        <v>9</v>
      </c>
      <c r="L6" s="65" t="s">
        <v>9</v>
      </c>
      <c r="W6" s="78"/>
      <c r="X6" s="78"/>
    </row>
    <row r="7" spans="2:29">
      <c r="C7" s="66" t="s">
        <v>1</v>
      </c>
      <c r="D7" s="66" t="s">
        <v>2</v>
      </c>
      <c r="E7" s="66" t="s">
        <v>3</v>
      </c>
      <c r="F7" s="66"/>
      <c r="G7" s="66" t="s">
        <v>5</v>
      </c>
      <c r="H7" s="66" t="s">
        <v>7</v>
      </c>
      <c r="I7" s="66" t="s">
        <v>22</v>
      </c>
      <c r="J7" s="66" t="s">
        <v>22</v>
      </c>
      <c r="K7" s="66" t="s">
        <v>23</v>
      </c>
      <c r="L7" s="66" t="s">
        <v>24</v>
      </c>
      <c r="U7" s="78"/>
    </row>
    <row r="8" spans="2:29" ht="21.75" customHeight="1">
      <c r="X8" s="71"/>
    </row>
    <row r="9" spans="2:29">
      <c r="B9" s="67">
        <v>2024</v>
      </c>
      <c r="C9" s="157">
        <f>INDEX('2025 IRP Assumptions'!$E$2:$E$58,MATCH($T$57,'2025 IRP Assumptions'!$C$2:$C$58,0),1)</f>
        <v>1216.55</v>
      </c>
      <c r="D9" s="68"/>
      <c r="E9" s="232">
        <f>INDEX('2025 IRP Assumptions'!$E$62:$E$118,MATCH($T$57,'2025 IRP Assumptions'!$C$62:$C$118,0),1)</f>
        <v>20.52</v>
      </c>
      <c r="F9" s="68"/>
      <c r="G9" s="69"/>
      <c r="H9" s="68"/>
      <c r="I9" s="68"/>
      <c r="J9" s="69"/>
      <c r="K9" s="69"/>
      <c r="L9" s="68"/>
      <c r="T9" s="70"/>
      <c r="X9" s="158"/>
    </row>
    <row r="10" spans="2:29">
      <c r="B10" s="67">
        <f t="shared" ref="B10:B46" si="0">B9+1</f>
        <v>2025</v>
      </c>
      <c r="C10" s="70">
        <f>$C$9*INDEX('2025 IRP Assumptions'!$E$192:$E$212,MATCH(B10,'2025 IRP Assumptions'!$S$192:$S$212,0),1)</f>
        <v>1295.73496334315</v>
      </c>
      <c r="D10" s="68"/>
      <c r="E10" s="68" cm="1">
        <f t="array" ref="E10">$E$9*INDEX('2025 IRP Assumptions'!$E$373:$E$396,'PV_.PX.NTN._.PTC.2031'!$B10-2023,1)</f>
        <v>20.967336</v>
      </c>
      <c r="F10" s="68"/>
      <c r="G10" s="69"/>
      <c r="H10" s="68"/>
      <c r="I10" s="68"/>
      <c r="J10" s="69"/>
      <c r="K10" s="69"/>
      <c r="L10" s="68"/>
      <c r="Q10" s="68"/>
      <c r="R10" s="68"/>
      <c r="U10" s="156"/>
      <c r="X10" s="158"/>
    </row>
    <row r="11" spans="2:29">
      <c r="B11" s="67">
        <f t="shared" si="0"/>
        <v>2026</v>
      </c>
      <c r="C11" s="70">
        <f>$C$9*INDEX('2025 IRP Assumptions'!$E$192:$E$212,MATCH(B11,'2025 IRP Assumptions'!$S$192:$S$212,0),1)</f>
        <v>1271.0525920728498</v>
      </c>
      <c r="D11" s="68"/>
      <c r="E11" s="68" cm="1">
        <f t="array" ref="E11">$E$9*INDEX('2025 IRP Assumptions'!$E$373:$E$396,'PV_.PX.NTN._.PTC.2031'!$B11-2023,1)</f>
        <v>21.424423924799999</v>
      </c>
      <c r="F11" s="68"/>
      <c r="G11" s="69"/>
      <c r="H11" s="68"/>
      <c r="I11" s="68"/>
      <c r="J11" s="69"/>
      <c r="K11" s="69"/>
      <c r="L11" s="68"/>
      <c r="Q11" s="68"/>
      <c r="R11" s="68"/>
      <c r="X11" s="158"/>
      <c r="AC11" s="144"/>
    </row>
    <row r="12" spans="2:29">
      <c r="B12" s="67">
        <f t="shared" si="0"/>
        <v>2027</v>
      </c>
      <c r="C12" s="70">
        <f>$C$9*INDEX('2025 IRP Assumptions'!$E$192:$E$212,MATCH(B12,'2025 IRP Assumptions'!$S$192:$S$212,0),1)</f>
        <v>1244.6782832086999</v>
      </c>
      <c r="D12" s="68"/>
      <c r="E12" s="68" cm="1">
        <f t="array" ref="E12">$E$9*INDEX('2025 IRP Assumptions'!$E$373:$E$396,'PV_.PX.NTN._.PTC.2031'!$B12-2023,1)</f>
        <v>21.891476361600002</v>
      </c>
      <c r="F12" s="68"/>
      <c r="G12" s="69"/>
      <c r="H12" s="68"/>
      <c r="I12" s="68"/>
      <c r="J12" s="69"/>
      <c r="K12" s="69"/>
      <c r="L12" s="68"/>
      <c r="P12" s="78"/>
      <c r="Q12" s="68"/>
      <c r="R12" s="68"/>
      <c r="U12" s="160"/>
      <c r="X12" s="158"/>
      <c r="Y12" s="160"/>
    </row>
    <row r="13" spans="2:29">
      <c r="B13" s="67">
        <f t="shared" si="0"/>
        <v>2028</v>
      </c>
      <c r="C13" s="70">
        <f>$C$9*INDEX('2025 IRP Assumptions'!$E$192:$E$212,MATCH(B13,'2025 IRP Assumptions'!$S$192:$S$212,0),1)</f>
        <v>1216.55</v>
      </c>
      <c r="D13" s="68"/>
      <c r="E13" s="68" cm="1">
        <f t="array" ref="E13">$E$9*INDEX('2025 IRP Assumptions'!$E$373:$E$396,'PV_.PX.NTN._.PTC.2031'!$B13-2023,1)</f>
        <v>22.36871055564</v>
      </c>
      <c r="F13" s="264"/>
      <c r="G13" s="69"/>
      <c r="H13" s="68"/>
      <c r="I13" s="68"/>
      <c r="J13" s="69"/>
      <c r="K13" s="69"/>
      <c r="L13" s="68"/>
      <c r="P13" s="78"/>
      <c r="Q13" s="68"/>
      <c r="R13" s="68"/>
      <c r="U13" s="160"/>
      <c r="W13" s="78"/>
      <c r="X13" s="158"/>
      <c r="Y13" s="160"/>
    </row>
    <row r="14" spans="2:29">
      <c r="B14" s="67">
        <f t="shared" si="0"/>
        <v>2029</v>
      </c>
      <c r="C14" s="70">
        <f>$C$9*INDEX('2025 IRP Assumptions'!$E$192:$E$212,MATCH(B14,'2025 IRP Assumptions'!$S$192:$S$212,0),1)</f>
        <v>1186.60380301185</v>
      </c>
      <c r="D14" s="68"/>
      <c r="E14" s="68" cm="1">
        <f t="array" ref="E14">$E$9*INDEX('2025 IRP Assumptions'!$E$373:$E$396,'PV_.PX.NTN._.PTC.2031'!$B14-2023,1)</f>
        <v>22.856348451240002</v>
      </c>
      <c r="F14" s="264"/>
      <c r="G14" s="69"/>
      <c r="H14" s="68"/>
      <c r="I14" s="68"/>
      <c r="J14" s="69"/>
      <c r="K14" s="69"/>
      <c r="L14" s="68"/>
      <c r="P14" s="78"/>
      <c r="Q14" s="68"/>
      <c r="R14" s="68"/>
      <c r="U14" s="160"/>
      <c r="V14" s="78"/>
      <c r="W14" s="78"/>
      <c r="X14" s="158"/>
      <c r="Y14" s="160"/>
      <c r="Z14" s="78"/>
    </row>
    <row r="15" spans="2:29">
      <c r="B15" s="67">
        <f t="shared" si="0"/>
        <v>2030</v>
      </c>
      <c r="C15" s="70">
        <f>$C$9*INDEX('2025 IRP Assumptions'!$E$192:$E$212,MATCH(B15,'2025 IRP Assumptions'!$S$192:$S$212,0),1)</f>
        <v>1154.7737978135001</v>
      </c>
      <c r="D15" s="68"/>
      <c r="E15" s="68" cm="1">
        <f t="array" ref="E15">$E$9*INDEX('2025 IRP Assumptions'!$E$373:$E$396,'PV_.PX.NTN._.PTC.2031'!$B15-2023,1)</f>
        <v>23.354616835439998</v>
      </c>
      <c r="F15" s="264"/>
      <c r="G15" s="69"/>
      <c r="H15" s="68"/>
      <c r="I15" s="68"/>
      <c r="J15" s="69"/>
      <c r="K15" s="69"/>
      <c r="L15" s="68"/>
      <c r="P15" s="78"/>
      <c r="Q15" s="68"/>
      <c r="R15" s="68"/>
      <c r="U15" s="160"/>
      <c r="V15" s="78"/>
      <c r="W15" s="78"/>
      <c r="X15" s="158"/>
      <c r="Y15" s="160"/>
      <c r="Z15" s="78"/>
      <c r="AA15" s="78"/>
    </row>
    <row r="16" spans="2:29">
      <c r="B16" s="67">
        <f t="shared" si="0"/>
        <v>2031</v>
      </c>
      <c r="C16" s="70">
        <f>$C$9*INDEX('2025 IRP Assumptions'!$E$192:$E$212,MATCH(B16,'2025 IRP Assumptions'!$S$192:$S$212,0),1)</f>
        <v>1120.9920826667001</v>
      </c>
      <c r="D16" s="232">
        <f>C16*$C$60</f>
        <v>76.911266791762301</v>
      </c>
      <c r="E16" s="68" cm="1">
        <f t="array" ref="E16">$E$9*INDEX('2025 IRP Assumptions'!$E$373:$E$396,'PV_.PX.NTN._.PTC.2031'!$B16-2023,1)</f>
        <v>23.863747481640001</v>
      </c>
      <c r="F16" s="264"/>
      <c r="G16" s="69">
        <f t="shared" ref="G16:G46" si="1">(D16+E16+F16)/(8.76*$C$61)</f>
        <v>38.074542243651457</v>
      </c>
      <c r="H16" s="68"/>
      <c r="I16" s="68">
        <f>-I64</f>
        <v>-49.06</v>
      </c>
      <c r="J16" s="69">
        <f t="shared" ref="J16:J35" si="2">(G16+H16+I16)</f>
        <v>-10.985457756348545</v>
      </c>
      <c r="K16" s="69">
        <f t="shared" ref="K16:K46" si="3">ROUND(J16*$C$61*8.76,2)</f>
        <v>-29.08</v>
      </c>
      <c r="L16" s="68">
        <f t="shared" ref="L16:L35" si="4">(D16+E16+F16)</f>
        <v>100.77501427340231</v>
      </c>
      <c r="P16" s="78"/>
      <c r="Q16" s="68"/>
      <c r="R16" s="68"/>
      <c r="U16" s="160"/>
      <c r="V16" s="78"/>
      <c r="W16" s="78"/>
      <c r="X16" s="158"/>
      <c r="Y16" s="160"/>
      <c r="Z16" s="78"/>
      <c r="AA16" s="78"/>
    </row>
    <row r="17" spans="2:27">
      <c r="B17" s="67">
        <f t="shared" si="0"/>
        <v>2032</v>
      </c>
      <c r="C17" s="70"/>
      <c r="D17" s="68" cm="1">
        <f t="array" ref="D17">D16*INDEX('2025 IRP Assumptions'!$E$373:$E$396,'PV_.PX.NTN._.PTC.2031'!$B17-2023,1)/INDEX('2025 IRP Assumptions'!$E$373:$E$396,'PV_.PX.NTN._.PTC.2031'!$B17-2023-1,1)</f>
        <v>78.587932386487694</v>
      </c>
      <c r="E17" s="68" cm="1">
        <f t="array" ref="E17">$E$9*INDEX('2025 IRP Assumptions'!$E$373:$E$396,'PV_.PX.NTN._.PTC.2031'!$B17-2023,1)</f>
        <v>24.383977170120001</v>
      </c>
      <c r="F17" s="264"/>
      <c r="G17" s="69">
        <f t="shared" si="1"/>
        <v>38.904567254001257</v>
      </c>
      <c r="H17" s="68"/>
      <c r="I17" s="68">
        <f t="shared" ref="I17:I25" si="5">-I65</f>
        <v>-50.39</v>
      </c>
      <c r="J17" s="69">
        <f t="shared" si="2"/>
        <v>-11.485432745998743</v>
      </c>
      <c r="K17" s="69">
        <f t="shared" si="3"/>
        <v>-30.4</v>
      </c>
      <c r="L17" s="68">
        <f t="shared" si="4"/>
        <v>102.9719095566077</v>
      </c>
      <c r="P17" s="78"/>
      <c r="Q17" s="68"/>
      <c r="R17" s="68"/>
      <c r="T17" s="78"/>
      <c r="V17" s="78"/>
      <c r="W17" s="78"/>
      <c r="Y17" s="78"/>
      <c r="Z17" s="78"/>
      <c r="AA17" s="78"/>
    </row>
    <row r="18" spans="2:27">
      <c r="B18" s="67">
        <f t="shared" si="0"/>
        <v>2033</v>
      </c>
      <c r="C18" s="70"/>
      <c r="D18" s="68" cm="1">
        <f t="array" ref="D18">D17*INDEX('2025 IRP Assumptions'!$E$373:$E$396,'PV_.PX.NTN._.PTC.2031'!$B18-2023,1)/INDEX('2025 IRP Assumptions'!$E$373:$E$396,'PV_.PX.NTN._.PTC.2031'!$B18-2023-1,1)</f>
        <v>80.301149313452228</v>
      </c>
      <c r="E18" s="68" cm="1">
        <f t="array" ref="E18">$E$9*INDEX('2025 IRP Assumptions'!$E$373:$E$396,'PV_.PX.NTN._.PTC.2031'!$B18-2023,1)</f>
        <v>24.915547872719998</v>
      </c>
      <c r="F18" s="264"/>
      <c r="G18" s="69">
        <f t="shared" si="1"/>
        <v>39.752686820603387</v>
      </c>
      <c r="H18" s="68"/>
      <c r="I18" s="68">
        <f t="shared" si="5"/>
        <v>-50.39</v>
      </c>
      <c r="J18" s="69">
        <f t="shared" si="2"/>
        <v>-10.637313179396614</v>
      </c>
      <c r="K18" s="69">
        <f t="shared" si="3"/>
        <v>-28.15</v>
      </c>
      <c r="L18" s="68">
        <f t="shared" si="4"/>
        <v>105.21669718617223</v>
      </c>
      <c r="P18" s="78"/>
      <c r="Q18" s="68"/>
      <c r="R18" s="68"/>
      <c r="T18" s="78"/>
      <c r="V18" s="78"/>
      <c r="W18" s="78"/>
      <c r="Y18" s="78"/>
      <c r="Z18" s="78"/>
      <c r="AA18" s="78"/>
    </row>
    <row r="19" spans="2:27">
      <c r="B19" s="67">
        <f t="shared" si="0"/>
        <v>2034</v>
      </c>
      <c r="C19" s="70"/>
      <c r="D19" s="68" cm="1">
        <f t="array" ref="D19">D18*INDEX('2025 IRP Assumptions'!$E$373:$E$396,'PV_.PX.NTN._.PTC.2031'!$B19-2023,1)/INDEX('2025 IRP Assumptions'!$E$373:$E$396,'PV_.PX.NTN._.PTC.2031'!$B19-2023-1,1)</f>
        <v>82.051714428350522</v>
      </c>
      <c r="E19" s="68" cm="1">
        <f t="array" ref="E19">$E$9*INDEX('2025 IRP Assumptions'!$E$373:$E$396,'PV_.PX.NTN._.PTC.2031'!$B19-2023,1)</f>
        <v>25.458706834919997</v>
      </c>
      <c r="F19" s="264"/>
      <c r="G19" s="69">
        <f t="shared" si="1"/>
        <v>40.619295422928424</v>
      </c>
      <c r="H19" s="68"/>
      <c r="I19" s="68">
        <f t="shared" si="5"/>
        <v>-51.71</v>
      </c>
      <c r="J19" s="69">
        <f t="shared" si="2"/>
        <v>-11.090704577071577</v>
      </c>
      <c r="K19" s="69">
        <f t="shared" si="3"/>
        <v>-29.35</v>
      </c>
      <c r="L19" s="68">
        <f t="shared" si="4"/>
        <v>107.51042126327052</v>
      </c>
      <c r="P19" s="78"/>
      <c r="Q19" s="68"/>
      <c r="R19" s="68"/>
      <c r="T19" s="78"/>
      <c r="V19" s="78"/>
      <c r="W19" s="78"/>
      <c r="Y19" s="78"/>
      <c r="Z19" s="78"/>
      <c r="AA19" s="78"/>
    </row>
    <row r="20" spans="2:27">
      <c r="B20" s="67">
        <f t="shared" si="0"/>
        <v>2035</v>
      </c>
      <c r="C20" s="70"/>
      <c r="D20" s="68" cm="1">
        <f t="array" ref="D20">D19*INDEX('2025 IRP Assumptions'!$E$373:$E$396,'PV_.PX.NTN._.PTC.2031'!$B20-2023,1)/INDEX('2025 IRP Assumptions'!$E$373:$E$396,'PV_.PX.NTN._.PTC.2031'!$B20-2023-1,1)</f>
        <v>83.840441781870993</v>
      </c>
      <c r="E20" s="68" cm="1">
        <f t="array" ref="E20">$E$9*INDEX('2025 IRP Assumptions'!$E$373:$E$396,'PV_.PX.NTN._.PTC.2031'!$B20-2023,1)</f>
        <v>26.013706637399999</v>
      </c>
      <c r="F20" s="264"/>
      <c r="G20" s="69">
        <f t="shared" si="1"/>
        <v>41.504796052743622</v>
      </c>
      <c r="H20" s="68"/>
      <c r="I20" s="68">
        <f t="shared" si="5"/>
        <v>-53.04</v>
      </c>
      <c r="J20" s="69">
        <f t="shared" si="2"/>
        <v>-11.535203947256377</v>
      </c>
      <c r="K20" s="69">
        <f t="shared" si="3"/>
        <v>-30.53</v>
      </c>
      <c r="L20" s="68">
        <f t="shared" si="4"/>
        <v>109.85414841927098</v>
      </c>
      <c r="P20" s="78"/>
      <c r="Q20" s="68"/>
      <c r="R20" s="68"/>
      <c r="T20" s="78"/>
      <c r="V20" s="78"/>
      <c r="W20" s="78"/>
      <c r="Y20" s="78"/>
      <c r="Z20" s="78"/>
      <c r="AA20" s="78"/>
    </row>
    <row r="21" spans="2:27">
      <c r="B21" s="67">
        <f t="shared" si="0"/>
        <v>2036</v>
      </c>
      <c r="C21" s="70"/>
      <c r="D21" s="68" cm="1">
        <f t="array" ref="D21">D20*INDEX('2025 IRP Assumptions'!$E$373:$E$396,'PV_.PX.NTN._.PTC.2031'!$B21-2023,1)/INDEX('2025 IRP Assumptions'!$E$373:$E$396,'PV_.PX.NTN._.PTC.2031'!$B21-2023-1,1)</f>
        <v>85.668163413310992</v>
      </c>
      <c r="E21" s="68" cm="1">
        <f t="array" ref="E21">$E$9*INDEX('2025 IRP Assumptions'!$E$373:$E$396,'PV_.PX.NTN._.PTC.2031'!$B21-2023,1)</f>
        <v>26.580805442279999</v>
      </c>
      <c r="F21" s="264"/>
      <c r="G21" s="69">
        <f t="shared" si="1"/>
        <v>42.409600606988086</v>
      </c>
      <c r="H21" s="68"/>
      <c r="I21" s="68">
        <f t="shared" si="5"/>
        <v>-54.37</v>
      </c>
      <c r="J21" s="69">
        <f t="shared" si="2"/>
        <v>-11.960399393011912</v>
      </c>
      <c r="K21" s="69">
        <f t="shared" si="3"/>
        <v>-31.66</v>
      </c>
      <c r="L21" s="68">
        <f t="shared" si="4"/>
        <v>112.24896885559099</v>
      </c>
      <c r="P21" s="78"/>
      <c r="Q21" s="68"/>
      <c r="R21" s="68"/>
      <c r="T21" s="78"/>
      <c r="V21" s="78"/>
      <c r="W21" s="78"/>
      <c r="Y21" s="78"/>
      <c r="Z21" s="78"/>
      <c r="AA21" s="78"/>
    </row>
    <row r="22" spans="2:27">
      <c r="B22" s="67">
        <f t="shared" si="0"/>
        <v>2037</v>
      </c>
      <c r="C22" s="70"/>
      <c r="D22" s="68" cm="1">
        <f t="array" ref="D22">D21*INDEX('2025 IRP Assumptions'!$E$373:$E$396,'PV_.PX.NTN._.PTC.2031'!$B22-2023,1)/INDEX('2025 IRP Assumptions'!$E$373:$E$396,'PV_.PX.NTN._.PTC.2031'!$B22-2023-1,1)</f>
        <v>87.535729350576801</v>
      </c>
      <c r="E22" s="68" cm="1">
        <f t="array" ref="E22">$E$9*INDEX('2025 IRP Assumptions'!$E$373:$E$396,'PV_.PX.NTN._.PTC.2031'!$B22-2023,1)</f>
        <v>27.160266993119997</v>
      </c>
      <c r="F22" s="264"/>
      <c r="G22" s="69">
        <f t="shared" si="1"/>
        <v>43.334129887772832</v>
      </c>
      <c r="H22" s="68"/>
      <c r="I22" s="68">
        <f t="shared" si="5"/>
        <v>-55.69</v>
      </c>
      <c r="J22" s="69">
        <f t="shared" si="2"/>
        <v>-12.355870112227166</v>
      </c>
      <c r="K22" s="69">
        <f t="shared" si="3"/>
        <v>-32.700000000000003</v>
      </c>
      <c r="L22" s="68">
        <f t="shared" si="4"/>
        <v>114.69599634369681</v>
      </c>
      <c r="P22" s="78"/>
      <c r="Q22" s="68"/>
      <c r="R22" s="68"/>
      <c r="T22" s="78"/>
      <c r="V22" s="78"/>
      <c r="W22" s="78"/>
      <c r="Y22" s="78"/>
      <c r="Z22" s="78"/>
      <c r="AA22" s="78"/>
    </row>
    <row r="23" spans="2:27">
      <c r="B23" s="67">
        <f t="shared" si="0"/>
        <v>2038</v>
      </c>
      <c r="C23" s="70"/>
      <c r="D23" s="68" cm="1">
        <f t="array" ref="D23">D22*INDEX('2025 IRP Assumptions'!$E$373:$E$396,'PV_.PX.NTN._.PTC.2031'!$B23-2023,1)/INDEX('2025 IRP Assumptions'!$E$373:$E$396,'PV_.PX.NTN._.PTC.2031'!$B23-2023-1,1)</f>
        <v>89.44400827152954</v>
      </c>
      <c r="E23" s="68" cm="1">
        <f t="array" ref="E23">$E$9*INDEX('2025 IRP Assumptions'!$E$373:$E$396,'PV_.PX.NTN._.PTC.2031'!$B23-2023,1)</f>
        <v>27.75236082012</v>
      </c>
      <c r="F23" s="264"/>
      <c r="G23" s="69">
        <f t="shared" si="1"/>
        <v>44.278813929776767</v>
      </c>
      <c r="H23" s="68"/>
      <c r="I23" s="68">
        <f t="shared" si="5"/>
        <v>-55.69</v>
      </c>
      <c r="J23" s="69">
        <f t="shared" si="2"/>
        <v>-11.411186070223231</v>
      </c>
      <c r="K23" s="69">
        <f t="shared" si="3"/>
        <v>-30.2</v>
      </c>
      <c r="L23" s="68">
        <f t="shared" si="4"/>
        <v>117.19636909164954</v>
      </c>
      <c r="P23" s="78"/>
      <c r="Q23" s="68"/>
      <c r="R23" s="68"/>
      <c r="T23" s="78"/>
      <c r="V23" s="78"/>
      <c r="W23" s="78"/>
      <c r="Y23" s="78"/>
      <c r="Z23" s="78"/>
      <c r="AA23" s="78"/>
    </row>
    <row r="24" spans="2:27">
      <c r="B24" s="67">
        <f t="shared" si="0"/>
        <v>2039</v>
      </c>
      <c r="C24" s="70"/>
      <c r="D24" s="68" cm="1">
        <f t="array" ref="D24">D23*INDEX('2025 IRP Assumptions'!$E$373:$E$396,'PV_.PX.NTN._.PTC.2031'!$B24-2023,1)/INDEX('2025 IRP Assumptions'!$E$373:$E$396,'PV_.PX.NTN._.PTC.2031'!$B24-2023-1,1)</f>
        <v>91.393887636254348</v>
      </c>
      <c r="E24" s="68" cm="1">
        <f t="array" ref="E24">$E$9*INDEX('2025 IRP Assumptions'!$E$373:$E$396,'PV_.PX.NTN._.PTC.2031'!$B24-2023,1)</f>
        <v>28.35736228116</v>
      </c>
      <c r="F24" s="264"/>
      <c r="G24" s="69">
        <f t="shared" si="1"/>
        <v>45.244092065725901</v>
      </c>
      <c r="H24" s="68"/>
      <c r="I24" s="68">
        <f t="shared" si="5"/>
        <v>-57.02</v>
      </c>
      <c r="J24" s="69">
        <f t="shared" si="2"/>
        <v>-11.775907934274102</v>
      </c>
      <c r="K24" s="69">
        <f t="shared" si="3"/>
        <v>-31.17</v>
      </c>
      <c r="L24" s="68">
        <f t="shared" si="4"/>
        <v>119.75124991741436</v>
      </c>
      <c r="P24" s="78"/>
      <c r="Q24" s="68"/>
      <c r="R24" s="68"/>
      <c r="T24" s="78"/>
      <c r="V24" s="78"/>
      <c r="W24" s="78"/>
      <c r="Y24" s="78"/>
      <c r="Z24" s="78"/>
      <c r="AA24" s="78"/>
    </row>
    <row r="25" spans="2:27">
      <c r="B25" s="67">
        <f t="shared" si="0"/>
        <v>2040</v>
      </c>
      <c r="C25" s="70"/>
      <c r="D25" s="68" cm="1">
        <f t="array" ref="D25">D24*INDEX('2025 IRP Assumptions'!$E$373:$E$396,'PV_.PX.NTN._.PTC.2031'!$B25-2023,1)/INDEX('2025 IRP Assumptions'!$E$373:$E$396,'PV_.PX.NTN._.PTC.2031'!$B25-2023-1,1)</f>
        <v>93.386274414540893</v>
      </c>
      <c r="E25" s="68" cm="1">
        <f t="array" ref="E25">$E$9*INDEX('2025 IRP Assumptions'!$E$373:$E$396,'PV_.PX.NTN._.PTC.2031'!$B25-2023,1)</f>
        <v>28.975552787519998</v>
      </c>
      <c r="F25" s="264"/>
      <c r="G25" s="69">
        <f t="shared" si="1"/>
        <v>46.230413286529</v>
      </c>
      <c r="H25" s="68"/>
      <c r="I25" s="68">
        <f t="shared" si="5"/>
        <v>-58.35</v>
      </c>
      <c r="J25" s="69">
        <f t="shared" si="2"/>
        <v>-12.119586713471001</v>
      </c>
      <c r="K25" s="69">
        <f t="shared" si="3"/>
        <v>-32.08</v>
      </c>
      <c r="L25" s="68">
        <f t="shared" si="4"/>
        <v>122.36182720206089</v>
      </c>
      <c r="P25" s="78"/>
      <c r="Q25" s="68"/>
      <c r="R25" s="68"/>
      <c r="T25" s="78"/>
      <c r="V25" s="78"/>
      <c r="W25" s="78"/>
      <c r="Y25" s="78"/>
      <c r="Z25" s="78"/>
      <c r="AA25" s="78"/>
    </row>
    <row r="26" spans="2:27">
      <c r="B26" s="67">
        <f t="shared" si="0"/>
        <v>2041</v>
      </c>
      <c r="C26" s="70"/>
      <c r="D26" s="68" cm="1">
        <f t="array" ref="D26">D25*INDEX('2025 IRP Assumptions'!$E$373:$E$396,'PV_.PX.NTN._.PTC.2031'!$B26-2023,1)/INDEX('2025 IRP Assumptions'!$E$373:$E$396,'PV_.PX.NTN._.PTC.2031'!$B26-2023-1,1)</f>
        <v>95.422095152017988</v>
      </c>
      <c r="E26" s="68" cm="1">
        <f t="array" ref="E26">$E$9*INDEX('2025 IRP Assumptions'!$E$373:$E$396,'PV_.PX.NTN._.PTC.2031'!$B26-2023,1)</f>
        <v>29.607219824399998</v>
      </c>
      <c r="F26" s="264"/>
      <c r="G26" s="69">
        <f t="shared" si="1"/>
        <v>47.238236274017169</v>
      </c>
      <c r="H26" s="68"/>
      <c r="I26" s="68"/>
      <c r="J26" s="69">
        <f t="shared" si="2"/>
        <v>47.238236274017169</v>
      </c>
      <c r="K26" s="69">
        <f t="shared" si="3"/>
        <v>125.03</v>
      </c>
      <c r="L26" s="68">
        <f t="shared" si="4"/>
        <v>125.02931497641799</v>
      </c>
      <c r="P26" s="78"/>
      <c r="Q26" s="68"/>
      <c r="R26" s="68"/>
    </row>
    <row r="27" spans="2:27">
      <c r="B27" s="67">
        <f t="shared" si="0"/>
        <v>2042</v>
      </c>
      <c r="C27" s="70"/>
      <c r="D27" s="68" cm="1">
        <f t="array" ref="D27">D26*INDEX('2025 IRP Assumptions'!$E$373:$E$396,'PV_.PX.NTN._.PTC.2031'!$B27-2023,1)/INDEX('2025 IRP Assumptions'!$E$373:$E$396,'PV_.PX.NTN._.PTC.2031'!$B27-2023-1,1)</f>
        <v>97.502296829903244</v>
      </c>
      <c r="E27" s="68" cm="1">
        <f t="array" ref="E27">$E$9*INDEX('2025 IRP Assumptions'!$E$373:$E$396,'PV_.PX.NTN._.PTC.2031'!$B27-2023,1)</f>
        <v>30.252657217679999</v>
      </c>
      <c r="F27" s="264"/>
      <c r="G27" s="69">
        <f t="shared" si="1"/>
        <v>48.268029826558674</v>
      </c>
      <c r="H27" s="68"/>
      <c r="I27" s="68"/>
      <c r="J27" s="69">
        <f t="shared" si="2"/>
        <v>48.268029826558674</v>
      </c>
      <c r="K27" s="69">
        <f t="shared" si="3"/>
        <v>127.75</v>
      </c>
      <c r="L27" s="68">
        <f t="shared" si="4"/>
        <v>127.75495404758324</v>
      </c>
      <c r="P27" s="78"/>
      <c r="Q27" s="68"/>
      <c r="R27" s="68"/>
    </row>
    <row r="28" spans="2:27">
      <c r="B28" s="67">
        <f t="shared" si="0"/>
        <v>2043</v>
      </c>
      <c r="C28" s="70"/>
      <c r="D28" s="68" cm="1">
        <f t="array" ref="D28">D27*INDEX('2025 IRP Assumptions'!$E$373:$E$396,'PV_.PX.NTN._.PTC.2031'!$B28-2023,1)/INDEX('2025 IRP Assumptions'!$E$373:$E$396,'PV_.PX.NTN._.PTC.2031'!$B28-2023-1,1)</f>
        <v>99.627846931137697</v>
      </c>
      <c r="E28" s="68" cm="1">
        <f t="array" ref="E28">$E$9*INDEX('2025 IRP Assumptions'!$E$373:$E$396,'PV_.PX.NTN._.PTC.2031'!$B28-2023,1)</f>
        <v>30.91216515444</v>
      </c>
      <c r="F28" s="264"/>
      <c r="G28" s="69">
        <f t="shared" si="1"/>
        <v>49.320272891798588</v>
      </c>
      <c r="H28" s="68"/>
      <c r="I28" s="68"/>
      <c r="J28" s="69">
        <f t="shared" si="2"/>
        <v>49.320272891798588</v>
      </c>
      <c r="K28" s="69">
        <f t="shared" si="3"/>
        <v>130.54</v>
      </c>
      <c r="L28" s="68">
        <f t="shared" si="4"/>
        <v>130.5400120855777</v>
      </c>
      <c r="P28" s="78"/>
      <c r="Q28" s="68"/>
      <c r="R28" s="68"/>
    </row>
    <row r="29" spans="2:27">
      <c r="B29" s="67">
        <f t="shared" si="0"/>
        <v>2044</v>
      </c>
      <c r="C29" s="70"/>
      <c r="D29" s="68" cm="1">
        <f t="array" ref="D29">D28*INDEX('2025 IRP Assumptions'!$E$373:$E$396,'PV_.PX.NTN._.PTC.2031'!$B29-2023,1)/INDEX('2025 IRP Assumptions'!$E$373:$E$396,'PV_.PX.NTN._.PTC.2031'!$B29-2023-1,1)</f>
        <v>101.79973396946248</v>
      </c>
      <c r="E29" s="68" cm="1">
        <f t="array" ref="E29">$E$9*INDEX('2025 IRP Assumptions'!$E$373:$E$396,'PV_.PX.NTN._.PTC.2031'!$B29-2023,1)</f>
        <v>31.58605034712</v>
      </c>
      <c r="F29" s="264"/>
      <c r="G29" s="69">
        <f t="shared" si="1"/>
        <v>50.395454828575545</v>
      </c>
      <c r="H29" s="68"/>
      <c r="I29" s="68"/>
      <c r="J29" s="69">
        <f t="shared" si="2"/>
        <v>50.395454828575545</v>
      </c>
      <c r="K29" s="69">
        <f t="shared" si="3"/>
        <v>133.38999999999999</v>
      </c>
      <c r="L29" s="68">
        <f t="shared" si="4"/>
        <v>133.38578431658249</v>
      </c>
      <c r="P29" s="78"/>
      <c r="Q29" s="68"/>
      <c r="R29" s="68"/>
    </row>
    <row r="30" spans="2:27">
      <c r="B30" s="67">
        <f t="shared" si="0"/>
        <v>2045</v>
      </c>
      <c r="C30" s="70"/>
      <c r="D30" s="68" cm="1">
        <f t="array" ref="D30">D29*INDEX('2025 IRP Assumptions'!$E$373:$E$396,'PV_.PX.NTN._.PTC.2031'!$B30-2023,1)/INDEX('2025 IRP Assumptions'!$E$373:$E$396,'PV_.PX.NTN._.PTC.2031'!$B30-2023-1,1)</f>
        <v>104.01896821689942</v>
      </c>
      <c r="E30" s="68" cm="1">
        <f t="array" ref="E30">$E$9*INDEX('2025 IRP Assumptions'!$E$373:$E$396,'PV_.PX.NTN._.PTC.2031'!$B30-2023,1)</f>
        <v>32.274626259240002</v>
      </c>
      <c r="F30" s="264"/>
      <c r="G30" s="69">
        <f t="shared" si="1"/>
        <v>51.494075767057417</v>
      </c>
      <c r="H30" s="68"/>
      <c r="I30" s="68"/>
      <c r="J30" s="69">
        <f t="shared" si="2"/>
        <v>51.494075767057417</v>
      </c>
      <c r="K30" s="69">
        <f t="shared" si="3"/>
        <v>136.29</v>
      </c>
      <c r="L30" s="68">
        <f t="shared" si="4"/>
        <v>136.29359447613942</v>
      </c>
      <c r="P30" s="78"/>
      <c r="Q30" s="68"/>
      <c r="R30" s="68"/>
    </row>
    <row r="31" spans="2:27">
      <c r="B31" s="67">
        <f t="shared" si="0"/>
        <v>2046</v>
      </c>
      <c r="C31" s="70"/>
      <c r="D31" s="68" cm="1">
        <f t="array" ref="D31">D30*INDEX('2025 IRP Assumptions'!$E$373:$E$396,'PV_.PX.NTN._.PTC.2031'!$B31-2023,1)/INDEX('2025 IRP Assumptions'!$E$373:$E$396,'PV_.PX.NTN._.PTC.2031'!$B31-2023-1,1)</f>
        <v>106.28658170375095</v>
      </c>
      <c r="E31" s="68" cm="1">
        <f t="array" ref="E31">$E$9*INDEX('2025 IRP Assumptions'!$E$373:$E$396,'PV_.PX.NTN._.PTC.2031'!$B31-2023,1)</f>
        <v>32.978213105400002</v>
      </c>
      <c r="F31" s="264"/>
      <c r="G31" s="69">
        <f t="shared" si="1"/>
        <v>52.616646608741299</v>
      </c>
      <c r="H31" s="68"/>
      <c r="I31" s="68"/>
      <c r="J31" s="69">
        <f t="shared" si="2"/>
        <v>52.616646608741299</v>
      </c>
      <c r="K31" s="69">
        <f t="shared" si="3"/>
        <v>139.26</v>
      </c>
      <c r="L31" s="68">
        <f t="shared" si="4"/>
        <v>139.26479480915094</v>
      </c>
      <c r="P31" s="78"/>
      <c r="Q31" s="68"/>
      <c r="R31" s="68"/>
    </row>
    <row r="32" spans="2:27">
      <c r="B32" s="67">
        <f t="shared" si="0"/>
        <v>2047</v>
      </c>
      <c r="C32" s="70"/>
      <c r="D32" s="68" cm="1">
        <f t="array" ref="D32">D31*INDEX('2025 IRP Assumptions'!$E$373:$E$396,'PV_.PX.NTN._.PTC.2031'!$B32-2023,1)/INDEX('2025 IRP Assumptions'!$E$373:$E$396,'PV_.PX.NTN._.PTC.2031'!$B32-2023-1,1)</f>
        <v>108.6036291444845</v>
      </c>
      <c r="E32" s="68" cm="1">
        <f t="array" ref="E32">$E$9*INDEX('2025 IRP Assumptions'!$E$373:$E$396,'PV_.PX.NTN._.PTC.2031'!$B32-2023,1)</f>
        <v>33.69713813856</v>
      </c>
      <c r="F32" s="264"/>
      <c r="G32" s="69">
        <f t="shared" si="1"/>
        <v>53.763689484807976</v>
      </c>
      <c r="H32" s="68"/>
      <c r="I32" s="68"/>
      <c r="J32" s="69">
        <f t="shared" si="2"/>
        <v>53.763689484807976</v>
      </c>
      <c r="K32" s="69">
        <f t="shared" si="3"/>
        <v>142.30000000000001</v>
      </c>
      <c r="L32" s="68">
        <f t="shared" si="4"/>
        <v>142.30076728304451</v>
      </c>
      <c r="P32" s="78"/>
      <c r="Q32" s="68"/>
      <c r="R32" s="68"/>
    </row>
    <row r="33" spans="2:18" ht="15">
      <c r="B33" s="67">
        <f t="shared" si="0"/>
        <v>2048</v>
      </c>
      <c r="C33" s="70"/>
      <c r="D33" s="259">
        <f t="shared" ref="D33:E35" si="6">D32*D32/D31</f>
        <v>110.97118821854514</v>
      </c>
      <c r="E33" s="259">
        <f t="shared" si="6"/>
        <v>34.431735737169561</v>
      </c>
      <c r="F33" s="264"/>
      <c r="G33" s="69">
        <f t="shared" si="1"/>
        <v>54.935737895136803</v>
      </c>
      <c r="H33" s="68"/>
      <c r="I33" s="349"/>
      <c r="J33" s="69">
        <f t="shared" si="2"/>
        <v>54.935737895136803</v>
      </c>
      <c r="K33" s="69">
        <f t="shared" si="3"/>
        <v>145.4</v>
      </c>
      <c r="L33" s="68">
        <f t="shared" si="4"/>
        <v>145.4029239557147</v>
      </c>
      <c r="P33" s="78"/>
      <c r="Q33" s="68"/>
      <c r="R33" s="68"/>
    </row>
    <row r="34" spans="2:18" ht="15">
      <c r="B34" s="67">
        <f t="shared" si="0"/>
        <v>2049</v>
      </c>
      <c r="C34" s="70"/>
      <c r="D34" s="259">
        <f t="shared" si="6"/>
        <v>113.39036007952019</v>
      </c>
      <c r="E34" s="259">
        <f t="shared" si="6"/>
        <v>35.182347563149534</v>
      </c>
      <c r="F34" s="264"/>
      <c r="G34" s="69">
        <f t="shared" si="1"/>
        <v>56.13333696036522</v>
      </c>
      <c r="H34" s="68"/>
      <c r="I34" s="349"/>
      <c r="J34" s="69">
        <f t="shared" si="2"/>
        <v>56.13333696036522</v>
      </c>
      <c r="K34" s="69">
        <f t="shared" si="3"/>
        <v>148.57</v>
      </c>
      <c r="L34" s="68">
        <f t="shared" si="4"/>
        <v>148.57270764266974</v>
      </c>
      <c r="P34" s="78"/>
      <c r="Q34" s="68"/>
      <c r="R34" s="68"/>
    </row>
    <row r="35" spans="2:18" ht="15">
      <c r="B35" s="67">
        <f t="shared" si="0"/>
        <v>2050</v>
      </c>
      <c r="C35" s="70"/>
      <c r="D35" s="259">
        <f t="shared" si="6"/>
        <v>115.86226988614479</v>
      </c>
      <c r="E35" s="259">
        <f t="shared" si="6"/>
        <v>35.9493227266505</v>
      </c>
      <c r="F35" s="264"/>
      <c r="G35" s="69">
        <f t="shared" si="1"/>
        <v>57.357043684760306</v>
      </c>
      <c r="H35" s="68"/>
      <c r="I35" s="349"/>
      <c r="J35" s="69">
        <f t="shared" si="2"/>
        <v>57.357043684760306</v>
      </c>
      <c r="K35" s="69">
        <f t="shared" si="3"/>
        <v>151.81</v>
      </c>
      <c r="L35" s="68">
        <f t="shared" si="4"/>
        <v>151.81159261279529</v>
      </c>
      <c r="P35" s="78"/>
      <c r="Q35" s="68"/>
      <c r="R35" s="68"/>
    </row>
    <row r="36" spans="2:18" ht="15">
      <c r="B36" s="67">
        <f t="shared" si="0"/>
        <v>2051</v>
      </c>
      <c r="C36" s="70"/>
      <c r="D36" s="259">
        <f t="shared" ref="D36:E36" si="7">D35*D35/D34</f>
        <v>118.38806732561402</v>
      </c>
      <c r="E36" s="259">
        <f t="shared" si="7"/>
        <v>36.733017948424198</v>
      </c>
      <c r="F36" s="264"/>
      <c r="G36" s="69">
        <f t="shared" si="1"/>
        <v>58.60742721528198</v>
      </c>
      <c r="H36" s="68"/>
      <c r="I36" s="349"/>
      <c r="J36" s="69">
        <f t="shared" ref="J36:J45" si="8">(G36+H36+I36)</f>
        <v>58.60742721528198</v>
      </c>
      <c r="K36" s="69">
        <f t="shared" si="3"/>
        <v>155.12</v>
      </c>
      <c r="L36" s="68">
        <f t="shared" ref="L36:L45" si="9">(D36+E36+F36)</f>
        <v>155.12108527403822</v>
      </c>
      <c r="P36" s="78"/>
      <c r="Q36" s="68"/>
      <c r="R36" s="68"/>
    </row>
    <row r="37" spans="2:18" ht="15">
      <c r="B37" s="67">
        <f t="shared" si="0"/>
        <v>2052</v>
      </c>
      <c r="C37" s="70"/>
      <c r="D37" s="259">
        <f t="shared" ref="D37:E37" si="10">D36*D36/D35</f>
        <v>120.96892714830341</v>
      </c>
      <c r="E37" s="259">
        <f t="shared" si="10"/>
        <v>37.533797725734615</v>
      </c>
      <c r="F37" s="264"/>
      <c r="G37" s="69">
        <f t="shared" si="1"/>
        <v>59.885069106293642</v>
      </c>
      <c r="H37" s="68"/>
      <c r="I37" s="349"/>
      <c r="J37" s="69">
        <f t="shared" si="8"/>
        <v>59.885069106293642</v>
      </c>
      <c r="K37" s="69">
        <f t="shared" si="3"/>
        <v>158.5</v>
      </c>
      <c r="L37" s="68">
        <f t="shared" si="9"/>
        <v>158.50272487403802</v>
      </c>
      <c r="P37" s="78"/>
      <c r="Q37" s="68"/>
      <c r="R37" s="68"/>
    </row>
    <row r="38" spans="2:18" ht="15">
      <c r="B38" s="67">
        <f t="shared" si="0"/>
        <v>2053</v>
      </c>
      <c r="C38" s="70"/>
      <c r="D38" s="259">
        <f t="shared" ref="D38:E38" si="11">D37*D37/D36</f>
        <v>123.60604971414624</v>
      </c>
      <c r="E38" s="259">
        <f t="shared" si="11"/>
        <v>38.35203450188596</v>
      </c>
      <c r="F38" s="264"/>
      <c r="G38" s="69">
        <f t="shared" si="1"/>
        <v>61.190563590043631</v>
      </c>
      <c r="H38" s="68"/>
      <c r="I38" s="349"/>
      <c r="J38" s="69">
        <f t="shared" si="8"/>
        <v>61.190563590043631</v>
      </c>
      <c r="K38" s="69">
        <f t="shared" si="3"/>
        <v>161.96</v>
      </c>
      <c r="L38" s="68">
        <f t="shared" si="9"/>
        <v>161.9580842160322</v>
      </c>
      <c r="P38" s="78"/>
      <c r="Q38" s="68"/>
      <c r="R38" s="68"/>
    </row>
    <row r="39" spans="2:18" ht="15">
      <c r="B39" s="67">
        <f t="shared" si="0"/>
        <v>2054</v>
      </c>
      <c r="C39" s="70"/>
      <c r="D39" s="259">
        <f t="shared" ref="D39:E39" si="12">D38*D38/D37</f>
        <v>126.30066155092186</v>
      </c>
      <c r="E39" s="259">
        <f t="shared" si="12"/>
        <v>39.188108839446329</v>
      </c>
      <c r="F39" s="264"/>
      <c r="G39" s="69">
        <f t="shared" si="1"/>
        <v>62.524517853043044</v>
      </c>
      <c r="H39" s="68"/>
      <c r="I39" s="349"/>
      <c r="J39" s="69">
        <f t="shared" si="8"/>
        <v>62.524517853043044</v>
      </c>
      <c r="K39" s="69">
        <f t="shared" si="3"/>
        <v>165.49</v>
      </c>
      <c r="L39" s="68">
        <f t="shared" si="9"/>
        <v>165.48877039036819</v>
      </c>
      <c r="P39" s="78"/>
      <c r="Q39" s="68"/>
      <c r="R39" s="68"/>
    </row>
    <row r="40" spans="2:18" ht="15">
      <c r="B40" s="67">
        <f t="shared" si="0"/>
        <v>2055</v>
      </c>
      <c r="C40" s="70"/>
      <c r="D40" s="259">
        <f t="shared" ref="D40:E40" si="13">D39*D39/D38</f>
        <v>129.05401592471475</v>
      </c>
      <c r="E40" s="259">
        <f t="shared" si="13"/>
        <v>40.042409597247648</v>
      </c>
      <c r="F40" s="264"/>
      <c r="G40" s="69">
        <f t="shared" si="1"/>
        <v>63.8875523184687</v>
      </c>
      <c r="H40" s="68"/>
      <c r="I40" s="349"/>
      <c r="J40" s="69">
        <f t="shared" si="8"/>
        <v>63.8875523184687</v>
      </c>
      <c r="K40" s="69">
        <f t="shared" si="3"/>
        <v>169.1</v>
      </c>
      <c r="L40" s="68">
        <f t="shared" si="9"/>
        <v>169.0964255219624</v>
      </c>
      <c r="P40" s="78"/>
      <c r="Q40" s="68"/>
      <c r="R40" s="68"/>
    </row>
    <row r="41" spans="2:18" ht="15">
      <c r="B41" s="67">
        <f t="shared" si="0"/>
        <v>2056</v>
      </c>
      <c r="C41" s="70"/>
      <c r="D41" s="259">
        <f t="shared" ref="D41:E41" si="14">D40*D40/D39</f>
        <v>131.86739342280956</v>
      </c>
      <c r="E41" s="259">
        <f t="shared" si="14"/>
        <v>40.915334111244249</v>
      </c>
      <c r="F41" s="264"/>
      <c r="G41" s="69">
        <f t="shared" si="1"/>
        <v>65.280300934722433</v>
      </c>
      <c r="H41" s="68"/>
      <c r="I41" s="349"/>
      <c r="J41" s="69">
        <f t="shared" si="8"/>
        <v>65.280300934722433</v>
      </c>
      <c r="K41" s="69">
        <f t="shared" si="3"/>
        <v>172.78</v>
      </c>
      <c r="L41" s="68">
        <f t="shared" si="9"/>
        <v>172.78272753405381</v>
      </c>
      <c r="P41" s="78"/>
      <c r="Q41" s="68"/>
      <c r="R41" s="68"/>
    </row>
    <row r="42" spans="2:18" ht="15">
      <c r="B42" s="67">
        <f t="shared" si="0"/>
        <v>2057</v>
      </c>
      <c r="C42" s="70"/>
      <c r="D42" s="259">
        <f t="shared" ref="D42:E42" si="15">D41*D41/D40</f>
        <v>134.74210254929324</v>
      </c>
      <c r="E42" s="259">
        <f t="shared" si="15"/>
        <v>41.807288379314109</v>
      </c>
      <c r="F42" s="264"/>
      <c r="G42" s="69">
        <f t="shared" si="1"/>
        <v>66.703411470281011</v>
      </c>
      <c r="H42" s="68"/>
      <c r="I42" s="349"/>
      <c r="J42" s="69">
        <f t="shared" si="8"/>
        <v>66.703411470281011</v>
      </c>
      <c r="K42" s="69">
        <f t="shared" si="3"/>
        <v>176.55</v>
      </c>
      <c r="L42" s="68">
        <f t="shared" si="9"/>
        <v>176.54939092860735</v>
      </c>
      <c r="P42" s="78"/>
      <c r="Q42" s="68"/>
      <c r="R42" s="68"/>
    </row>
    <row r="43" spans="2:18" ht="15">
      <c r="B43" s="67">
        <f t="shared" si="0"/>
        <v>2058</v>
      </c>
      <c r="C43" s="70"/>
      <c r="D43" s="259">
        <f t="shared" ref="D43:E43" si="16">D42*D42/D41</f>
        <v>137.67948033364135</v>
      </c>
      <c r="E43" s="259">
        <f t="shared" si="16"/>
        <v>42.718687250088784</v>
      </c>
      <c r="F43" s="264"/>
      <c r="G43" s="69">
        <f t="shared" si="1"/>
        <v>68.157545814973716</v>
      </c>
      <c r="H43" s="68"/>
      <c r="I43" s="349"/>
      <c r="J43" s="69">
        <f t="shared" si="8"/>
        <v>68.157545814973716</v>
      </c>
      <c r="K43" s="69">
        <f t="shared" si="3"/>
        <v>180.4</v>
      </c>
      <c r="L43" s="68">
        <f t="shared" si="9"/>
        <v>180.39816758373013</v>
      </c>
      <c r="P43" s="78"/>
      <c r="Q43" s="68"/>
      <c r="R43" s="68"/>
    </row>
    <row r="44" spans="2:18" ht="15">
      <c r="B44" s="67">
        <f t="shared" si="0"/>
        <v>2059</v>
      </c>
      <c r="C44" s="70"/>
      <c r="D44" s="259">
        <f t="shared" ref="D44:E44" si="17">D43*D43/D42</f>
        <v>140.6808929525715</v>
      </c>
      <c r="E44" s="259">
        <f t="shared" si="17"/>
        <v>43.649954615899851</v>
      </c>
      <c r="F44" s="264"/>
      <c r="G44" s="69">
        <f t="shared" si="1"/>
        <v>69.643380287827881</v>
      </c>
      <c r="H44" s="68"/>
      <c r="I44" s="349"/>
      <c r="J44" s="69">
        <f t="shared" si="8"/>
        <v>69.643380287827881</v>
      </c>
      <c r="K44" s="69">
        <f t="shared" si="3"/>
        <v>184.33</v>
      </c>
      <c r="L44" s="68">
        <f t="shared" si="9"/>
        <v>184.33084756847134</v>
      </c>
      <c r="P44" s="78"/>
      <c r="Q44" s="68"/>
      <c r="R44" s="68"/>
    </row>
    <row r="45" spans="2:18" ht="15">
      <c r="B45" s="67">
        <f t="shared" si="0"/>
        <v>2060</v>
      </c>
      <c r="C45" s="70"/>
      <c r="D45" s="259">
        <f t="shared" ref="D45:E46" si="18">D44*D44/D43</f>
        <v>143.74773636545322</v>
      </c>
      <c r="E45" s="259">
        <f t="shared" si="18"/>
        <v>44.601523609931547</v>
      </c>
      <c r="F45" s="264"/>
      <c r="G45" s="69">
        <f t="shared" si="1"/>
        <v>71.161605951625376</v>
      </c>
      <c r="H45" s="68"/>
      <c r="I45" s="349"/>
      <c r="J45" s="69">
        <f t="shared" si="8"/>
        <v>71.161605951625376</v>
      </c>
      <c r="K45" s="69">
        <f t="shared" si="3"/>
        <v>188.35</v>
      </c>
      <c r="L45" s="68">
        <f t="shared" si="9"/>
        <v>188.34925997538477</v>
      </c>
      <c r="P45" s="78"/>
      <c r="Q45" s="68"/>
      <c r="R45" s="68"/>
    </row>
    <row r="46" spans="2:18" ht="15">
      <c r="B46" s="67">
        <f t="shared" si="0"/>
        <v>2061</v>
      </c>
      <c r="C46" s="70"/>
      <c r="D46" s="259">
        <f t="shared" si="18"/>
        <v>146.8814369635698</v>
      </c>
      <c r="E46" s="259">
        <f t="shared" si="18"/>
        <v>45.573836807671363</v>
      </c>
      <c r="F46" s="264"/>
      <c r="G46" s="69">
        <f t="shared" si="1"/>
        <v>72.712928934316452</v>
      </c>
      <c r="H46" s="68"/>
      <c r="I46" s="349"/>
      <c r="J46" s="69">
        <f t="shared" ref="J46" si="19">(G46+H46+I46)</f>
        <v>72.712928934316452</v>
      </c>
      <c r="K46" s="69">
        <f t="shared" si="3"/>
        <v>192.46</v>
      </c>
      <c r="L46" s="68">
        <f t="shared" ref="L46" si="20">(D46+E46+F46)</f>
        <v>192.45527377124117</v>
      </c>
      <c r="P46" s="78"/>
      <c r="Q46" s="68"/>
      <c r="R46" s="68"/>
    </row>
    <row r="47" spans="2:18">
      <c r="B47" s="67"/>
      <c r="C47" s="70"/>
      <c r="D47" s="68"/>
      <c r="E47" s="68"/>
      <c r="F47" s="68"/>
      <c r="G47" s="69"/>
      <c r="H47" s="68"/>
      <c r="I47" s="68"/>
      <c r="J47" s="68"/>
      <c r="K47" s="68"/>
      <c r="L47" s="68"/>
      <c r="M47" s="68"/>
    </row>
    <row r="48" spans="2:18">
      <c r="B48" s="67" t="s">
        <v>306</v>
      </c>
      <c r="C48" s="70"/>
      <c r="D48" s="68"/>
      <c r="E48" s="68"/>
      <c r="F48" s="68">
        <f>NPV(Discount_Rate,F16:F40)</f>
        <v>0</v>
      </c>
      <c r="G48" s="69"/>
      <c r="H48" s="68"/>
      <c r="I48" s="69"/>
      <c r="J48" s="69">
        <f>-PMT(Discount_Rate,COUNT(J$16:J$40),NPV(Discount_Rate,J$16:J$40))</f>
        <v>15.554983611854865</v>
      </c>
      <c r="K48" s="69">
        <f>-PMT(Discount_Rate,COUNT(K$16:K$40),NPV(Discount_Rate,K$16:K$40))</f>
        <v>41.170503669246266</v>
      </c>
      <c r="L48" s="69">
        <f>-PMT(Discount_Rate,COUNT(L$16:L$40),NPV(Discount_Rate,L$16:L$40))</f>
        <v>123.46725151754924</v>
      </c>
      <c r="M48" s="72"/>
    </row>
    <row r="49" spans="2:20" ht="14.25">
      <c r="B49" s="73" t="s">
        <v>25</v>
      </c>
      <c r="C49" s="74"/>
      <c r="D49" s="74"/>
      <c r="E49" s="74"/>
      <c r="F49" s="74"/>
      <c r="G49" s="74"/>
      <c r="H49" s="74"/>
      <c r="I49" s="74"/>
    </row>
    <row r="51" spans="2:20">
      <c r="B51" s="60" t="s">
        <v>59</v>
      </c>
      <c r="C51" s="75" t="s">
        <v>60</v>
      </c>
      <c r="D51" s="146" t="s">
        <v>186</v>
      </c>
    </row>
    <row r="52" spans="2:20">
      <c r="C52" s="75" t="str">
        <f>C7</f>
        <v>(a)</v>
      </c>
      <c r="D52" s="60" t="s">
        <v>61</v>
      </c>
    </row>
    <row r="53" spans="2:20">
      <c r="C53" s="75" t="str">
        <f>D7</f>
        <v>(b)</v>
      </c>
      <c r="D53" s="69" t="str">
        <f>"= "&amp;C7&amp;" x "&amp;C60</f>
        <v>= (a) x 0.06861</v>
      </c>
    </row>
    <row r="54" spans="2:20">
      <c r="C54" s="75">
        <f>F7</f>
        <v>0</v>
      </c>
      <c r="D54" s="69" t="str">
        <f>"= ("&amp;$D$7&amp;" + "&amp;$E$7&amp;") /  (8.76 x "&amp;TEXT(C61,"0.0%")&amp;")"</f>
        <v>= ((b) + (c)) /  (8.76 x 30.2%)</v>
      </c>
    </row>
    <row r="55" spans="2:20">
      <c r="C55" s="75" t="str">
        <f>J7</f>
        <v>(g)</v>
      </c>
      <c r="D55" s="69" t="str">
        <f>"= "&amp;$G$7&amp;" + "&amp;$H$7</f>
        <v>= (e) + (f)</v>
      </c>
    </row>
    <row r="56" spans="2:20">
      <c r="C56" s="75" t="str">
        <f>K7</f>
        <v>(h)</v>
      </c>
      <c r="D56" t="str">
        <f>D51</f>
        <v>Plant Costs  - 2025 IRP - Table 7.1 &amp; 7.2</v>
      </c>
    </row>
    <row r="57" spans="2:20">
      <c r="Q57" s="60" t="s">
        <v>82</v>
      </c>
      <c r="R57" s="67">
        <v>2031</v>
      </c>
      <c r="T57" s="156" t="s">
        <v>253</v>
      </c>
    </row>
    <row r="58" spans="2:20">
      <c r="B58"/>
      <c r="C58" s="153"/>
      <c r="P58" s="143"/>
      <c r="T58" s="156"/>
    </row>
    <row r="59" spans="2:20">
      <c r="B59"/>
      <c r="C59" s="76"/>
      <c r="Q59" s="60" t="s">
        <v>189</v>
      </c>
      <c r="R59" s="143">
        <v>100</v>
      </c>
    </row>
    <row r="60" spans="2:20">
      <c r="C60" s="154">
        <v>6.8610000000000004E-2</v>
      </c>
      <c r="D60" s="60" t="s">
        <v>197</v>
      </c>
      <c r="E60" s="150"/>
      <c r="J60" s="258"/>
      <c r="L60" s="145"/>
      <c r="M60" s="80"/>
      <c r="N60" s="80"/>
      <c r="P60" s="81"/>
    </row>
    <row r="61" spans="2:20">
      <c r="C61" s="155">
        <v>0.30214406753877532</v>
      </c>
      <c r="D61" s="60" t="s">
        <v>35</v>
      </c>
    </row>
    <row r="62" spans="2:20">
      <c r="C62" s="161"/>
      <c r="D62" s="79"/>
      <c r="H62" s="348">
        <v>1.1000000000000001</v>
      </c>
      <c r="I62" s="60" t="s">
        <v>305</v>
      </c>
    </row>
    <row r="63" spans="2:20" ht="15">
      <c r="C63" s="155"/>
      <c r="I63" s="105" t="s">
        <v>31</v>
      </c>
      <c r="J63" s="105" t="s">
        <v>302</v>
      </c>
    </row>
    <row r="64" spans="2:20" ht="15">
      <c r="C64" s="105"/>
      <c r="D64" s="105"/>
      <c r="E64" s="105"/>
      <c r="F64" s="105"/>
      <c r="G64" s="260">
        <v>47849</v>
      </c>
      <c r="H64" s="67">
        <f>YEAR(G64)</f>
        <v>2031</v>
      </c>
      <c r="I64" s="68">
        <f>IF($H$62=110%,INDEX('2025 IRP Assumptions'!$E$341:$E$361,MATCH(H64,'2025 IRP Assumptions'!$S$341:$S$361,0),1),INDEX('2025 IRP Assumptions'!$E$309:$E$338,MATCH(H64,'2025 IRP Assumptions'!$S$341:$S$361,0)))</f>
        <v>49.06</v>
      </c>
      <c r="J64" s="78">
        <f>I64*(8.76*$C$61)</f>
        <v>129.8511264722423</v>
      </c>
    </row>
    <row r="65" spans="3:10" ht="15">
      <c r="C65" s="260"/>
      <c r="D65" s="105"/>
      <c r="E65" s="241"/>
      <c r="F65" s="265"/>
      <c r="G65" s="260">
        <v>48214</v>
      </c>
      <c r="H65" s="67">
        <f>YEAR(G65)</f>
        <v>2032</v>
      </c>
      <c r="I65" s="68">
        <f>IF($H$62=110%,INDEX('2025 IRP Assumptions'!$E$341:$E$361,MATCH(H65,'2025 IRP Assumptions'!$S$341:$S$361,0),1),INDEX('2025 IRP Assumptions'!$E$309:$E$338,MATCH(H65,'2025 IRP Assumptions'!$S$341:$S$361,0)))</f>
        <v>50.39</v>
      </c>
      <c r="J65" s="78">
        <f t="shared" ref="J65:J73" si="21">I65*(8.76*$C$61)</f>
        <v>133.37134657432307</v>
      </c>
    </row>
    <row r="66" spans="3:10" ht="15">
      <c r="C66" s="260"/>
      <c r="D66" s="105"/>
      <c r="E66" s="241"/>
      <c r="F66" s="265"/>
      <c r="G66" s="260">
        <v>48580</v>
      </c>
      <c r="H66" s="67">
        <f t="shared" ref="H66:H73" si="22">YEAR(G66)</f>
        <v>2033</v>
      </c>
      <c r="I66" s="68">
        <f>IF($H$62=110%,INDEX('2025 IRP Assumptions'!$E$341:$E$361,MATCH(H66,'2025 IRP Assumptions'!$S$341:$S$361,0),1),INDEX('2025 IRP Assumptions'!$E$309:$E$338,MATCH(H66,'2025 IRP Assumptions'!$S$341:$S$361,0)))</f>
        <v>50.39</v>
      </c>
      <c r="J66" s="78">
        <f t="shared" si="21"/>
        <v>133.37134657432307</v>
      </c>
    </row>
    <row r="67" spans="3:10" ht="15">
      <c r="C67" s="260"/>
      <c r="D67" s="105"/>
      <c r="E67" s="241"/>
      <c r="F67" s="265"/>
      <c r="G67" s="260">
        <v>48945</v>
      </c>
      <c r="H67" s="67">
        <f t="shared" si="22"/>
        <v>2034</v>
      </c>
      <c r="I67" s="68">
        <f>IF($H$62=110%,INDEX('2025 IRP Assumptions'!$E$341:$E$361,MATCH(H67,'2025 IRP Assumptions'!$S$341:$S$361,0),1),INDEX('2025 IRP Assumptions'!$E$309:$E$338,MATCH(H67,'2025 IRP Assumptions'!$S$341:$S$361,0)))</f>
        <v>51.71</v>
      </c>
      <c r="J67" s="78">
        <f t="shared" si="21"/>
        <v>136.86509885608743</v>
      </c>
    </row>
    <row r="68" spans="3:10" ht="15">
      <c r="C68" s="260"/>
      <c r="D68" s="105"/>
      <c r="E68" s="241"/>
      <c r="F68" s="265"/>
      <c r="G68" s="260">
        <v>49310</v>
      </c>
      <c r="H68" s="67">
        <f t="shared" si="22"/>
        <v>2035</v>
      </c>
      <c r="I68" s="68">
        <f>IF($H$62=110%,INDEX('2025 IRP Assumptions'!$E$341:$E$361,MATCH(H68,'2025 IRP Assumptions'!$S$341:$S$361,0),1),INDEX('2025 IRP Assumptions'!$E$309:$E$338,MATCH(H68,'2025 IRP Assumptions'!$S$341:$S$361,0)))</f>
        <v>53.04</v>
      </c>
      <c r="J68" s="78">
        <f t="shared" si="21"/>
        <v>140.3853189581682</v>
      </c>
    </row>
    <row r="69" spans="3:10" ht="15">
      <c r="C69" s="260"/>
      <c r="D69" s="105"/>
      <c r="E69" s="241"/>
      <c r="F69" s="265"/>
      <c r="G69" s="260">
        <v>49675</v>
      </c>
      <c r="H69" s="67">
        <f t="shared" si="22"/>
        <v>2036</v>
      </c>
      <c r="I69" s="68">
        <f>IF($H$62=110%,INDEX('2025 IRP Assumptions'!$E$341:$E$361,MATCH(H69,'2025 IRP Assumptions'!$S$341:$S$361,0),1),INDEX('2025 IRP Assumptions'!$E$309:$E$338,MATCH(H69,'2025 IRP Assumptions'!$S$341:$S$361,0)))</f>
        <v>54.37</v>
      </c>
      <c r="J69" s="78">
        <f t="shared" si="21"/>
        <v>143.90553906024894</v>
      </c>
    </row>
    <row r="70" spans="3:10" ht="15">
      <c r="C70" s="260"/>
      <c r="D70" s="105"/>
      <c r="E70" s="241"/>
      <c r="F70" s="265"/>
      <c r="G70" s="260">
        <v>50041</v>
      </c>
      <c r="H70" s="67">
        <f t="shared" si="22"/>
        <v>2037</v>
      </c>
      <c r="I70" s="68">
        <f>IF($H$62=110%,INDEX('2025 IRP Assumptions'!$E$341:$E$361,MATCH(H70,'2025 IRP Assumptions'!$S$341:$S$361,0),1),INDEX('2025 IRP Assumptions'!$E$309:$E$338,MATCH(H70,'2025 IRP Assumptions'!$S$341:$S$361,0)))</f>
        <v>55.69</v>
      </c>
      <c r="J70" s="78">
        <f t="shared" si="21"/>
        <v>147.3992913420133</v>
      </c>
    </row>
    <row r="71" spans="3:10" ht="15">
      <c r="C71" s="260"/>
      <c r="D71" s="105"/>
      <c r="E71" s="241"/>
      <c r="F71" s="265"/>
      <c r="G71" s="260">
        <v>50406</v>
      </c>
      <c r="H71" s="67">
        <f t="shared" si="22"/>
        <v>2038</v>
      </c>
      <c r="I71" s="68">
        <f>IF($H$62=110%,INDEX('2025 IRP Assumptions'!$E$341:$E$361,MATCH(H71,'2025 IRP Assumptions'!$S$341:$S$361,0),1),INDEX('2025 IRP Assumptions'!$E$309:$E$338,MATCH(H71,'2025 IRP Assumptions'!$S$341:$S$361,0)))</f>
        <v>55.69</v>
      </c>
      <c r="J71" s="78">
        <f t="shared" si="21"/>
        <v>147.3992913420133</v>
      </c>
    </row>
    <row r="72" spans="3:10" ht="15">
      <c r="C72" s="260"/>
      <c r="D72" s="105"/>
      <c r="E72" s="241"/>
      <c r="F72" s="265"/>
      <c r="G72" s="260">
        <v>50771</v>
      </c>
      <c r="H72" s="67">
        <f t="shared" si="22"/>
        <v>2039</v>
      </c>
      <c r="I72" s="68">
        <f>IF($H$62=110%,INDEX('2025 IRP Assumptions'!$E$341:$E$361,MATCH(H72,'2025 IRP Assumptions'!$S$341:$S$361,0),1),INDEX('2025 IRP Assumptions'!$E$309:$E$338,MATCH(H72,'2025 IRP Assumptions'!$S$341:$S$361,0)))</f>
        <v>57.02</v>
      </c>
      <c r="J72" s="78">
        <f t="shared" si="21"/>
        <v>150.9195114440941</v>
      </c>
    </row>
    <row r="73" spans="3:10" ht="15">
      <c r="C73" s="260"/>
      <c r="D73" s="105"/>
      <c r="E73" s="241"/>
      <c r="F73" s="265"/>
      <c r="G73" s="260">
        <v>51136</v>
      </c>
      <c r="H73" s="67">
        <f t="shared" si="22"/>
        <v>2040</v>
      </c>
      <c r="I73" s="68">
        <f>IF($H$62=110%,INDEX('2025 IRP Assumptions'!$E$341:$E$361,MATCH(H73,'2025 IRP Assumptions'!$S$341:$S$361,0),1),INDEX('2025 IRP Assumptions'!$E$309:$E$338,MATCH(H73,'2025 IRP Assumptions'!$S$341:$S$361,0)))</f>
        <v>58.35</v>
      </c>
      <c r="J73" s="78">
        <f t="shared" si="21"/>
        <v>154.43973154617484</v>
      </c>
    </row>
    <row r="74" spans="3:10" ht="15">
      <c r="C74" s="260"/>
      <c r="D74" s="105"/>
      <c r="E74" s="241"/>
      <c r="F74" s="265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177</v>
      </c>
      <c r="J76" s="60">
        <f>INDEX('2025 IRP Assumptions'!$E$126:$E$157,MATCH(T57,'2025 IRP Assumptions'!$C$126:$C$157,0),1)</f>
        <v>25</v>
      </c>
    </row>
    <row r="77" spans="3:10" ht="15">
      <c r="C77" s="105"/>
      <c r="D77" s="105"/>
      <c r="E77" s="261"/>
      <c r="F77" s="261"/>
      <c r="G77" s="105" t="s">
        <v>310</v>
      </c>
      <c r="I77" s="261"/>
      <c r="J77" s="261">
        <f>-PMT(Real_Discount_Rate,J76,NPV(Discount_Rate,J64:J73))</f>
        <v>65.738090441674046</v>
      </c>
    </row>
    <row r="80" spans="3:10">
      <c r="C80" s="77"/>
      <c r="D80" s="79"/>
    </row>
    <row r="81" spans="3:4">
      <c r="C81" s="77"/>
      <c r="D81" s="79"/>
    </row>
    <row r="82" spans="3:4">
      <c r="C82" s="77"/>
      <c r="D82" s="79"/>
    </row>
    <row r="83" spans="3:4">
      <c r="C83" s="77"/>
      <c r="D83" s="79"/>
    </row>
    <row r="84" spans="3:4">
      <c r="C84" s="77"/>
      <c r="D84" s="79"/>
    </row>
    <row r="85" spans="3:4">
      <c r="C85" s="77"/>
      <c r="D85" s="79"/>
    </row>
    <row r="86" spans="3:4">
      <c r="C86" s="77"/>
      <c r="D86" s="79"/>
    </row>
    <row r="87" spans="3:4">
      <c r="C87" s="77"/>
      <c r="D87" s="79"/>
    </row>
    <row r="88" spans="3:4">
      <c r="C88" s="77"/>
      <c r="D88" s="79"/>
    </row>
    <row r="89" spans="3:4">
      <c r="C89" s="77"/>
      <c r="D89" s="79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1AB7D-9E05-4B50-91F9-1BC452168844}">
  <sheetPr>
    <tabColor rgb="FFFFFF00"/>
    <pageSetUpPr fitToPage="1"/>
  </sheetPr>
  <dimension ref="B1:AD89"/>
  <sheetViews>
    <sheetView workbookViewId="0">
      <selection activeCell="F5" sqref="F5"/>
    </sheetView>
  </sheetViews>
  <sheetFormatPr defaultColWidth="9.33203125" defaultRowHeight="12.75"/>
  <cols>
    <col min="1" max="1" width="13.33203125" style="60" customWidth="1"/>
    <col min="2" max="2" width="15" style="60" customWidth="1"/>
    <col min="3" max="3" width="19.33203125" style="60" customWidth="1"/>
    <col min="4" max="4" width="22.83203125" style="60" customWidth="1"/>
    <col min="5" max="6" width="11.1640625" style="60" customWidth="1"/>
    <col min="7" max="7" width="13.5" style="60" customWidth="1"/>
    <col min="8" max="8" width="20.1640625" style="60" customWidth="1"/>
    <col min="9" max="9" width="9.5" style="60" bestFit="1" customWidth="1"/>
    <col min="10" max="10" width="10.5" style="60" customWidth="1"/>
    <col min="11" max="11" width="12.6640625" style="60" customWidth="1"/>
    <col min="12" max="12" width="14" style="60" customWidth="1"/>
    <col min="13" max="13" width="13.33203125" style="60" customWidth="1"/>
    <col min="14" max="14" width="3.1640625" style="60" customWidth="1"/>
    <col min="15" max="15" width="15" style="60" hidden="1" customWidth="1"/>
    <col min="16" max="16" width="5.6640625" style="60" customWidth="1"/>
    <col min="17" max="17" width="9.33203125" style="60" customWidth="1"/>
    <col min="18" max="19" width="16" style="60" customWidth="1"/>
    <col min="20" max="20" width="23.5" style="60" customWidth="1"/>
    <col min="21" max="21" width="18.1640625" style="60" customWidth="1"/>
    <col min="22" max="22" width="13.33203125" style="60" customWidth="1"/>
    <col min="23" max="23" width="18.1640625" style="60" customWidth="1"/>
    <col min="24" max="24" width="12.83203125" style="60" customWidth="1"/>
    <col min="25" max="25" width="15.33203125" style="60" customWidth="1"/>
    <col min="26" max="27" width="9.33203125" style="60"/>
    <col min="28" max="28" width="13.33203125" style="60" customWidth="1"/>
    <col min="29" max="29" width="13.6640625" style="60" customWidth="1"/>
    <col min="30" max="30" width="12" style="60" bestFit="1" customWidth="1"/>
    <col min="31" max="16384" width="9.33203125" style="60"/>
  </cols>
  <sheetData>
    <row r="1" spans="2:30" ht="15.75">
      <c r="B1" s="58" t="s">
        <v>53</v>
      </c>
      <c r="C1" s="59"/>
      <c r="D1" s="59"/>
      <c r="E1" s="59"/>
      <c r="F1" s="59"/>
      <c r="G1" s="59"/>
      <c r="H1" s="59"/>
      <c r="I1" s="59"/>
      <c r="J1" s="59"/>
      <c r="K1" s="59"/>
      <c r="L1" s="59"/>
    </row>
    <row r="2" spans="2:30" ht="15.75">
      <c r="B2" s="58" t="str">
        <f>U57</f>
        <v>PV_.PX.UTS._.PTC.Utility_Scale</v>
      </c>
      <c r="C2" s="59"/>
      <c r="D2" s="59"/>
      <c r="E2" s="59"/>
      <c r="F2" s="59"/>
      <c r="G2" s="59"/>
      <c r="H2" s="59"/>
      <c r="I2" s="59"/>
      <c r="J2" s="59"/>
      <c r="K2" s="59"/>
      <c r="L2" s="59"/>
    </row>
    <row r="3" spans="2:30" ht="15.75">
      <c r="B3" s="58" t="str">
        <f>TEXT($C$61,"0%")&amp;" Capacity Factor"</f>
        <v>33% Capacity Factor</v>
      </c>
      <c r="C3" s="59"/>
      <c r="D3" s="59"/>
      <c r="E3" s="59"/>
      <c r="F3" s="59"/>
      <c r="G3" s="59"/>
      <c r="H3" s="59"/>
      <c r="I3" s="59"/>
      <c r="J3" s="59"/>
      <c r="K3" s="59"/>
      <c r="L3" s="59"/>
    </row>
    <row r="4" spans="2:30">
      <c r="B4" s="59"/>
      <c r="C4" s="59"/>
      <c r="D4" s="59"/>
      <c r="E4" s="59"/>
      <c r="F4" s="59"/>
      <c r="G4" s="59"/>
      <c r="H4" s="59"/>
      <c r="I4" s="59"/>
      <c r="J4" s="59"/>
      <c r="R4" s="263"/>
      <c r="S4" s="263"/>
    </row>
    <row r="5" spans="2:30" ht="51.75" customHeight="1">
      <c r="B5" s="61" t="s">
        <v>0</v>
      </c>
      <c r="C5" s="62" t="s">
        <v>10</v>
      </c>
      <c r="D5" s="62" t="s">
        <v>11</v>
      </c>
      <c r="E5" s="62" t="s">
        <v>12</v>
      </c>
      <c r="F5" s="14" t="s">
        <v>75</v>
      </c>
      <c r="G5" s="14"/>
      <c r="H5" s="62" t="s">
        <v>58</v>
      </c>
      <c r="I5" s="14" t="s">
        <v>13</v>
      </c>
      <c r="J5" s="62" t="s">
        <v>113</v>
      </c>
      <c r="K5" s="62" t="s">
        <v>64</v>
      </c>
      <c r="L5" s="14" t="s">
        <v>49</v>
      </c>
      <c r="M5" s="62" t="s">
        <v>86</v>
      </c>
      <c r="O5" s="100"/>
      <c r="P5" s="100"/>
      <c r="R5" s="263"/>
      <c r="S5" s="263"/>
      <c r="U5" s="142"/>
      <c r="AA5" s="100"/>
      <c r="AB5" s="100"/>
    </row>
    <row r="6" spans="2:30" ht="24" customHeight="1">
      <c r="B6" s="63"/>
      <c r="C6" s="64" t="s">
        <v>8</v>
      </c>
      <c r="D6" s="65" t="s">
        <v>9</v>
      </c>
      <c r="E6" s="65" t="s">
        <v>9</v>
      </c>
      <c r="F6" s="65" t="s">
        <v>9</v>
      </c>
      <c r="G6" s="16"/>
      <c r="H6" s="64" t="s">
        <v>31</v>
      </c>
      <c r="I6" s="15" t="s">
        <v>31</v>
      </c>
      <c r="J6" s="15" t="s">
        <v>31</v>
      </c>
      <c r="K6" s="64" t="s">
        <v>31</v>
      </c>
      <c r="L6" s="16" t="s">
        <v>9</v>
      </c>
      <c r="M6" s="65" t="s">
        <v>9</v>
      </c>
      <c r="X6" s="78"/>
      <c r="Y6" s="78"/>
    </row>
    <row r="7" spans="2:30">
      <c r="C7" s="66" t="s">
        <v>1</v>
      </c>
      <c r="D7" s="66" t="s">
        <v>2</v>
      </c>
      <c r="E7" s="66" t="s">
        <v>3</v>
      </c>
      <c r="F7" s="66" t="s">
        <v>5</v>
      </c>
      <c r="G7" s="66"/>
      <c r="H7" s="66" t="s">
        <v>5</v>
      </c>
      <c r="I7" s="66" t="s">
        <v>7</v>
      </c>
      <c r="J7" s="66" t="s">
        <v>22</v>
      </c>
      <c r="K7" s="66" t="s">
        <v>22</v>
      </c>
      <c r="L7" s="66" t="s">
        <v>23</v>
      </c>
      <c r="M7" s="66" t="s">
        <v>24</v>
      </c>
      <c r="V7" s="78"/>
    </row>
    <row r="8" spans="2:30" ht="21.75" customHeight="1">
      <c r="Y8" s="71"/>
    </row>
    <row r="9" spans="2:30">
      <c r="B9" s="67">
        <v>2024</v>
      </c>
      <c r="C9" s="157">
        <f>INDEX('2025 IRP Assumptions'!$E$2:$E$58,MATCH($U$57,'2025 IRP Assumptions'!$C$2:$C$58,0),1)</f>
        <v>1216.55</v>
      </c>
      <c r="D9" s="68"/>
      <c r="E9" s="232">
        <f>INDEX('2025 IRP Assumptions'!$E$62:$E$118,MATCH($U$57,'2025 IRP Assumptions'!$C$62:$C$118,0),1)</f>
        <v>20.52</v>
      </c>
      <c r="F9" s="68"/>
      <c r="G9" s="68"/>
      <c r="H9" s="69"/>
      <c r="I9" s="68"/>
      <c r="J9" s="68"/>
      <c r="K9" s="69"/>
      <c r="L9" s="69"/>
      <c r="M9" s="68"/>
      <c r="U9" s="70"/>
      <c r="Y9" s="158"/>
    </row>
    <row r="10" spans="2:30">
      <c r="B10" s="67">
        <f t="shared" ref="B10:B46" si="0">B9+1</f>
        <v>2025</v>
      </c>
      <c r="C10" s="70">
        <f>$C$9*INDEX('2025 IRP Assumptions'!$E$192:$E$212,MATCH(B10,'2025 IRP Assumptions'!$S$192:$S$212,0),1)</f>
        <v>1295.73496334315</v>
      </c>
      <c r="D10" s="68"/>
      <c r="E10" s="68" cm="1">
        <f t="array" ref="E10">$E$9*INDEX('2025 IRP Assumptions'!$E$373:$E$396,'PV_.PX.UTS._.PTC.2031'!$B10-2023,1)</f>
        <v>20.967336</v>
      </c>
      <c r="F10" s="68"/>
      <c r="G10" s="68"/>
      <c r="H10" s="69"/>
      <c r="I10" s="68"/>
      <c r="J10" s="68"/>
      <c r="K10" s="69"/>
      <c r="L10" s="69"/>
      <c r="M10" s="68"/>
      <c r="R10" s="68"/>
      <c r="S10" s="68"/>
      <c r="V10" s="156"/>
      <c r="Y10" s="158"/>
    </row>
    <row r="11" spans="2:30">
      <c r="B11" s="67">
        <f t="shared" si="0"/>
        <v>2026</v>
      </c>
      <c r="C11" s="70">
        <f>$C$9*INDEX('2025 IRP Assumptions'!$E$192:$E$212,MATCH(B11,'2025 IRP Assumptions'!$S$192:$S$212,0),1)</f>
        <v>1271.0525920728498</v>
      </c>
      <c r="D11" s="68"/>
      <c r="E11" s="68" cm="1">
        <f t="array" ref="E11">$E$9*INDEX('2025 IRP Assumptions'!$E$373:$E$396,'PV_.PX.UTS._.PTC.2031'!$B11-2023,1)</f>
        <v>21.424423924799999</v>
      </c>
      <c r="F11" s="68"/>
      <c r="G11" s="68"/>
      <c r="H11" s="69"/>
      <c r="I11" s="68"/>
      <c r="J11" s="68"/>
      <c r="K11" s="69"/>
      <c r="L11" s="69"/>
      <c r="M11" s="68"/>
      <c r="R11" s="68"/>
      <c r="S11" s="68"/>
      <c r="Y11" s="158"/>
      <c r="AD11" s="144"/>
    </row>
    <row r="12" spans="2:30">
      <c r="B12" s="67">
        <f t="shared" si="0"/>
        <v>2027</v>
      </c>
      <c r="C12" s="70">
        <f>$C$9*INDEX('2025 IRP Assumptions'!$E$192:$E$212,MATCH(B12,'2025 IRP Assumptions'!$S$192:$S$212,0),1)</f>
        <v>1244.6782832086999</v>
      </c>
      <c r="D12" s="68"/>
      <c r="E12" s="68" cm="1">
        <f t="array" ref="E12">$E$9*INDEX('2025 IRP Assumptions'!$E$373:$E$396,'PV_.PX.UTS._.PTC.2031'!$B12-2023,1)</f>
        <v>21.891476361600002</v>
      </c>
      <c r="F12" s="68"/>
      <c r="G12" s="68"/>
      <c r="H12" s="69"/>
      <c r="I12" s="68"/>
      <c r="J12" s="68"/>
      <c r="K12" s="69"/>
      <c r="L12" s="69"/>
      <c r="M12" s="68"/>
      <c r="Q12" s="78"/>
      <c r="R12" s="68"/>
      <c r="S12" s="68"/>
      <c r="V12" s="160"/>
      <c r="Y12" s="158"/>
      <c r="Z12" s="160"/>
    </row>
    <row r="13" spans="2:30">
      <c r="B13" s="67">
        <f t="shared" si="0"/>
        <v>2028</v>
      </c>
      <c r="C13" s="70">
        <f>$C$9*INDEX('2025 IRP Assumptions'!$E$192:$E$212,MATCH(B13,'2025 IRP Assumptions'!$S$192:$S$212,0),1)</f>
        <v>1216.55</v>
      </c>
      <c r="D13" s="68"/>
      <c r="E13" s="68" cm="1">
        <f t="array" ref="E13">$E$9*INDEX('2025 IRP Assumptions'!$E$373:$E$396,'PV_.PX.UTS._.PTC.2031'!$B13-2023,1)</f>
        <v>22.36871055564</v>
      </c>
      <c r="F13" s="264"/>
      <c r="G13" s="264"/>
      <c r="H13" s="69"/>
      <c r="I13" s="68"/>
      <c r="J13" s="68"/>
      <c r="K13" s="69"/>
      <c r="L13" s="69"/>
      <c r="M13" s="68"/>
      <c r="Q13" s="78"/>
      <c r="R13" s="68"/>
      <c r="S13" s="68"/>
      <c r="V13" s="160"/>
      <c r="X13" s="78"/>
      <c r="Y13" s="158"/>
      <c r="Z13" s="160"/>
    </row>
    <row r="14" spans="2:30">
      <c r="B14" s="67">
        <f t="shared" si="0"/>
        <v>2029</v>
      </c>
      <c r="C14" s="70">
        <f>$C$9*INDEX('2025 IRP Assumptions'!$E$192:$E$212,MATCH(B14,'2025 IRP Assumptions'!$S$192:$S$212,0),1)</f>
        <v>1186.60380301185</v>
      </c>
      <c r="D14" s="68"/>
      <c r="E14" s="68" cm="1">
        <f t="array" ref="E14">$E$9*INDEX('2025 IRP Assumptions'!$E$373:$E$396,'PV_.PX.UTS._.PTC.2031'!$B14-2023,1)</f>
        <v>22.856348451240002</v>
      </c>
      <c r="F14" s="264"/>
      <c r="G14" s="264"/>
      <c r="H14" s="69"/>
      <c r="I14" s="68"/>
      <c r="J14" s="68"/>
      <c r="K14" s="69"/>
      <c r="L14" s="69"/>
      <c r="M14" s="68"/>
      <c r="Q14" s="78"/>
      <c r="R14" s="68"/>
      <c r="S14" s="68"/>
      <c r="V14" s="160"/>
      <c r="W14" s="78"/>
      <c r="X14" s="78"/>
      <c r="Y14" s="158"/>
      <c r="Z14" s="160"/>
      <c r="AA14" s="78"/>
    </row>
    <row r="15" spans="2:30">
      <c r="B15" s="67">
        <f t="shared" si="0"/>
        <v>2030</v>
      </c>
      <c r="C15" s="70">
        <f>$C$9*INDEX('2025 IRP Assumptions'!$E$192:$E$212,MATCH(B15,'2025 IRP Assumptions'!$S$192:$S$212,0),1)</f>
        <v>1154.7737978135001</v>
      </c>
      <c r="D15" s="68"/>
      <c r="E15" s="68" cm="1">
        <f t="array" ref="E15">$E$9*INDEX('2025 IRP Assumptions'!$E$373:$E$396,'PV_.PX.UTS._.PTC.2031'!$B15-2023,1)</f>
        <v>23.354616835439998</v>
      </c>
      <c r="F15" s="264"/>
      <c r="G15" s="264"/>
      <c r="H15" s="69"/>
      <c r="I15" s="68"/>
      <c r="J15" s="68"/>
      <c r="K15" s="69"/>
      <c r="L15" s="69"/>
      <c r="M15" s="68"/>
      <c r="Q15" s="78"/>
      <c r="R15" s="68"/>
      <c r="S15" s="68"/>
      <c r="V15" s="160"/>
      <c r="W15" s="78"/>
      <c r="X15" s="78"/>
      <c r="Y15" s="158"/>
      <c r="Z15" s="160"/>
      <c r="AA15" s="78"/>
      <c r="AB15" s="78"/>
    </row>
    <row r="16" spans="2:30">
      <c r="B16" s="67">
        <f t="shared" si="0"/>
        <v>2031</v>
      </c>
      <c r="C16" s="70">
        <f>$C$9*INDEX('2025 IRP Assumptions'!$E$192:$E$212,MATCH(B16,'2025 IRP Assumptions'!$S$192:$S$212,0),1)</f>
        <v>1120.9920826667001</v>
      </c>
      <c r="D16" s="232">
        <f>C16*$C$60</f>
        <v>76.911266791762301</v>
      </c>
      <c r="E16" s="68" cm="1">
        <f t="array" ref="E16">$E$9*INDEX('2025 IRP Assumptions'!$E$373:$E$396,'PV_.PX.UTS._.PTC.2031'!$B16-2023,1)</f>
        <v>23.863747481640001</v>
      </c>
      <c r="F16" s="264">
        <f>$D$58*(1+Inflation)^('PV_.PX.BDG._.PTC.2031'!$B16-VALUE(LEFT('PV_.PX.BDG._.PTC.2031'!$B$58,4)))</f>
        <v>2.6872828898456427</v>
      </c>
      <c r="G16" s="264"/>
      <c r="H16" s="69">
        <f t="shared" ref="H16:H46" si="1">(D16+E16+G16)/(8.76*$C$61)</f>
        <v>35.196896705670014</v>
      </c>
      <c r="I16" s="68"/>
      <c r="J16" s="68">
        <f>-J64</f>
        <v>-49.06</v>
      </c>
      <c r="K16" s="69">
        <f t="shared" ref="K16:K35" si="2">(H16+I16+J16)</f>
        <v>-13.863103294329989</v>
      </c>
      <c r="L16" s="69">
        <f t="shared" ref="L16:L46" si="3">ROUND(K16*$C$61*8.76,2)</f>
        <v>-39.69</v>
      </c>
      <c r="M16" s="68">
        <f t="shared" ref="M16:M35" si="4">(D16+E16+G16)</f>
        <v>100.77501427340231</v>
      </c>
      <c r="Q16" s="78"/>
      <c r="R16" s="68"/>
      <c r="S16" s="68"/>
      <c r="V16" s="160"/>
      <c r="W16" s="78"/>
      <c r="X16" s="78"/>
      <c r="Y16" s="158"/>
      <c r="Z16" s="160"/>
      <c r="AA16" s="78"/>
      <c r="AB16" s="78"/>
    </row>
    <row r="17" spans="2:28">
      <c r="B17" s="67">
        <f t="shared" si="0"/>
        <v>2032</v>
      </c>
      <c r="C17" s="70"/>
      <c r="D17" s="68" cm="1">
        <f t="array" ref="D17">D16*INDEX('2025 IRP Assumptions'!$E$373:$E$396,'PV_.PX.UTS._.PTC.2031'!$B17-2023,1)/INDEX('2025 IRP Assumptions'!$E$373:$E$396,'PV_.PX.UTS._.PTC.2031'!$B17-2023-1,1)</f>
        <v>78.587932386487694</v>
      </c>
      <c r="E17" s="68" cm="1">
        <f t="array" ref="E17">$E$9*INDEX('2025 IRP Assumptions'!$E$373:$E$396,'PV_.PX.UTS._.PTC.2031'!$B17-2023,1)</f>
        <v>24.383977170120001</v>
      </c>
      <c r="F17" s="264">
        <f>$D$58*(1+Inflation)^('PV_.PX.BDG._.PTC.2031'!$B17-VALUE(LEFT('PV_.PX.BDG._.PTC.2031'!$B$58,4)))</f>
        <v>2.7458656568442783</v>
      </c>
      <c r="G17" s="264"/>
      <c r="H17" s="69">
        <f t="shared" si="1"/>
        <v>35.964189044090077</v>
      </c>
      <c r="I17" s="68"/>
      <c r="J17" s="68">
        <f t="shared" ref="J17:J25" si="5">-J65</f>
        <v>-50.39</v>
      </c>
      <c r="K17" s="69">
        <f t="shared" si="2"/>
        <v>-14.425810955909924</v>
      </c>
      <c r="L17" s="69">
        <f t="shared" si="3"/>
        <v>-41.3</v>
      </c>
      <c r="M17" s="68">
        <f t="shared" si="4"/>
        <v>102.9719095566077</v>
      </c>
      <c r="Q17" s="78"/>
      <c r="R17" s="68"/>
      <c r="S17" s="68"/>
      <c r="U17" s="78"/>
      <c r="W17" s="78"/>
      <c r="X17" s="78"/>
      <c r="Z17" s="78"/>
      <c r="AA17" s="78"/>
      <c r="AB17" s="78"/>
    </row>
    <row r="18" spans="2:28">
      <c r="B18" s="67">
        <f t="shared" si="0"/>
        <v>2033</v>
      </c>
      <c r="C18" s="70"/>
      <c r="D18" s="68" cm="1">
        <f t="array" ref="D18">D17*INDEX('2025 IRP Assumptions'!$E$373:$E$396,'PV_.PX.UTS._.PTC.2031'!$B18-2023,1)/INDEX('2025 IRP Assumptions'!$E$373:$E$396,'PV_.PX.UTS._.PTC.2031'!$B18-2023-1,1)</f>
        <v>80.301149313452228</v>
      </c>
      <c r="E18" s="68" cm="1">
        <f t="array" ref="E18">$E$9*INDEX('2025 IRP Assumptions'!$E$373:$E$396,'PV_.PX.UTS._.PTC.2031'!$B18-2023,1)</f>
        <v>24.915547872719998</v>
      </c>
      <c r="F18" s="264">
        <f>$D$58*(1+Inflation)^('PV_.PX.BDG._.PTC.2031'!$B18-VALUE(LEFT('PV_.PX.BDG._.PTC.2031'!$B$58,4)))</f>
        <v>2.8057255281634839</v>
      </c>
      <c r="G18" s="264"/>
      <c r="H18" s="69">
        <f t="shared" si="1"/>
        <v>36.748208365681002</v>
      </c>
      <c r="I18" s="68"/>
      <c r="J18" s="68">
        <f t="shared" si="5"/>
        <v>-50.39</v>
      </c>
      <c r="K18" s="69">
        <f t="shared" si="2"/>
        <v>-13.641791634318999</v>
      </c>
      <c r="L18" s="69">
        <f t="shared" si="3"/>
        <v>-39.06</v>
      </c>
      <c r="M18" s="68">
        <f t="shared" si="4"/>
        <v>105.21669718617223</v>
      </c>
      <c r="Q18" s="78"/>
      <c r="R18" s="68"/>
      <c r="S18" s="68"/>
      <c r="U18" s="78"/>
      <c r="W18" s="78"/>
      <c r="X18" s="78"/>
      <c r="Z18" s="78"/>
      <c r="AA18" s="78"/>
      <c r="AB18" s="78"/>
    </row>
    <row r="19" spans="2:28">
      <c r="B19" s="67">
        <f t="shared" si="0"/>
        <v>2034</v>
      </c>
      <c r="C19" s="70"/>
      <c r="D19" s="68" cm="1">
        <f t="array" ref="D19">D18*INDEX('2025 IRP Assumptions'!$E$373:$E$396,'PV_.PX.UTS._.PTC.2031'!$B19-2023,1)/INDEX('2025 IRP Assumptions'!$E$373:$E$396,'PV_.PX.UTS._.PTC.2031'!$B19-2023-1,1)</f>
        <v>82.051714428350522</v>
      </c>
      <c r="E19" s="68" cm="1">
        <f t="array" ref="E19">$E$9*INDEX('2025 IRP Assumptions'!$E$373:$E$396,'PV_.PX.UTS._.PTC.2031'!$B19-2023,1)</f>
        <v>25.458706834919997</v>
      </c>
      <c r="F19" s="264">
        <f>$D$58*(1+Inflation)^('PV_.PX.BDG._.PTC.2031'!$B19-VALUE(LEFT('PV_.PX.BDG._.PTC.2031'!$B$58,4)))</f>
        <v>2.8668903446774481</v>
      </c>
      <c r="G19" s="264"/>
      <c r="H19" s="69">
        <f t="shared" si="1"/>
        <v>37.549319335448878</v>
      </c>
      <c r="I19" s="68"/>
      <c r="J19" s="68">
        <f t="shared" si="5"/>
        <v>-51.71</v>
      </c>
      <c r="K19" s="69">
        <f t="shared" si="2"/>
        <v>-14.160680664551123</v>
      </c>
      <c r="L19" s="69">
        <f t="shared" si="3"/>
        <v>-40.54</v>
      </c>
      <c r="M19" s="68">
        <f t="shared" si="4"/>
        <v>107.51042126327052</v>
      </c>
      <c r="Q19" s="78"/>
      <c r="R19" s="68"/>
      <c r="S19" s="68"/>
      <c r="U19" s="78"/>
      <c r="W19" s="78"/>
      <c r="X19" s="78"/>
      <c r="Z19" s="78"/>
      <c r="AA19" s="78"/>
      <c r="AB19" s="78"/>
    </row>
    <row r="20" spans="2:28">
      <c r="B20" s="67">
        <f t="shared" si="0"/>
        <v>2035</v>
      </c>
      <c r="C20" s="70"/>
      <c r="D20" s="68" cm="1">
        <f t="array" ref="D20">D19*INDEX('2025 IRP Assumptions'!$E$373:$E$396,'PV_.PX.UTS._.PTC.2031'!$B20-2023,1)/INDEX('2025 IRP Assumptions'!$E$373:$E$396,'PV_.PX.UTS._.PTC.2031'!$B20-2023-1,1)</f>
        <v>83.840441781870993</v>
      </c>
      <c r="E20" s="68" cm="1">
        <f t="array" ref="E20">$E$9*INDEX('2025 IRP Assumptions'!$E$373:$E$396,'PV_.PX.UTS._.PTC.2031'!$B20-2023,1)</f>
        <v>26.013706637399999</v>
      </c>
      <c r="F20" s="264">
        <f>$D$58*(1+Inflation)^('PV_.PX.BDG._.PTC.2031'!$B20-VALUE(LEFT('PV_.PX.BDG._.PTC.2031'!$B$58,4)))</f>
        <v>2.9293885541914162</v>
      </c>
      <c r="G20" s="264"/>
      <c r="H20" s="69">
        <f t="shared" si="1"/>
        <v>38.367894487343392</v>
      </c>
      <c r="I20" s="68"/>
      <c r="J20" s="68">
        <f t="shared" si="5"/>
        <v>-53.04</v>
      </c>
      <c r="K20" s="69">
        <f t="shared" si="2"/>
        <v>-14.672105512656607</v>
      </c>
      <c r="L20" s="69">
        <f t="shared" si="3"/>
        <v>-42.01</v>
      </c>
      <c r="M20" s="68">
        <f t="shared" si="4"/>
        <v>109.85414841927098</v>
      </c>
      <c r="Q20" s="78"/>
      <c r="R20" s="68"/>
      <c r="S20" s="68"/>
      <c r="U20" s="78"/>
      <c r="W20" s="78"/>
      <c r="X20" s="78"/>
      <c r="Z20" s="78"/>
      <c r="AA20" s="78"/>
      <c r="AB20" s="78"/>
    </row>
    <row r="21" spans="2:28">
      <c r="B21" s="67">
        <f t="shared" si="0"/>
        <v>2036</v>
      </c>
      <c r="C21" s="70"/>
      <c r="D21" s="68" cm="1">
        <f t="array" ref="D21">D20*INDEX('2025 IRP Assumptions'!$E$373:$E$396,'PV_.PX.UTS._.PTC.2031'!$B21-2023,1)/INDEX('2025 IRP Assumptions'!$E$373:$E$396,'PV_.PX.UTS._.PTC.2031'!$B21-2023-1,1)</f>
        <v>85.668163413310992</v>
      </c>
      <c r="E21" s="68" cm="1">
        <f t="array" ref="E21">$E$9*INDEX('2025 IRP Assumptions'!$E$373:$E$396,'PV_.PX.UTS._.PTC.2031'!$B21-2023,1)</f>
        <v>26.580805442279999</v>
      </c>
      <c r="F21" s="264">
        <f>$D$58*(1+Inflation)^('PV_.PX.BDG._.PTC.2031'!$B21-VALUE(LEFT('PV_.PX.BDG._.PTC.2031'!$B$58,4)))</f>
        <v>2.9932492246727898</v>
      </c>
      <c r="G21" s="264"/>
      <c r="H21" s="69">
        <f t="shared" si="1"/>
        <v>39.204314587439868</v>
      </c>
      <c r="I21" s="68"/>
      <c r="J21" s="68">
        <f t="shared" si="5"/>
        <v>-54.37</v>
      </c>
      <c r="K21" s="69">
        <f t="shared" si="2"/>
        <v>-15.16568541256013</v>
      </c>
      <c r="L21" s="69">
        <f t="shared" si="3"/>
        <v>-43.42</v>
      </c>
      <c r="M21" s="68">
        <f t="shared" si="4"/>
        <v>112.24896885559099</v>
      </c>
      <c r="Q21" s="78"/>
      <c r="R21" s="68"/>
      <c r="S21" s="68"/>
      <c r="U21" s="78"/>
      <c r="W21" s="78"/>
      <c r="X21" s="78"/>
      <c r="Z21" s="78"/>
      <c r="AA21" s="78"/>
      <c r="AB21" s="78"/>
    </row>
    <row r="22" spans="2:28">
      <c r="B22" s="67">
        <f t="shared" si="0"/>
        <v>2037</v>
      </c>
      <c r="C22" s="70"/>
      <c r="D22" s="68" cm="1">
        <f t="array" ref="D22">D21*INDEX('2025 IRP Assumptions'!$E$373:$E$396,'PV_.PX.UTS._.PTC.2031'!$B22-2023,1)/INDEX('2025 IRP Assumptions'!$E$373:$E$396,'PV_.PX.UTS._.PTC.2031'!$B22-2023-1,1)</f>
        <v>87.535729350576801</v>
      </c>
      <c r="E22" s="68" cm="1">
        <f t="array" ref="E22">$E$9*INDEX('2025 IRP Assumptions'!$E$373:$E$396,'PV_.PX.UTS._.PTC.2031'!$B22-2023,1)</f>
        <v>27.160266993119997</v>
      </c>
      <c r="F22" s="264">
        <f>$D$58*(1+Inflation)^('PV_.PX.BDG._.PTC.2031'!$B22-VALUE(LEFT('PV_.PX.BDG._.PTC.2031'!$B$58,4)))</f>
        <v>3.0585020577706565</v>
      </c>
      <c r="G22" s="264"/>
      <c r="H22" s="69">
        <f t="shared" si="1"/>
        <v>40.058968633939237</v>
      </c>
      <c r="I22" s="68"/>
      <c r="J22" s="68">
        <f t="shared" si="5"/>
        <v>-55.69</v>
      </c>
      <c r="K22" s="69">
        <f t="shared" si="2"/>
        <v>-15.63103136606076</v>
      </c>
      <c r="L22" s="69">
        <f t="shared" si="3"/>
        <v>-44.75</v>
      </c>
      <c r="M22" s="68">
        <f t="shared" si="4"/>
        <v>114.69599634369681</v>
      </c>
      <c r="Q22" s="78"/>
      <c r="R22" s="68"/>
      <c r="S22" s="68"/>
      <c r="U22" s="78"/>
      <c r="W22" s="78"/>
      <c r="X22" s="78"/>
      <c r="Z22" s="78"/>
      <c r="AA22" s="78"/>
      <c r="AB22" s="78"/>
    </row>
    <row r="23" spans="2:28">
      <c r="B23" s="67">
        <f t="shared" si="0"/>
        <v>2038</v>
      </c>
      <c r="C23" s="70"/>
      <c r="D23" s="68" cm="1">
        <f t="array" ref="D23">D22*INDEX('2025 IRP Assumptions'!$E$373:$E$396,'PV_.PX.UTS._.PTC.2031'!$B23-2023,1)/INDEX('2025 IRP Assumptions'!$E$373:$E$396,'PV_.PX.UTS._.PTC.2031'!$B23-2023-1,1)</f>
        <v>89.44400827152954</v>
      </c>
      <c r="E23" s="68" cm="1">
        <f t="array" ref="E23">$E$9*INDEX('2025 IRP Assumptions'!$E$373:$E$396,'PV_.PX.UTS._.PTC.2031'!$B23-2023,1)</f>
        <v>27.75236082012</v>
      </c>
      <c r="F23" s="264">
        <f>$D$58*(1+Inflation)^('PV_.PX.BDG._.PTC.2031'!$B23-VALUE(LEFT('PV_.PX.BDG._.PTC.2031'!$B$58,4)))</f>
        <v>3.1251774026300572</v>
      </c>
      <c r="G23" s="264"/>
      <c r="H23" s="69">
        <f t="shared" si="1"/>
        <v>40.932254159819756</v>
      </c>
      <c r="I23" s="68"/>
      <c r="J23" s="68">
        <f t="shared" si="5"/>
        <v>-55.69</v>
      </c>
      <c r="K23" s="69">
        <f t="shared" si="2"/>
        <v>-14.757745840180242</v>
      </c>
      <c r="L23" s="69">
        <f t="shared" si="3"/>
        <v>-42.25</v>
      </c>
      <c r="M23" s="68">
        <f t="shared" si="4"/>
        <v>117.19636909164954</v>
      </c>
      <c r="Q23" s="78"/>
      <c r="R23" s="68"/>
      <c r="S23" s="68"/>
      <c r="U23" s="78"/>
      <c r="W23" s="78"/>
      <c r="X23" s="78"/>
      <c r="Z23" s="78"/>
      <c r="AA23" s="78"/>
      <c r="AB23" s="78"/>
    </row>
    <row r="24" spans="2:28">
      <c r="B24" s="67">
        <f t="shared" si="0"/>
        <v>2039</v>
      </c>
      <c r="C24" s="70"/>
      <c r="D24" s="68" cm="1">
        <f t="array" ref="D24">D23*INDEX('2025 IRP Assumptions'!$E$373:$E$396,'PV_.PX.UTS._.PTC.2031'!$B24-2023,1)/INDEX('2025 IRP Assumptions'!$E$373:$E$396,'PV_.PX.UTS._.PTC.2031'!$B24-2023-1,1)</f>
        <v>91.393887636254348</v>
      </c>
      <c r="E24" s="68" cm="1">
        <f t="array" ref="E24">$E$9*INDEX('2025 IRP Assumptions'!$E$373:$E$396,'PV_.PX.UTS._.PTC.2031'!$B24-2023,1)</f>
        <v>28.35736228116</v>
      </c>
      <c r="F24" s="264">
        <f>$D$58*(1+Inflation)^('PV_.PX.BDG._.PTC.2031'!$B24-VALUE(LEFT('PV_.PX.BDG._.PTC.2031'!$B$58,4)))</f>
        <v>3.1933062700073926</v>
      </c>
      <c r="G24" s="264"/>
      <c r="H24" s="69">
        <f t="shared" si="1"/>
        <v>41.824577293367305</v>
      </c>
      <c r="I24" s="68"/>
      <c r="J24" s="68">
        <f t="shared" si="5"/>
        <v>-57.02</v>
      </c>
      <c r="K24" s="69">
        <f t="shared" si="2"/>
        <v>-15.195422706632698</v>
      </c>
      <c r="L24" s="69">
        <f t="shared" si="3"/>
        <v>-43.51</v>
      </c>
      <c r="M24" s="68">
        <f t="shared" si="4"/>
        <v>119.75124991741436</v>
      </c>
      <c r="Q24" s="78"/>
      <c r="R24" s="68"/>
      <c r="S24" s="68"/>
      <c r="U24" s="78"/>
      <c r="W24" s="78"/>
      <c r="X24" s="78"/>
      <c r="Z24" s="78"/>
      <c r="AA24" s="78"/>
      <c r="AB24" s="78"/>
    </row>
    <row r="25" spans="2:28">
      <c r="B25" s="67">
        <f t="shared" si="0"/>
        <v>2040</v>
      </c>
      <c r="C25" s="70"/>
      <c r="D25" s="68" cm="1">
        <f t="array" ref="D25">D24*INDEX('2025 IRP Assumptions'!$E$373:$E$396,'PV_.PX.UTS._.PTC.2031'!$B25-2023,1)/INDEX('2025 IRP Assumptions'!$E$373:$E$396,'PV_.PX.UTS._.PTC.2031'!$B25-2023-1,1)</f>
        <v>93.386274414540893</v>
      </c>
      <c r="E25" s="68" cm="1">
        <f t="array" ref="E25">$E$9*INDEX('2025 IRP Assumptions'!$E$373:$E$396,'PV_.PX.UTS._.PTC.2031'!$B25-2023,1)</f>
        <v>28.975552787519998</v>
      </c>
      <c r="F25" s="264">
        <f>$D$58*(1+Inflation)^('PV_.PX.BDG._.PTC.2031'!$B25-VALUE(LEFT('PV_.PX.BDG._.PTC.2031'!$B$58,4)))</f>
        <v>3.2629203466935541</v>
      </c>
      <c r="G25" s="264"/>
      <c r="H25" s="69">
        <f t="shared" si="1"/>
        <v>42.736353091092234</v>
      </c>
      <c r="I25" s="68"/>
      <c r="J25" s="68">
        <f t="shared" si="5"/>
        <v>-58.35</v>
      </c>
      <c r="K25" s="69">
        <f t="shared" si="2"/>
        <v>-15.613646908907768</v>
      </c>
      <c r="L25" s="69">
        <f t="shared" si="3"/>
        <v>-44.7</v>
      </c>
      <c r="M25" s="68">
        <f t="shared" si="4"/>
        <v>122.36182720206089</v>
      </c>
      <c r="Q25" s="78"/>
      <c r="R25" s="68"/>
      <c r="S25" s="68"/>
      <c r="U25" s="78"/>
      <c r="W25" s="78"/>
      <c r="X25" s="78"/>
      <c r="Z25" s="78"/>
      <c r="AA25" s="78"/>
      <c r="AB25" s="78"/>
    </row>
    <row r="26" spans="2:28">
      <c r="B26" s="67">
        <f t="shared" si="0"/>
        <v>2041</v>
      </c>
      <c r="C26" s="70"/>
      <c r="D26" s="68" cm="1">
        <f t="array" ref="D26">D25*INDEX('2025 IRP Assumptions'!$E$373:$E$396,'PV_.PX.UTS._.PTC.2031'!$B26-2023,1)/INDEX('2025 IRP Assumptions'!$E$373:$E$396,'PV_.PX.UTS._.PTC.2031'!$B26-2023-1,1)</f>
        <v>95.422095152017988</v>
      </c>
      <c r="E26" s="68" cm="1">
        <f t="array" ref="E26">$E$9*INDEX('2025 IRP Assumptions'!$E$373:$E$396,'PV_.PX.UTS._.PTC.2031'!$B26-2023,1)</f>
        <v>29.607219824399998</v>
      </c>
      <c r="F26" s="264">
        <f>$D$58*(1+Inflation)^('PV_.PX.BDG._.PTC.2031'!$B26-VALUE(LEFT('PV_.PX.BDG._.PTC.2031'!$B$58,4)))</f>
        <v>3.3340520102514746</v>
      </c>
      <c r="G26" s="264"/>
      <c r="H26" s="69">
        <f t="shared" si="1"/>
        <v>43.668005567994577</v>
      </c>
      <c r="I26" s="68"/>
      <c r="J26" s="68"/>
      <c r="K26" s="69">
        <f t="shared" si="2"/>
        <v>43.668005567994577</v>
      </c>
      <c r="L26" s="69">
        <f t="shared" si="3"/>
        <v>125.03</v>
      </c>
      <c r="M26" s="68">
        <f t="shared" si="4"/>
        <v>125.02931497641799</v>
      </c>
      <c r="Q26" s="78"/>
      <c r="R26" s="68"/>
      <c r="S26" s="68"/>
    </row>
    <row r="27" spans="2:28">
      <c r="B27" s="67">
        <f t="shared" si="0"/>
        <v>2042</v>
      </c>
      <c r="C27" s="70"/>
      <c r="D27" s="68" cm="1">
        <f t="array" ref="D27">D26*INDEX('2025 IRP Assumptions'!$E$373:$E$396,'PV_.PX.UTS._.PTC.2031'!$B27-2023,1)/INDEX('2025 IRP Assumptions'!$E$373:$E$396,'PV_.PX.UTS._.PTC.2031'!$B27-2023-1,1)</f>
        <v>97.502296829903244</v>
      </c>
      <c r="E27" s="68" cm="1">
        <f t="array" ref="E27">$E$9*INDEX('2025 IRP Assumptions'!$E$373:$E$396,'PV_.PX.UTS._.PTC.2031'!$B27-2023,1)</f>
        <v>30.252657217679999</v>
      </c>
      <c r="F27" s="264">
        <f>$D$58*(1+Inflation)^('PV_.PX.BDG._.PTC.2031'!$B27-VALUE(LEFT('PV_.PX.BDG._.PTC.2031'!$B$58,4)))</f>
        <v>3.4067343440749567</v>
      </c>
      <c r="G27" s="264"/>
      <c r="H27" s="69">
        <f t="shared" si="1"/>
        <v>44.619968091011174</v>
      </c>
      <c r="I27" s="68"/>
      <c r="J27" s="68"/>
      <c r="K27" s="69">
        <f t="shared" si="2"/>
        <v>44.619968091011174</v>
      </c>
      <c r="L27" s="69">
        <f t="shared" si="3"/>
        <v>127.75</v>
      </c>
      <c r="M27" s="68">
        <f t="shared" si="4"/>
        <v>127.75495404758324</v>
      </c>
      <c r="Q27" s="78"/>
      <c r="R27" s="68"/>
      <c r="S27" s="68"/>
    </row>
    <row r="28" spans="2:28">
      <c r="B28" s="67">
        <f t="shared" si="0"/>
        <v>2043</v>
      </c>
      <c r="C28" s="70"/>
      <c r="D28" s="68" cm="1">
        <f t="array" ref="D28">D27*INDEX('2025 IRP Assumptions'!$E$373:$E$396,'PV_.PX.UTS._.PTC.2031'!$B28-2023,1)/INDEX('2025 IRP Assumptions'!$E$373:$E$396,'PV_.PX.UTS._.PTC.2031'!$B28-2023-1,1)</f>
        <v>99.627846931137697</v>
      </c>
      <c r="E28" s="68" cm="1">
        <f t="array" ref="E28">$E$9*INDEX('2025 IRP Assumptions'!$E$373:$E$396,'PV_.PX.UTS._.PTC.2031'!$B28-2023,1)</f>
        <v>30.91216515444</v>
      </c>
      <c r="F28" s="264">
        <f>$D$58*(1+Inflation)^('PV_.PX.BDG._.PTC.2031'!$B28-VALUE(LEFT('PV_.PX.BDG._.PTC.2031'!$B$58,4)))</f>
        <v>3.4810011527757907</v>
      </c>
      <c r="G28" s="264"/>
      <c r="H28" s="69">
        <f t="shared" si="1"/>
        <v>45.592683409280887</v>
      </c>
      <c r="I28" s="68"/>
      <c r="J28" s="68"/>
      <c r="K28" s="69">
        <f t="shared" si="2"/>
        <v>45.592683409280887</v>
      </c>
      <c r="L28" s="69">
        <f t="shared" si="3"/>
        <v>130.54</v>
      </c>
      <c r="M28" s="68">
        <f t="shared" si="4"/>
        <v>130.5400120855777</v>
      </c>
      <c r="Q28" s="78"/>
      <c r="R28" s="68"/>
      <c r="S28" s="68"/>
    </row>
    <row r="29" spans="2:28">
      <c r="B29" s="67">
        <f t="shared" si="0"/>
        <v>2044</v>
      </c>
      <c r="C29" s="70"/>
      <c r="D29" s="68" cm="1">
        <f t="array" ref="D29">D28*INDEX('2025 IRP Assumptions'!$E$373:$E$396,'PV_.PX.UTS._.PTC.2031'!$B29-2023,1)/INDEX('2025 IRP Assumptions'!$E$373:$E$396,'PV_.PX.UTS._.PTC.2031'!$B29-2023-1,1)</f>
        <v>101.79973396946248</v>
      </c>
      <c r="E29" s="68" cm="1">
        <f t="array" ref="E29">$E$9*INDEX('2025 IRP Assumptions'!$E$373:$E$396,'PV_.PX.UTS._.PTC.2031'!$B29-2023,1)</f>
        <v>31.58605034712</v>
      </c>
      <c r="F29" s="264">
        <f>$D$58*(1+Inflation)^('PV_.PX.BDG._.PTC.2031'!$B29-VALUE(LEFT('PV_.PX.BDG._.PTC.2031'!$B$58,4)))</f>
        <v>3.5568869779063035</v>
      </c>
      <c r="G29" s="264"/>
      <c r="H29" s="69">
        <f t="shared" si="1"/>
        <v>46.586603896265878</v>
      </c>
      <c r="I29" s="68"/>
      <c r="J29" s="68"/>
      <c r="K29" s="69">
        <f t="shared" si="2"/>
        <v>46.586603896265878</v>
      </c>
      <c r="L29" s="69">
        <f t="shared" si="3"/>
        <v>133.38999999999999</v>
      </c>
      <c r="M29" s="68">
        <f t="shared" si="4"/>
        <v>133.38578431658249</v>
      </c>
      <c r="Q29" s="78"/>
      <c r="R29" s="68"/>
      <c r="S29" s="68"/>
    </row>
    <row r="30" spans="2:28">
      <c r="B30" s="67">
        <f t="shared" si="0"/>
        <v>2045</v>
      </c>
      <c r="C30" s="70"/>
      <c r="D30" s="68" cm="1">
        <f t="array" ref="D30">D29*INDEX('2025 IRP Assumptions'!$E$373:$E$396,'PV_.PX.UTS._.PTC.2031'!$B30-2023,1)/INDEX('2025 IRP Assumptions'!$E$373:$E$396,'PV_.PX.UTS._.PTC.2031'!$B30-2023-1,1)</f>
        <v>104.01896821689942</v>
      </c>
      <c r="E30" s="68" cm="1">
        <f t="array" ref="E30">$E$9*INDEX('2025 IRP Assumptions'!$E$373:$E$396,'PV_.PX.UTS._.PTC.2031'!$B30-2023,1)</f>
        <v>32.274626259240002</v>
      </c>
      <c r="F30" s="264">
        <f>$D$58*(1+Inflation)^('PV_.PX.BDG._.PTC.2031'!$B30-VALUE(LEFT('PV_.PX.BDG._.PTC.2031'!$B$58,4)))</f>
        <v>3.6344271140246613</v>
      </c>
      <c r="G30" s="264"/>
      <c r="H30" s="69">
        <f t="shared" si="1"/>
        <v>47.602191882668528</v>
      </c>
      <c r="I30" s="68"/>
      <c r="J30" s="68"/>
      <c r="K30" s="69">
        <f t="shared" si="2"/>
        <v>47.602191882668528</v>
      </c>
      <c r="L30" s="69">
        <f t="shared" si="3"/>
        <v>136.29</v>
      </c>
      <c r="M30" s="68">
        <f t="shared" si="4"/>
        <v>136.29359447613942</v>
      </c>
      <c r="Q30" s="78"/>
      <c r="R30" s="68"/>
      <c r="S30" s="68"/>
    </row>
    <row r="31" spans="2:28">
      <c r="B31" s="67">
        <f t="shared" si="0"/>
        <v>2046</v>
      </c>
      <c r="C31" s="70"/>
      <c r="D31" s="68" cm="1">
        <f t="array" ref="D31">D30*INDEX('2025 IRP Assumptions'!$E$373:$E$396,'PV_.PX.UTS._.PTC.2031'!$B31-2023,1)/INDEX('2025 IRP Assumptions'!$E$373:$E$396,'PV_.PX.UTS._.PTC.2031'!$B31-2023-1,1)</f>
        <v>106.28658170375095</v>
      </c>
      <c r="E31" s="68" cm="1">
        <f t="array" ref="E31">$E$9*INDEX('2025 IRP Assumptions'!$E$373:$E$396,'PV_.PX.UTS._.PTC.2031'!$B31-2023,1)</f>
        <v>32.978213105400002</v>
      </c>
      <c r="F31" s="264">
        <f>$D$58*(1+Inflation)^('PV_.PX.BDG._.PTC.2031'!$B31-VALUE(LEFT('PV_.PX.BDG._.PTC.2031'!$B$58,4)))</f>
        <v>3.713657625110399</v>
      </c>
      <c r="G31" s="264"/>
      <c r="H31" s="69">
        <f t="shared" si="1"/>
        <v>48.639919656431395</v>
      </c>
      <c r="I31" s="68"/>
      <c r="J31" s="68"/>
      <c r="K31" s="69">
        <f t="shared" si="2"/>
        <v>48.639919656431395</v>
      </c>
      <c r="L31" s="69">
        <f t="shared" si="3"/>
        <v>139.26</v>
      </c>
      <c r="M31" s="68">
        <f t="shared" si="4"/>
        <v>139.26479480915094</v>
      </c>
      <c r="Q31" s="78"/>
      <c r="R31" s="68"/>
      <c r="S31" s="68"/>
    </row>
    <row r="32" spans="2:28">
      <c r="B32" s="67">
        <f t="shared" si="0"/>
        <v>2047</v>
      </c>
      <c r="C32" s="70"/>
      <c r="D32" s="68" cm="1">
        <f t="array" ref="D32">D31*INDEX('2025 IRP Assumptions'!$E$373:$E$396,'PV_.PX.UTS._.PTC.2031'!$B32-2023,1)/INDEX('2025 IRP Assumptions'!$E$373:$E$396,'PV_.PX.UTS._.PTC.2031'!$B32-2023-1,1)</f>
        <v>108.6036291444845</v>
      </c>
      <c r="E32" s="68" cm="1">
        <f t="array" ref="E32">$E$9*INDEX('2025 IRP Assumptions'!$E$373:$E$396,'PV_.PX.UTS._.PTC.2031'!$B32-2023,1)</f>
        <v>33.69713813856</v>
      </c>
      <c r="F32" s="264">
        <f>$D$58*(1+Inflation)^('PV_.PX.BDG._.PTC.2031'!$B32-VALUE(LEFT('PV_.PX.BDG._.PTC.2031'!$B$58,4)))</f>
        <v>3.7946153613378062</v>
      </c>
      <c r="G32" s="264"/>
      <c r="H32" s="69">
        <f t="shared" si="1"/>
        <v>49.700269886449597</v>
      </c>
      <c r="I32" s="68"/>
      <c r="J32" s="68"/>
      <c r="K32" s="69">
        <f t="shared" si="2"/>
        <v>49.700269886449597</v>
      </c>
      <c r="L32" s="69">
        <f t="shared" si="3"/>
        <v>142.30000000000001</v>
      </c>
      <c r="M32" s="68">
        <f t="shared" si="4"/>
        <v>142.30076728304451</v>
      </c>
      <c r="Q32" s="78"/>
      <c r="R32" s="68"/>
      <c r="S32" s="68"/>
    </row>
    <row r="33" spans="2:19" ht="15">
      <c r="B33" s="67">
        <f t="shared" si="0"/>
        <v>2048</v>
      </c>
      <c r="C33" s="70"/>
      <c r="D33" s="259">
        <f t="shared" ref="D33:E35" si="6">D32*D32/D31</f>
        <v>110.97118821854514</v>
      </c>
      <c r="E33" s="259">
        <f t="shared" si="6"/>
        <v>34.431735737169561</v>
      </c>
      <c r="F33" s="259">
        <f t="shared" ref="F33" si="7">F32*F32/F31</f>
        <v>3.8773379762149709</v>
      </c>
      <c r="G33" s="264"/>
      <c r="H33" s="69">
        <f t="shared" si="1"/>
        <v>50.78373575107905</v>
      </c>
      <c r="I33" s="68"/>
      <c r="J33" s="68"/>
      <c r="K33" s="69">
        <f t="shared" si="2"/>
        <v>50.78373575107905</v>
      </c>
      <c r="L33" s="69">
        <f t="shared" si="3"/>
        <v>145.4</v>
      </c>
      <c r="M33" s="68">
        <f t="shared" si="4"/>
        <v>145.4029239557147</v>
      </c>
      <c r="Q33" s="78"/>
      <c r="R33" s="68"/>
      <c r="S33" s="68"/>
    </row>
    <row r="34" spans="2:19" ht="15">
      <c r="B34" s="67">
        <f t="shared" si="0"/>
        <v>2049</v>
      </c>
      <c r="C34" s="70"/>
      <c r="D34" s="259">
        <f t="shared" si="6"/>
        <v>113.39036007952019</v>
      </c>
      <c r="E34" s="259">
        <f t="shared" si="6"/>
        <v>35.182347563149534</v>
      </c>
      <c r="F34" s="259">
        <f t="shared" ref="F34" si="8">F33*F33/F32</f>
        <v>3.9618639440964576</v>
      </c>
      <c r="G34" s="264"/>
      <c r="H34" s="69">
        <f t="shared" si="1"/>
        <v>51.890821171145525</v>
      </c>
      <c r="I34" s="68"/>
      <c r="J34" s="68"/>
      <c r="K34" s="69">
        <f t="shared" si="2"/>
        <v>51.890821171145525</v>
      </c>
      <c r="L34" s="69">
        <f t="shared" si="3"/>
        <v>148.57</v>
      </c>
      <c r="M34" s="68">
        <f t="shared" si="4"/>
        <v>148.57270764266974</v>
      </c>
      <c r="Q34" s="78"/>
      <c r="R34" s="68"/>
      <c r="S34" s="68"/>
    </row>
    <row r="35" spans="2:19" ht="15">
      <c r="B35" s="67">
        <f t="shared" si="0"/>
        <v>2050</v>
      </c>
      <c r="C35" s="70"/>
      <c r="D35" s="259">
        <f t="shared" si="6"/>
        <v>115.86226988614479</v>
      </c>
      <c r="E35" s="259">
        <f t="shared" si="6"/>
        <v>35.9493227266505</v>
      </c>
      <c r="F35" s="259">
        <f t="shared" ref="F35" si="9">F34*F34/F33</f>
        <v>4.0482325780777604</v>
      </c>
      <c r="G35" s="264"/>
      <c r="H35" s="69">
        <f t="shared" si="1"/>
        <v>53.022041052948552</v>
      </c>
      <c r="I35" s="68"/>
      <c r="J35" s="68"/>
      <c r="K35" s="69">
        <f t="shared" si="2"/>
        <v>53.022041052948552</v>
      </c>
      <c r="L35" s="69">
        <f t="shared" si="3"/>
        <v>151.81</v>
      </c>
      <c r="M35" s="68">
        <f t="shared" si="4"/>
        <v>151.81159261279529</v>
      </c>
      <c r="Q35" s="78"/>
      <c r="R35" s="68"/>
      <c r="S35" s="68"/>
    </row>
    <row r="36" spans="2:19" ht="15">
      <c r="B36" s="67">
        <f t="shared" si="0"/>
        <v>2051</v>
      </c>
      <c r="C36" s="70"/>
      <c r="D36" s="259">
        <f t="shared" ref="D36:F36" si="10">D35*D35/D34</f>
        <v>118.38806732561402</v>
      </c>
      <c r="E36" s="259">
        <f t="shared" si="10"/>
        <v>36.733017948424198</v>
      </c>
      <c r="F36" s="259">
        <f t="shared" si="10"/>
        <v>4.1364840482798559</v>
      </c>
      <c r="G36" s="264"/>
      <c r="H36" s="69">
        <f t="shared" si="1"/>
        <v>54.177921527744807</v>
      </c>
      <c r="I36" s="68"/>
      <c r="J36" s="68"/>
      <c r="K36" s="69">
        <f t="shared" ref="K36:K46" si="11">(H36+I36+J36)</f>
        <v>54.177921527744807</v>
      </c>
      <c r="L36" s="69">
        <f t="shared" si="3"/>
        <v>155.12</v>
      </c>
      <c r="M36" s="68">
        <f t="shared" ref="M36:M46" si="12">(D36+E36+G36)</f>
        <v>155.12108527403822</v>
      </c>
      <c r="Q36" s="78"/>
      <c r="R36" s="68"/>
      <c r="S36" s="68"/>
    </row>
    <row r="37" spans="2:19" ht="15">
      <c r="B37" s="67">
        <f t="shared" si="0"/>
        <v>2052</v>
      </c>
      <c r="C37" s="70"/>
      <c r="D37" s="259">
        <f t="shared" ref="D37:F37" si="13">D36*D36/D35</f>
        <v>120.96892714830341</v>
      </c>
      <c r="E37" s="259">
        <f t="shared" si="13"/>
        <v>37.533797725734615</v>
      </c>
      <c r="F37" s="259">
        <f t="shared" si="13"/>
        <v>4.2266594005323572</v>
      </c>
      <c r="G37" s="264"/>
      <c r="H37" s="69">
        <f t="shared" si="1"/>
        <v>55.359000196452179</v>
      </c>
      <c r="I37" s="68"/>
      <c r="J37" s="68"/>
      <c r="K37" s="69">
        <f t="shared" si="11"/>
        <v>55.359000196452179</v>
      </c>
      <c r="L37" s="69">
        <f t="shared" si="3"/>
        <v>158.5</v>
      </c>
      <c r="M37" s="68">
        <f t="shared" si="12"/>
        <v>158.50272487403802</v>
      </c>
      <c r="Q37" s="78"/>
      <c r="R37" s="68"/>
      <c r="S37" s="68"/>
    </row>
    <row r="38" spans="2:19" ht="15">
      <c r="B38" s="67">
        <f t="shared" si="0"/>
        <v>2053</v>
      </c>
      <c r="C38" s="70"/>
      <c r="D38" s="259">
        <f t="shared" ref="D38:F38" si="14">D37*D37/D36</f>
        <v>123.60604971414624</v>
      </c>
      <c r="E38" s="259">
        <f t="shared" si="14"/>
        <v>38.35203450188596</v>
      </c>
      <c r="F38" s="259">
        <f t="shared" si="14"/>
        <v>4.3188005754639631</v>
      </c>
      <c r="G38" s="264"/>
      <c r="H38" s="69">
        <f t="shared" si="1"/>
        <v>56.565826379688353</v>
      </c>
      <c r="I38" s="68"/>
      <c r="J38" s="68"/>
      <c r="K38" s="69">
        <f t="shared" si="11"/>
        <v>56.565826379688353</v>
      </c>
      <c r="L38" s="69">
        <f t="shared" si="3"/>
        <v>161.96</v>
      </c>
      <c r="M38" s="68">
        <f t="shared" si="12"/>
        <v>161.9580842160322</v>
      </c>
      <c r="Q38" s="78"/>
      <c r="R38" s="68"/>
      <c r="S38" s="68"/>
    </row>
    <row r="39" spans="2:19" ht="15">
      <c r="B39" s="67">
        <f t="shared" si="0"/>
        <v>2054</v>
      </c>
      <c r="C39" s="70"/>
      <c r="D39" s="259">
        <f t="shared" ref="D39:F39" si="15">D38*D38/D37</f>
        <v>126.30066155092186</v>
      </c>
      <c r="E39" s="259">
        <f t="shared" si="15"/>
        <v>39.188108839446329</v>
      </c>
      <c r="F39" s="259">
        <f t="shared" si="15"/>
        <v>4.4129504280090783</v>
      </c>
      <c r="G39" s="264"/>
      <c r="H39" s="69">
        <f t="shared" si="1"/>
        <v>57.798961373260262</v>
      </c>
      <c r="I39" s="68"/>
      <c r="J39" s="68"/>
      <c r="K39" s="69">
        <f t="shared" si="11"/>
        <v>57.798961373260262</v>
      </c>
      <c r="L39" s="69">
        <f t="shared" si="3"/>
        <v>165.49</v>
      </c>
      <c r="M39" s="68">
        <f t="shared" si="12"/>
        <v>165.48877039036819</v>
      </c>
      <c r="Q39" s="78"/>
      <c r="R39" s="68"/>
      <c r="S39" s="68"/>
    </row>
    <row r="40" spans="2:19" ht="15">
      <c r="B40" s="67">
        <f t="shared" si="0"/>
        <v>2055</v>
      </c>
      <c r="C40" s="70"/>
      <c r="D40" s="259">
        <f t="shared" ref="D40:F40" si="16">D39*D39/D38</f>
        <v>129.05401592471475</v>
      </c>
      <c r="E40" s="259">
        <f t="shared" si="16"/>
        <v>40.042409597247648</v>
      </c>
      <c r="F40" s="259">
        <f t="shared" si="16"/>
        <v>4.5091527473396775</v>
      </c>
      <c r="G40" s="264"/>
      <c r="H40" s="69">
        <f t="shared" si="1"/>
        <v>59.058978709223226</v>
      </c>
      <c r="I40" s="68"/>
      <c r="J40" s="68"/>
      <c r="K40" s="69">
        <f t="shared" si="11"/>
        <v>59.058978709223226</v>
      </c>
      <c r="L40" s="69">
        <f t="shared" si="3"/>
        <v>169.1</v>
      </c>
      <c r="M40" s="68">
        <f t="shared" si="12"/>
        <v>169.0964255219624</v>
      </c>
      <c r="Q40" s="78"/>
      <c r="R40" s="68"/>
      <c r="S40" s="68"/>
    </row>
    <row r="41" spans="2:19" ht="15">
      <c r="B41" s="67">
        <f t="shared" si="0"/>
        <v>2056</v>
      </c>
      <c r="C41" s="70"/>
      <c r="D41" s="259">
        <f t="shared" ref="D41:F41" si="17">D40*D40/D39</f>
        <v>131.86739342280956</v>
      </c>
      <c r="E41" s="259">
        <f t="shared" si="17"/>
        <v>40.915334111244249</v>
      </c>
      <c r="F41" s="259">
        <f t="shared" si="17"/>
        <v>4.6074522772316833</v>
      </c>
      <c r="G41" s="264"/>
      <c r="H41" s="69">
        <f t="shared" si="1"/>
        <v>60.346464422631144</v>
      </c>
      <c r="I41" s="68"/>
      <c r="J41" s="68"/>
      <c r="K41" s="69">
        <f t="shared" si="11"/>
        <v>60.346464422631144</v>
      </c>
      <c r="L41" s="69">
        <f t="shared" si="3"/>
        <v>172.78</v>
      </c>
      <c r="M41" s="68">
        <f t="shared" si="12"/>
        <v>172.78272753405381</v>
      </c>
      <c r="Q41" s="78"/>
      <c r="R41" s="68"/>
      <c r="S41" s="68"/>
    </row>
    <row r="42" spans="2:19" ht="15">
      <c r="B42" s="67">
        <f t="shared" si="0"/>
        <v>2057</v>
      </c>
      <c r="C42" s="70"/>
      <c r="D42" s="259">
        <f t="shared" ref="D42:F42" si="18">D41*D41/D40</f>
        <v>134.74210254929324</v>
      </c>
      <c r="E42" s="259">
        <f t="shared" si="18"/>
        <v>41.807288379314109</v>
      </c>
      <c r="F42" s="259">
        <f t="shared" si="18"/>
        <v>4.7078947368753354</v>
      </c>
      <c r="G42" s="264"/>
      <c r="H42" s="69">
        <f t="shared" si="1"/>
        <v>61.662017324101882</v>
      </c>
      <c r="I42" s="68"/>
      <c r="J42" s="68"/>
      <c r="K42" s="69">
        <f t="shared" si="11"/>
        <v>61.662017324101882</v>
      </c>
      <c r="L42" s="69">
        <f t="shared" si="3"/>
        <v>176.55</v>
      </c>
      <c r="M42" s="68">
        <f t="shared" si="12"/>
        <v>176.54939092860735</v>
      </c>
      <c r="Q42" s="78"/>
      <c r="R42" s="68"/>
      <c r="S42" s="68"/>
    </row>
    <row r="43" spans="2:19" ht="15">
      <c r="B43" s="67">
        <f t="shared" si="0"/>
        <v>2058</v>
      </c>
      <c r="C43" s="70"/>
      <c r="D43" s="259">
        <f t="shared" ref="D43:F43" si="19">D42*D42/D41</f>
        <v>137.67948033364135</v>
      </c>
      <c r="E43" s="259">
        <f t="shared" si="19"/>
        <v>42.718687250088784</v>
      </c>
      <c r="F43" s="259">
        <f t="shared" si="19"/>
        <v>4.8105268421392191</v>
      </c>
      <c r="G43" s="264"/>
      <c r="H43" s="69">
        <f t="shared" si="1"/>
        <v>63.006249278324532</v>
      </c>
      <c r="I43" s="68"/>
      <c r="J43" s="68"/>
      <c r="K43" s="69">
        <f t="shared" si="11"/>
        <v>63.006249278324532</v>
      </c>
      <c r="L43" s="69">
        <f t="shared" si="3"/>
        <v>180.4</v>
      </c>
      <c r="M43" s="68">
        <f t="shared" si="12"/>
        <v>180.39816758373013</v>
      </c>
      <c r="Q43" s="78"/>
      <c r="R43" s="68"/>
      <c r="S43" s="68"/>
    </row>
    <row r="44" spans="2:19" ht="15">
      <c r="B44" s="67">
        <f t="shared" si="0"/>
        <v>2059</v>
      </c>
      <c r="C44" s="70"/>
      <c r="D44" s="259">
        <f t="shared" ref="D44:F44" si="20">D43*D43/D42</f>
        <v>140.6808929525715</v>
      </c>
      <c r="E44" s="259">
        <f t="shared" si="20"/>
        <v>43.649954615899851</v>
      </c>
      <c r="F44" s="259">
        <f t="shared" si="20"/>
        <v>4.9153963272978549</v>
      </c>
      <c r="G44" s="264"/>
      <c r="H44" s="69">
        <f t="shared" si="1"/>
        <v>64.379785488638177</v>
      </c>
      <c r="I44" s="68"/>
      <c r="J44" s="68"/>
      <c r="K44" s="69">
        <f t="shared" si="11"/>
        <v>64.379785488638177</v>
      </c>
      <c r="L44" s="69">
        <f t="shared" si="3"/>
        <v>184.33</v>
      </c>
      <c r="M44" s="68">
        <f t="shared" si="12"/>
        <v>184.33084756847134</v>
      </c>
      <c r="Q44" s="78"/>
      <c r="R44" s="68"/>
      <c r="S44" s="68"/>
    </row>
    <row r="45" spans="2:19" ht="15">
      <c r="B45" s="67">
        <f t="shared" si="0"/>
        <v>2060</v>
      </c>
      <c r="C45" s="70"/>
      <c r="D45" s="259">
        <f t="shared" ref="D45:F45" si="21">D44*D44/D43</f>
        <v>143.74773636545322</v>
      </c>
      <c r="E45" s="259">
        <f t="shared" si="21"/>
        <v>44.601523609931547</v>
      </c>
      <c r="F45" s="259">
        <f t="shared" si="21"/>
        <v>5.0225519672329488</v>
      </c>
      <c r="G45" s="264"/>
      <c r="H45" s="69">
        <f t="shared" si="1"/>
        <v>65.78326478781446</v>
      </c>
      <c r="I45" s="68"/>
      <c r="J45" s="68"/>
      <c r="K45" s="69">
        <f t="shared" si="11"/>
        <v>65.78326478781446</v>
      </c>
      <c r="L45" s="69">
        <f t="shared" si="3"/>
        <v>188.35</v>
      </c>
      <c r="M45" s="68">
        <f t="shared" si="12"/>
        <v>188.34925997538477</v>
      </c>
      <c r="Q45" s="78"/>
      <c r="R45" s="68"/>
      <c r="S45" s="68"/>
    </row>
    <row r="46" spans="2:19" ht="15">
      <c r="B46" s="67">
        <f t="shared" si="0"/>
        <v>2061</v>
      </c>
      <c r="C46" s="70"/>
      <c r="D46" s="259">
        <f t="shared" ref="D46:F46" si="22">D45*D45/D44</f>
        <v>146.8814369635698</v>
      </c>
      <c r="E46" s="259">
        <f t="shared" si="22"/>
        <v>45.573836807671363</v>
      </c>
      <c r="F46" s="259">
        <f t="shared" si="22"/>
        <v>5.1320436001186271</v>
      </c>
      <c r="G46" s="264"/>
      <c r="H46" s="69">
        <f t="shared" si="1"/>
        <v>67.217339935179197</v>
      </c>
      <c r="I46" s="68"/>
      <c r="J46" s="68"/>
      <c r="K46" s="69">
        <f t="shared" si="11"/>
        <v>67.217339935179197</v>
      </c>
      <c r="L46" s="69">
        <f t="shared" si="3"/>
        <v>192.46</v>
      </c>
      <c r="M46" s="68">
        <f t="shared" si="12"/>
        <v>192.45527377124117</v>
      </c>
      <c r="Q46" s="78"/>
      <c r="R46" s="68"/>
      <c r="S46" s="68"/>
    </row>
    <row r="47" spans="2:19">
      <c r="B47" s="67"/>
      <c r="C47" s="70"/>
      <c r="D47" s="68"/>
      <c r="E47" s="68"/>
      <c r="F47" s="68"/>
      <c r="G47" s="68"/>
      <c r="H47" s="69"/>
      <c r="I47" s="68"/>
      <c r="J47" s="68"/>
      <c r="K47" s="68"/>
      <c r="L47" s="68"/>
      <c r="M47" s="68"/>
      <c r="N47" s="68"/>
    </row>
    <row r="48" spans="2:19">
      <c r="B48" s="67"/>
      <c r="C48" s="70"/>
      <c r="D48" s="68"/>
      <c r="E48" s="68"/>
      <c r="F48" s="68"/>
      <c r="G48" s="68">
        <f>NPV(Discount_Rate,G16:G40)</f>
        <v>0</v>
      </c>
      <c r="H48" s="69"/>
      <c r="I48" s="68"/>
      <c r="J48" s="69"/>
      <c r="K48" s="69">
        <f>-PMT(Discount_Rate,COUNT(K$16:K$40),NPV(Discount_Rate,K$16:K$40))</f>
        <v>12.029357860491595</v>
      </c>
      <c r="L48" s="69">
        <f>-PMT(Discount_Rate,COUNT(L$16:L$40),NPV(Discount_Rate,L$16:L$40))</f>
        <v>34.442990016268126</v>
      </c>
      <c r="M48" s="69">
        <f>-PMT(Discount_Rate,COUNT(M$16:M$40),NPV(Discount_Rate,M$16:M$40))</f>
        <v>123.46725151754924</v>
      </c>
      <c r="N48" s="72"/>
    </row>
    <row r="49" spans="2:21" ht="14.25">
      <c r="B49" s="73" t="s">
        <v>25</v>
      </c>
      <c r="C49" s="74"/>
      <c r="D49" s="74"/>
      <c r="E49" s="74"/>
      <c r="F49" s="74"/>
      <c r="G49" s="74"/>
      <c r="H49" s="74"/>
      <c r="I49" s="74"/>
      <c r="J49" s="74"/>
    </row>
    <row r="51" spans="2:21">
      <c r="B51" s="60" t="s">
        <v>59</v>
      </c>
      <c r="C51" s="75" t="s">
        <v>60</v>
      </c>
      <c r="D51" s="146" t="s">
        <v>186</v>
      </c>
    </row>
    <row r="52" spans="2:21">
      <c r="C52" s="75" t="str">
        <f>C7</f>
        <v>(a)</v>
      </c>
      <c r="D52" s="60" t="s">
        <v>61</v>
      </c>
    </row>
    <row r="53" spans="2:21">
      <c r="C53" s="75" t="str">
        <f>D7</f>
        <v>(b)</v>
      </c>
      <c r="D53" s="69" t="str">
        <f>"= "&amp;C7&amp;" x "&amp;C60</f>
        <v>= (a) x 0.06861</v>
      </c>
    </row>
    <row r="54" spans="2:21">
      <c r="C54" s="75">
        <f>G7</f>
        <v>0</v>
      </c>
      <c r="D54" s="69" t="str">
        <f>"= ("&amp;$D$7&amp;" + "&amp;$E$7&amp;") /  (8.76 x "&amp;TEXT(C61,"0.0%")&amp;")"</f>
        <v>= ((b) + (c)) /  (8.76 x 32.7%)</v>
      </c>
    </row>
    <row r="55" spans="2:21">
      <c r="C55" s="75" t="str">
        <f>K7</f>
        <v>(g)</v>
      </c>
      <c r="D55" s="69" t="str">
        <f>"= "&amp;$H$7&amp;" + "&amp;$I$7</f>
        <v>= (e) + (f)</v>
      </c>
    </row>
    <row r="56" spans="2:21">
      <c r="C56" s="75" t="str">
        <f>L7</f>
        <v>(h)</v>
      </c>
      <c r="D56" t="str">
        <f>D51</f>
        <v>Plant Costs  - 2025 IRP - Table 7.1 &amp; 7.2</v>
      </c>
    </row>
    <row r="57" spans="2:21">
      <c r="R57" s="60" t="s">
        <v>82</v>
      </c>
      <c r="S57" s="67">
        <v>2031</v>
      </c>
      <c r="U57" s="156" t="s">
        <v>143</v>
      </c>
    </row>
    <row r="58" spans="2:21">
      <c r="B58" s="362" t="str">
        <f>'2025 IRP Assumptions'!A472&amp;"$"</f>
        <v>2028$</v>
      </c>
      <c r="D58" s="78">
        <f>'2025 IRP Assumptions'!I472</f>
        <v>2.5189276399999998</v>
      </c>
      <c r="E58" s="60" t="s">
        <v>85</v>
      </c>
      <c r="Q58" s="143"/>
      <c r="U58" s="156"/>
    </row>
    <row r="59" spans="2:21">
      <c r="B59"/>
      <c r="C59" s="76"/>
      <c r="R59" s="60" t="s">
        <v>189</v>
      </c>
      <c r="S59" s="143">
        <v>73.5</v>
      </c>
    </row>
    <row r="60" spans="2:21">
      <c r="C60" s="154">
        <v>6.8610000000000004E-2</v>
      </c>
      <c r="D60" s="60" t="s">
        <v>197</v>
      </c>
      <c r="E60" s="150"/>
      <c r="K60" s="258"/>
      <c r="M60" s="145"/>
      <c r="N60" s="80"/>
      <c r="O60" s="80"/>
      <c r="Q60" s="81"/>
    </row>
    <row r="61" spans="2:21">
      <c r="C61" s="155">
        <v>0.32684691378829861</v>
      </c>
      <c r="D61" s="60" t="s">
        <v>35</v>
      </c>
    </row>
    <row r="62" spans="2:21">
      <c r="C62" s="161"/>
      <c r="D62" s="79"/>
      <c r="I62" s="348">
        <v>1.1000000000000001</v>
      </c>
      <c r="J62" s="60" t="s">
        <v>305</v>
      </c>
    </row>
    <row r="63" spans="2:21" ht="15">
      <c r="J63" s="105" t="s">
        <v>31</v>
      </c>
      <c r="K63" s="105" t="s">
        <v>302</v>
      </c>
    </row>
    <row r="64" spans="2:21" ht="15">
      <c r="C64" s="105"/>
      <c r="D64" s="105"/>
      <c r="E64" s="105"/>
      <c r="F64" s="363"/>
      <c r="G64" s="105"/>
      <c r="H64" s="260">
        <v>47849</v>
      </c>
      <c r="I64" s="67">
        <f>YEAR(H64)</f>
        <v>2031</v>
      </c>
      <c r="J64" s="68">
        <f>IF($I$62=110%,INDEX('2025 IRP Assumptions'!$E$341:$E$361,MATCH(I64,'2025 IRP Assumptions'!$S$341:$S$361,0),1),INDEX('2025 IRP Assumptions'!$E$309:$E$338,MATCH(I64,'2025 IRP Assumptions'!$S$341:$S$361,0)))</f>
        <v>49.06</v>
      </c>
      <c r="K64" s="78">
        <f>J64*(8.76*$C$61)</f>
        <v>140.46756001237642</v>
      </c>
    </row>
    <row r="65" spans="3:11" ht="15">
      <c r="C65" s="260"/>
      <c r="D65" s="105"/>
      <c r="E65" s="241"/>
      <c r="F65" s="364"/>
      <c r="G65" s="265"/>
      <c r="H65" s="260">
        <v>48214</v>
      </c>
      <c r="I65" s="67">
        <f>YEAR(H65)</f>
        <v>2032</v>
      </c>
      <c r="J65" s="68">
        <f>IF($I$62=110%,INDEX('2025 IRP Assumptions'!$E$341:$E$361,MATCH(I65,'2025 IRP Assumptions'!$S$341:$S$361,0),1),INDEX('2025 IRP Assumptions'!$E$309:$E$338,MATCH(I65,'2025 IRP Assumptions'!$S$341:$S$361,0)))</f>
        <v>50.39</v>
      </c>
      <c r="K65" s="78">
        <f t="shared" ref="K65:K73" si="23">J65*(8.76*$C$61)</f>
        <v>144.27558803554115</v>
      </c>
    </row>
    <row r="66" spans="3:11" ht="15">
      <c r="C66" s="260"/>
      <c r="D66" s="105"/>
      <c r="E66" s="241"/>
      <c r="F66" s="364"/>
      <c r="G66" s="265"/>
      <c r="H66" s="260">
        <v>48580</v>
      </c>
      <c r="I66" s="67">
        <f t="shared" ref="I66:I73" si="24">YEAR(H66)</f>
        <v>2033</v>
      </c>
      <c r="J66" s="68">
        <f>IF($I$62=110%,INDEX('2025 IRP Assumptions'!$E$341:$E$361,MATCH(I66,'2025 IRP Assumptions'!$S$341:$S$361,0),1),INDEX('2025 IRP Assumptions'!$E$309:$E$338,MATCH(I66,'2025 IRP Assumptions'!$S$341:$S$361,0)))</f>
        <v>50.39</v>
      </c>
      <c r="K66" s="78">
        <f t="shared" si="23"/>
        <v>144.27558803554115</v>
      </c>
    </row>
    <row r="67" spans="3:11" ht="15">
      <c r="C67" s="260"/>
      <c r="D67" s="105"/>
      <c r="E67" s="241"/>
      <c r="F67" s="241"/>
      <c r="G67" s="265"/>
      <c r="H67" s="260">
        <v>48945</v>
      </c>
      <c r="I67" s="67">
        <f t="shared" si="24"/>
        <v>2034</v>
      </c>
      <c r="J67" s="68">
        <f>IF($I$62=110%,INDEX('2025 IRP Assumptions'!$E$341:$E$361,MATCH(I67,'2025 IRP Assumptions'!$S$341:$S$361,0),1),INDEX('2025 IRP Assumptions'!$E$309:$E$338,MATCH(I67,'2025 IRP Assumptions'!$S$341:$S$361,0)))</f>
        <v>51.71</v>
      </c>
      <c r="K67" s="78">
        <f t="shared" si="23"/>
        <v>148.054984269058</v>
      </c>
    </row>
    <row r="68" spans="3:11" ht="15">
      <c r="C68" s="260"/>
      <c r="D68" s="105"/>
      <c r="E68" s="241"/>
      <c r="F68" s="241"/>
      <c r="G68" s="265"/>
      <c r="H68" s="260">
        <v>49310</v>
      </c>
      <c r="I68" s="67">
        <f t="shared" si="24"/>
        <v>2035</v>
      </c>
      <c r="J68" s="68">
        <f>IF($I$62=110%,INDEX('2025 IRP Assumptions'!$E$341:$E$361,MATCH(I68,'2025 IRP Assumptions'!$S$341:$S$361,0),1),INDEX('2025 IRP Assumptions'!$E$309:$E$338,MATCH(I68,'2025 IRP Assumptions'!$S$341:$S$361,0)))</f>
        <v>53.04</v>
      </c>
      <c r="K68" s="78">
        <f t="shared" si="23"/>
        <v>151.86301229222269</v>
      </c>
    </row>
    <row r="69" spans="3:11" ht="15">
      <c r="C69" s="260"/>
      <c r="D69" s="105"/>
      <c r="E69" s="241"/>
      <c r="F69" s="241"/>
      <c r="G69" s="265"/>
      <c r="H69" s="260">
        <v>49675</v>
      </c>
      <c r="I69" s="67">
        <f t="shared" si="24"/>
        <v>2036</v>
      </c>
      <c r="J69" s="68">
        <f>IF($I$62=110%,INDEX('2025 IRP Assumptions'!$E$341:$E$361,MATCH(I69,'2025 IRP Assumptions'!$S$341:$S$361,0),1),INDEX('2025 IRP Assumptions'!$E$309:$E$338,MATCH(I69,'2025 IRP Assumptions'!$S$341:$S$361,0)))</f>
        <v>54.37</v>
      </c>
      <c r="K69" s="78">
        <f t="shared" si="23"/>
        <v>155.67104031538742</v>
      </c>
    </row>
    <row r="70" spans="3:11" ht="15">
      <c r="C70" s="260"/>
      <c r="D70" s="105"/>
      <c r="E70" s="241"/>
      <c r="F70" s="241"/>
      <c r="G70" s="265"/>
      <c r="H70" s="260">
        <v>50041</v>
      </c>
      <c r="I70" s="67">
        <f t="shared" si="24"/>
        <v>2037</v>
      </c>
      <c r="J70" s="68">
        <f>IF($I$62=110%,INDEX('2025 IRP Assumptions'!$E$341:$E$361,MATCH(I70,'2025 IRP Assumptions'!$S$341:$S$361,0),1),INDEX('2025 IRP Assumptions'!$E$309:$E$338,MATCH(I70,'2025 IRP Assumptions'!$S$341:$S$361,0)))</f>
        <v>55.69</v>
      </c>
      <c r="K70" s="78">
        <f t="shared" si="23"/>
        <v>159.45043654890426</v>
      </c>
    </row>
    <row r="71" spans="3:11" ht="15">
      <c r="C71" s="260"/>
      <c r="D71" s="105"/>
      <c r="E71" s="241"/>
      <c r="F71" s="241"/>
      <c r="G71" s="265"/>
      <c r="H71" s="260">
        <v>50406</v>
      </c>
      <c r="I71" s="67">
        <f t="shared" si="24"/>
        <v>2038</v>
      </c>
      <c r="J71" s="68">
        <f>IF($I$62=110%,INDEX('2025 IRP Assumptions'!$E$341:$E$361,MATCH(I71,'2025 IRP Assumptions'!$S$341:$S$361,0),1),INDEX('2025 IRP Assumptions'!$E$309:$E$338,MATCH(I71,'2025 IRP Assumptions'!$S$341:$S$361,0)))</f>
        <v>55.69</v>
      </c>
      <c r="K71" s="78">
        <f t="shared" si="23"/>
        <v>159.45043654890426</v>
      </c>
    </row>
    <row r="72" spans="3:11" ht="15">
      <c r="C72" s="260"/>
      <c r="D72" s="105"/>
      <c r="E72" s="241"/>
      <c r="F72" s="241"/>
      <c r="G72" s="265"/>
      <c r="H72" s="260">
        <v>50771</v>
      </c>
      <c r="I72" s="67">
        <f t="shared" si="24"/>
        <v>2039</v>
      </c>
      <c r="J72" s="68">
        <f>IF($I$62=110%,INDEX('2025 IRP Assumptions'!$E$341:$E$361,MATCH(I72,'2025 IRP Assumptions'!$S$341:$S$361,0),1),INDEX('2025 IRP Assumptions'!$E$309:$E$338,MATCH(I72,'2025 IRP Assumptions'!$S$341:$S$361,0)))</f>
        <v>57.02</v>
      </c>
      <c r="K72" s="78">
        <f t="shared" si="23"/>
        <v>163.25846457206899</v>
      </c>
    </row>
    <row r="73" spans="3:11" ht="15">
      <c r="C73" s="260"/>
      <c r="D73" s="105"/>
      <c r="E73" s="241"/>
      <c r="F73" s="241"/>
      <c r="G73" s="265"/>
      <c r="H73" s="260">
        <v>51136</v>
      </c>
      <c r="I73" s="67">
        <f t="shared" si="24"/>
        <v>2040</v>
      </c>
      <c r="J73" s="68">
        <f>IF($I$62=110%,INDEX('2025 IRP Assumptions'!$E$341:$E$361,MATCH(I73,'2025 IRP Assumptions'!$S$341:$S$361,0),1),INDEX('2025 IRP Assumptions'!$E$309:$E$338,MATCH(I73,'2025 IRP Assumptions'!$S$341:$S$361,0)))</f>
        <v>58.35</v>
      </c>
      <c r="K73" s="78">
        <f t="shared" si="23"/>
        <v>167.06649259523368</v>
      </c>
    </row>
    <row r="74" spans="3:11" ht="15">
      <c r="C74" s="260"/>
      <c r="D74" s="105"/>
      <c r="E74" s="241"/>
      <c r="F74" s="241"/>
      <c r="G74" s="265"/>
    </row>
    <row r="75" spans="3:11" ht="15">
      <c r="C75" s="105"/>
      <c r="D75" s="105"/>
      <c r="E75" s="105"/>
      <c r="F75" s="105"/>
      <c r="G75" s="105"/>
      <c r="H75" s="105"/>
    </row>
    <row r="76" spans="3:11" ht="15">
      <c r="C76" s="105"/>
      <c r="D76" s="105"/>
      <c r="E76" s="105"/>
      <c r="F76" s="105"/>
      <c r="G76" s="105"/>
      <c r="H76" s="105" t="s">
        <v>177</v>
      </c>
      <c r="K76" s="60">
        <f>INDEX('2025 IRP Assumptions'!$E$126:$E$157,MATCH(U57,'2025 IRP Assumptions'!$C$126:$C$157,0),1)</f>
        <v>25</v>
      </c>
    </row>
    <row r="77" spans="3:11" ht="15">
      <c r="C77" s="105"/>
      <c r="D77" s="105"/>
      <c r="E77" s="261"/>
      <c r="F77" s="261"/>
      <c r="G77" s="261"/>
      <c r="H77" s="105" t="s">
        <v>310</v>
      </c>
      <c r="J77" s="261"/>
      <c r="K77" s="261">
        <f>-PMT(Real_Discount_Rate,K76,NPV(Discount_Rate,K64:K73))</f>
        <v>71.112738218630753</v>
      </c>
    </row>
    <row r="80" spans="3:11">
      <c r="C80" s="77"/>
      <c r="D80" s="79"/>
    </row>
    <row r="81" spans="3:4">
      <c r="C81" s="77"/>
      <c r="D81" s="79"/>
    </row>
    <row r="82" spans="3:4">
      <c r="C82" s="77"/>
      <c r="D82" s="79"/>
    </row>
    <row r="83" spans="3:4">
      <c r="C83" s="77"/>
      <c r="D83" s="79"/>
    </row>
    <row r="84" spans="3:4">
      <c r="C84" s="77"/>
      <c r="D84" s="79"/>
    </row>
    <row r="85" spans="3:4">
      <c r="C85" s="77"/>
      <c r="D85" s="79"/>
    </row>
    <row r="86" spans="3:4">
      <c r="C86" s="77"/>
      <c r="D86" s="79"/>
    </row>
    <row r="87" spans="3:4">
      <c r="C87" s="77"/>
      <c r="D87" s="79"/>
    </row>
    <row r="88" spans="3:4">
      <c r="C88" s="77"/>
      <c r="D88" s="79"/>
    </row>
    <row r="89" spans="3:4">
      <c r="C89" s="77"/>
      <c r="D89" s="79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E6D2-2735-4B03-B0B3-54E00678DD00}">
  <sheetPr>
    <tabColor rgb="FFCCFFCC"/>
    <pageSetUpPr fitToPage="1"/>
  </sheetPr>
  <dimension ref="B1:AC101"/>
  <sheetViews>
    <sheetView workbookViewId="0">
      <selection activeCell="J61" sqref="J61"/>
    </sheetView>
  </sheetViews>
  <sheetFormatPr defaultColWidth="9.33203125" defaultRowHeight="12.75"/>
  <cols>
    <col min="1" max="1" width="2.83203125" customWidth="1"/>
    <col min="2" max="2" width="10.83203125" customWidth="1"/>
    <col min="3" max="3" width="14.1640625" customWidth="1"/>
    <col min="4" max="4" width="15.5" customWidth="1"/>
    <col min="5" max="5" width="10" customWidth="1"/>
    <col min="6" max="6" width="10.5" customWidth="1"/>
    <col min="7" max="7" width="10.5" bestFit="1" customWidth="1"/>
    <col min="8" max="8" width="11.83203125" customWidth="1"/>
    <col min="9" max="9" width="11.1640625" customWidth="1"/>
    <col min="10" max="10" width="14.33203125" customWidth="1"/>
    <col min="11" max="11" width="14.1640625" customWidth="1"/>
    <col min="12" max="12" width="14.33203125" customWidth="1"/>
    <col min="13" max="13" width="9.33203125" customWidth="1"/>
    <col min="14" max="19" width="11.33203125" customWidth="1"/>
    <col min="20" max="20" width="10.33203125" customWidth="1"/>
    <col min="21" max="21" width="12" customWidth="1"/>
    <col min="22" max="22" width="11.5" customWidth="1"/>
    <col min="25" max="25" width="13.6640625" customWidth="1"/>
    <col min="27" max="28" width="9.33203125" style="60"/>
  </cols>
  <sheetData>
    <row r="1" spans="2:29" s="60" customFormat="1" ht="15.75">
      <c r="B1" s="58" t="s">
        <v>53</v>
      </c>
      <c r="C1" s="59"/>
      <c r="D1" s="59"/>
      <c r="E1" s="59"/>
      <c r="F1" s="59"/>
      <c r="G1" s="59"/>
      <c r="H1" s="59"/>
      <c r="I1" s="59"/>
      <c r="J1" s="59"/>
      <c r="K1" s="59"/>
    </row>
    <row r="2" spans="2:29" ht="15.75">
      <c r="B2" s="1" t="s">
        <v>229</v>
      </c>
      <c r="C2" s="277"/>
      <c r="D2" s="277"/>
      <c r="E2" s="277"/>
      <c r="F2" s="277"/>
      <c r="G2" s="277"/>
      <c r="H2" s="277"/>
      <c r="I2" s="277"/>
      <c r="J2" s="277"/>
      <c r="K2" s="277"/>
    </row>
    <row r="3" spans="2:29">
      <c r="B3" s="277"/>
      <c r="C3" s="277"/>
      <c r="D3" s="277"/>
      <c r="E3" s="277"/>
      <c r="F3" s="277"/>
      <c r="G3" s="277"/>
      <c r="H3" s="277"/>
      <c r="I3" s="277"/>
      <c r="J3" s="277"/>
      <c r="U3" s="60"/>
      <c r="V3" s="60"/>
      <c r="W3" s="60"/>
      <c r="X3" s="60"/>
      <c r="Y3" s="60"/>
      <c r="Z3" s="60"/>
      <c r="AC3" s="60"/>
    </row>
    <row r="4" spans="2:29" ht="51.75" customHeight="1">
      <c r="B4" s="13" t="s">
        <v>0</v>
      </c>
      <c r="C4" s="14" t="s">
        <v>10</v>
      </c>
      <c r="D4" s="14" t="s">
        <v>202</v>
      </c>
      <c r="E4" s="14" t="s">
        <v>75</v>
      </c>
      <c r="F4" s="14" t="s">
        <v>203</v>
      </c>
      <c r="G4" s="14" t="s">
        <v>204</v>
      </c>
      <c r="H4" s="278" t="s">
        <v>21</v>
      </c>
      <c r="I4" s="14" t="s">
        <v>13</v>
      </c>
      <c r="J4" s="278" t="s">
        <v>205</v>
      </c>
      <c r="K4" s="14" t="s">
        <v>49</v>
      </c>
      <c r="T4" s="60"/>
      <c r="U4" s="60"/>
      <c r="V4" s="60"/>
      <c r="W4" s="60"/>
      <c r="X4" s="60"/>
      <c r="Y4" s="60"/>
      <c r="Z4" s="60"/>
    </row>
    <row r="5" spans="2:29" ht="48" customHeight="1">
      <c r="B5" s="279"/>
      <c r="C5" s="15" t="s">
        <v>8</v>
      </c>
      <c r="D5" s="16" t="s">
        <v>9</v>
      </c>
      <c r="E5" s="16" t="s">
        <v>9</v>
      </c>
      <c r="F5" s="16" t="s">
        <v>9</v>
      </c>
      <c r="G5" s="16" t="s">
        <v>9</v>
      </c>
      <c r="H5" s="16" t="s">
        <v>206</v>
      </c>
      <c r="I5" s="15" t="s">
        <v>31</v>
      </c>
      <c r="J5" s="15" t="s">
        <v>31</v>
      </c>
      <c r="K5" s="15" t="s">
        <v>31</v>
      </c>
      <c r="T5" s="60"/>
      <c r="U5" s="60"/>
      <c r="V5" s="60"/>
      <c r="W5" s="60"/>
      <c r="X5" s="60"/>
      <c r="Y5" s="100"/>
      <c r="Z5" s="100"/>
    </row>
    <row r="6" spans="2:29">
      <c r="C6" s="280" t="s">
        <v>1</v>
      </c>
      <c r="D6" s="280" t="s">
        <v>2</v>
      </c>
      <c r="E6" s="280" t="s">
        <v>3</v>
      </c>
      <c r="F6" s="280" t="s">
        <v>4</v>
      </c>
      <c r="G6" s="280" t="s">
        <v>5</v>
      </c>
      <c r="H6" s="280" t="s">
        <v>7</v>
      </c>
      <c r="I6" s="280" t="s">
        <v>22</v>
      </c>
      <c r="J6" s="66" t="s">
        <v>23</v>
      </c>
      <c r="K6" s="66" t="s">
        <v>24</v>
      </c>
      <c r="T6" s="60"/>
      <c r="U6" s="60"/>
      <c r="V6" s="60"/>
      <c r="W6" s="60"/>
      <c r="X6" s="60"/>
      <c r="Y6" s="60"/>
      <c r="Z6" s="60"/>
    </row>
    <row r="7" spans="2:29" ht="6" customHeight="1">
      <c r="T7" s="60"/>
      <c r="U7" s="60"/>
      <c r="V7" s="60"/>
      <c r="W7" s="60"/>
      <c r="X7" s="60"/>
      <c r="Y7" s="60"/>
      <c r="Z7" s="60"/>
    </row>
    <row r="8" spans="2:29" ht="15.75">
      <c r="B8" s="38" t="str">
        <f>C69</f>
        <v>Wyoming East Brownfield SCCT Frame "F" x1 (6,130')</v>
      </c>
      <c r="H8" s="277"/>
      <c r="J8" s="277"/>
      <c r="K8" s="277"/>
      <c r="T8" s="60"/>
      <c r="U8" s="60"/>
      <c r="V8" s="60"/>
      <c r="W8" s="60"/>
      <c r="X8" s="60"/>
      <c r="Y8" s="60"/>
      <c r="Z8" s="60"/>
    </row>
    <row r="9" spans="2:29" ht="18.95" customHeight="1">
      <c r="B9" s="145"/>
      <c r="C9" s="281"/>
      <c r="D9" s="282"/>
      <c r="E9" s="283"/>
      <c r="F9" s="283"/>
      <c r="G9" s="283"/>
      <c r="H9" s="283"/>
      <c r="I9" s="283"/>
      <c r="J9" s="283"/>
      <c r="K9" s="283"/>
      <c r="T9" s="60"/>
      <c r="U9" s="78"/>
      <c r="V9" s="78"/>
      <c r="W9" s="78"/>
      <c r="X9" s="60"/>
      <c r="Y9" s="78"/>
      <c r="Z9" s="78"/>
    </row>
    <row r="10" spans="2:29">
      <c r="B10" s="145">
        <v>2024</v>
      </c>
      <c r="C10" s="332">
        <f>C85</f>
        <v>1235.7476526089529</v>
      </c>
      <c r="D10" s="68"/>
      <c r="E10" s="68"/>
      <c r="F10" s="232">
        <f>$C$88</f>
        <v>54.452165356822256</v>
      </c>
      <c r="G10" s="283">
        <f>ROUND(D10+E10+F10,2)</f>
        <v>54.45</v>
      </c>
      <c r="H10" s="337">
        <f>$D$96</f>
        <v>5.6147516544049472</v>
      </c>
      <c r="I10" s="333">
        <f>$C$89</f>
        <v>7.9799917258138251</v>
      </c>
      <c r="J10" s="283"/>
      <c r="K10" s="283"/>
      <c r="N10" s="285"/>
      <c r="O10" s="285"/>
      <c r="T10" s="60"/>
      <c r="U10" s="78"/>
      <c r="V10" s="78"/>
      <c r="W10" s="143"/>
      <c r="X10" s="78"/>
      <c r="Y10" s="78"/>
      <c r="Z10" s="78"/>
    </row>
    <row r="11" spans="2:29">
      <c r="B11" s="145">
        <f t="shared" ref="B11:B56" si="0">B10+1</f>
        <v>2025</v>
      </c>
      <c r="C11" s="284">
        <f t="shared" ref="C11:D17" si="1">C10*(1+Inflation)</f>
        <v>1262.6869514358282</v>
      </c>
      <c r="D11" s="68"/>
      <c r="E11" s="68"/>
      <c r="F11" s="68">
        <f t="shared" ref="F11:F30" si="2">F10*(1+Inflation)</f>
        <v>55.639222561600981</v>
      </c>
      <c r="G11" s="283">
        <f t="shared" ref="G11:G31" si="3">ROUND(D11+E11+F11,2)</f>
        <v>55.64</v>
      </c>
      <c r="H11" s="68">
        <f t="shared" ref="H11:H30" si="4">H10*(1+Inflation)</f>
        <v>5.7371532404709749</v>
      </c>
      <c r="I11" s="68">
        <f t="shared" ref="I11:I56" si="5">ROUND(I10*(1+$G$63),2)</f>
        <v>7.98</v>
      </c>
      <c r="J11" s="283"/>
      <c r="K11" s="283"/>
      <c r="N11" s="285"/>
      <c r="O11" s="285"/>
      <c r="T11" s="60"/>
      <c r="U11" s="78"/>
      <c r="V11" s="78"/>
      <c r="W11" s="143"/>
      <c r="X11" s="78"/>
      <c r="Y11" s="78"/>
      <c r="Z11" s="78"/>
    </row>
    <row r="12" spans="2:29">
      <c r="B12" s="145">
        <f t="shared" si="0"/>
        <v>2026</v>
      </c>
      <c r="C12" s="284">
        <f t="shared" si="1"/>
        <v>1290.2135269771293</v>
      </c>
      <c r="D12" s="282"/>
      <c r="E12" s="68"/>
      <c r="F12" s="68">
        <f t="shared" si="2"/>
        <v>56.852157613443886</v>
      </c>
      <c r="G12" s="283">
        <f t="shared" si="3"/>
        <v>56.85</v>
      </c>
      <c r="H12" s="68">
        <f t="shared" si="4"/>
        <v>5.8622231811132419</v>
      </c>
      <c r="I12" s="68">
        <f t="shared" si="5"/>
        <v>7.98</v>
      </c>
      <c r="J12" s="283"/>
      <c r="K12" s="283"/>
      <c r="N12" s="285"/>
      <c r="O12" s="285"/>
      <c r="T12" s="60"/>
      <c r="U12" s="78"/>
      <c r="V12" s="78"/>
      <c r="W12" s="78"/>
      <c r="X12" s="78"/>
      <c r="Y12" s="78"/>
      <c r="Z12" s="78"/>
    </row>
    <row r="13" spans="2:29">
      <c r="B13" s="145">
        <f t="shared" si="0"/>
        <v>2027</v>
      </c>
      <c r="C13" s="284">
        <f t="shared" si="1"/>
        <v>1318.3401818652308</v>
      </c>
      <c r="D13" s="68"/>
      <c r="E13" s="68"/>
      <c r="F13" s="68">
        <f t="shared" si="2"/>
        <v>58.091534649416964</v>
      </c>
      <c r="G13" s="283">
        <f t="shared" si="3"/>
        <v>58.09</v>
      </c>
      <c r="H13" s="68">
        <f t="shared" si="4"/>
        <v>5.9900196464615112</v>
      </c>
      <c r="I13" s="68">
        <f t="shared" si="5"/>
        <v>7.98</v>
      </c>
      <c r="J13" s="283"/>
      <c r="K13" s="283"/>
      <c r="N13" s="285"/>
      <c r="O13" s="285"/>
      <c r="T13" s="286"/>
      <c r="U13" s="78"/>
      <c r="V13" s="78"/>
      <c r="W13" s="78"/>
      <c r="X13" s="78"/>
      <c r="Y13" s="78"/>
      <c r="Z13" s="78"/>
    </row>
    <row r="14" spans="2:29">
      <c r="B14" s="145">
        <f t="shared" si="0"/>
        <v>2028</v>
      </c>
      <c r="C14" s="284">
        <f t="shared" si="1"/>
        <v>1347.0799978298928</v>
      </c>
      <c r="D14" s="68"/>
      <c r="E14" s="68"/>
      <c r="F14" s="68">
        <f t="shared" si="2"/>
        <v>59.357930104774255</v>
      </c>
      <c r="G14" s="283">
        <f t="shared" si="3"/>
        <v>59.36</v>
      </c>
      <c r="H14" s="68">
        <f t="shared" si="4"/>
        <v>6.1206020747543723</v>
      </c>
      <c r="I14" s="68">
        <f t="shared" si="5"/>
        <v>7.98</v>
      </c>
      <c r="J14" s="283"/>
      <c r="K14" s="283"/>
      <c r="N14" s="285"/>
      <c r="O14" s="285"/>
      <c r="T14" s="60"/>
      <c r="U14" s="78"/>
      <c r="V14" s="78"/>
      <c r="W14" s="78"/>
      <c r="X14" s="78"/>
      <c r="Y14" s="78"/>
      <c r="Z14" s="78"/>
    </row>
    <row r="15" spans="2:29">
      <c r="B15" s="145">
        <f t="shared" si="0"/>
        <v>2029</v>
      </c>
      <c r="C15" s="284">
        <f t="shared" si="1"/>
        <v>1376.4463417825846</v>
      </c>
      <c r="D15" s="68"/>
      <c r="E15" s="68"/>
      <c r="F15" s="68">
        <f t="shared" si="2"/>
        <v>60.651932981058337</v>
      </c>
      <c r="G15" s="283">
        <f t="shared" si="3"/>
        <v>60.65</v>
      </c>
      <c r="H15" s="68">
        <f t="shared" si="4"/>
        <v>6.2540311999840181</v>
      </c>
      <c r="I15" s="68">
        <f t="shared" si="5"/>
        <v>7.98</v>
      </c>
      <c r="J15" s="283"/>
      <c r="K15" s="283"/>
      <c r="N15" s="285"/>
      <c r="O15" s="285"/>
      <c r="T15" s="60"/>
      <c r="U15" s="78"/>
      <c r="V15" s="78"/>
      <c r="W15" s="78"/>
      <c r="X15" s="78"/>
      <c r="Y15" s="78"/>
      <c r="Z15" s="78"/>
    </row>
    <row r="16" spans="2:29" s="287" customFormat="1">
      <c r="B16" s="145">
        <f t="shared" si="0"/>
        <v>2030</v>
      </c>
      <c r="C16" s="284">
        <f t="shared" si="1"/>
        <v>1406.4528720334449</v>
      </c>
      <c r="D16" s="232">
        <f>ROUND(C16*$C$92,2)</f>
        <v>85.79</v>
      </c>
      <c r="E16" s="68"/>
      <c r="F16" s="68">
        <f t="shared" si="2"/>
        <v>61.974145120045414</v>
      </c>
      <c r="G16" s="283">
        <f t="shared" si="3"/>
        <v>147.76</v>
      </c>
      <c r="H16" s="68">
        <f t="shared" si="4"/>
        <v>6.3903690801436701</v>
      </c>
      <c r="I16" s="68">
        <f t="shared" si="5"/>
        <v>7.98</v>
      </c>
      <c r="J16" s="283">
        <f t="shared" ref="J16:J56" si="6">ROUND($K$80*H16/1000+I16,2)</f>
        <v>69.33</v>
      </c>
      <c r="K16" s="283">
        <f t="shared" ref="K16:K56" si="7">ROUND(G16*1000/8760/$G$80+J16,2)</f>
        <v>120.44</v>
      </c>
      <c r="L16"/>
      <c r="M16"/>
      <c r="N16" s="285"/>
      <c r="O16" s="285"/>
      <c r="T16" s="60"/>
      <c r="U16" s="78"/>
      <c r="V16" s="78"/>
      <c r="W16" s="78"/>
      <c r="X16" s="78"/>
      <c r="Y16" s="78"/>
      <c r="Z16" s="78"/>
      <c r="AA16" s="60"/>
      <c r="AB16" s="60"/>
    </row>
    <row r="17" spans="2:28" s="287" customFormat="1">
      <c r="B17" s="145">
        <f t="shared" si="0"/>
        <v>2031</v>
      </c>
      <c r="C17" s="284"/>
      <c r="D17" s="68">
        <f t="shared" si="1"/>
        <v>87.660222000000005</v>
      </c>
      <c r="E17" s="68"/>
      <c r="F17" s="68">
        <f t="shared" si="2"/>
        <v>63.325181483662405</v>
      </c>
      <c r="G17" s="283">
        <f t="shared" si="3"/>
        <v>150.99</v>
      </c>
      <c r="H17" s="68">
        <f t="shared" si="4"/>
        <v>6.5296791260908025</v>
      </c>
      <c r="I17" s="68">
        <f t="shared" si="5"/>
        <v>7.98</v>
      </c>
      <c r="J17" s="283">
        <f t="shared" si="6"/>
        <v>70.66</v>
      </c>
      <c r="K17" s="283">
        <f t="shared" si="7"/>
        <v>122.89</v>
      </c>
      <c r="L17"/>
      <c r="M17"/>
      <c r="N17" s="285"/>
      <c r="O17" s="285"/>
      <c r="T17" s="60"/>
      <c r="U17" s="78"/>
      <c r="V17" s="78"/>
      <c r="W17" s="78"/>
      <c r="X17" s="78"/>
      <c r="Y17" s="78"/>
      <c r="Z17" s="78"/>
      <c r="AA17" s="60"/>
      <c r="AB17" s="60"/>
    </row>
    <row r="18" spans="2:28" s="287" customFormat="1">
      <c r="B18" s="145">
        <f t="shared" si="0"/>
        <v>2032</v>
      </c>
      <c r="C18" s="284"/>
      <c r="D18" s="68">
        <f t="shared" ref="D18:D30" si="8">D17*(1+Inflation)</f>
        <v>89.571214839600003</v>
      </c>
      <c r="E18" s="68"/>
      <c r="F18" s="68">
        <f t="shared" si="2"/>
        <v>64.705670440006244</v>
      </c>
      <c r="G18" s="283">
        <f t="shared" si="3"/>
        <v>154.28</v>
      </c>
      <c r="H18" s="68">
        <f t="shared" si="4"/>
        <v>6.6720261310395825</v>
      </c>
      <c r="I18" s="68">
        <f t="shared" si="5"/>
        <v>7.98</v>
      </c>
      <c r="J18" s="283">
        <f t="shared" si="6"/>
        <v>72.03</v>
      </c>
      <c r="K18" s="283">
        <f t="shared" si="7"/>
        <v>125.4</v>
      </c>
      <c r="L18"/>
      <c r="M18"/>
      <c r="N18" s="285"/>
      <c r="O18" s="285"/>
      <c r="T18" s="60"/>
      <c r="U18" s="78"/>
      <c r="V18" s="78"/>
      <c r="W18" s="78"/>
      <c r="X18" s="78"/>
      <c r="Y18" s="78"/>
      <c r="Z18" s="78"/>
      <c r="AA18" s="60"/>
      <c r="AB18" s="60"/>
    </row>
    <row r="19" spans="2:28" s="287" customFormat="1">
      <c r="B19" s="145">
        <f t="shared" si="0"/>
        <v>2033</v>
      </c>
      <c r="C19" s="284"/>
      <c r="D19" s="68">
        <f t="shared" si="8"/>
        <v>91.523867323103289</v>
      </c>
      <c r="E19" s="68"/>
      <c r="F19" s="68">
        <f t="shared" si="2"/>
        <v>66.11625405559839</v>
      </c>
      <c r="G19" s="283">
        <f t="shared" si="3"/>
        <v>157.63999999999999</v>
      </c>
      <c r="H19" s="68">
        <f t="shared" si="4"/>
        <v>6.8174763006962458</v>
      </c>
      <c r="I19" s="68">
        <f t="shared" si="5"/>
        <v>7.98</v>
      </c>
      <c r="J19" s="283">
        <f t="shared" si="6"/>
        <v>73.430000000000007</v>
      </c>
      <c r="K19" s="283">
        <f t="shared" si="7"/>
        <v>127.96</v>
      </c>
      <c r="L19"/>
      <c r="M19"/>
      <c r="N19" s="285"/>
      <c r="O19" s="285"/>
      <c r="Q19" s="288"/>
      <c r="T19" s="60"/>
      <c r="U19" s="78"/>
      <c r="V19" s="78"/>
      <c r="W19" s="78"/>
      <c r="X19" s="78"/>
      <c r="Y19" s="78"/>
      <c r="Z19" s="78"/>
      <c r="AA19" s="60"/>
      <c r="AB19" s="60"/>
    </row>
    <row r="20" spans="2:28" s="287" customFormat="1">
      <c r="B20" s="145">
        <f t="shared" si="0"/>
        <v>2034</v>
      </c>
      <c r="C20" s="284"/>
      <c r="D20" s="68">
        <f t="shared" si="8"/>
        <v>93.519087630746938</v>
      </c>
      <c r="E20" s="68"/>
      <c r="F20" s="68">
        <f t="shared" si="2"/>
        <v>67.557588394010438</v>
      </c>
      <c r="G20" s="283">
        <f t="shared" si="3"/>
        <v>161.08000000000001</v>
      </c>
      <c r="H20" s="68">
        <f t="shared" si="4"/>
        <v>6.9660972840514246</v>
      </c>
      <c r="I20" s="68">
        <f t="shared" si="5"/>
        <v>7.98</v>
      </c>
      <c r="J20" s="283">
        <f t="shared" si="6"/>
        <v>74.849999999999994</v>
      </c>
      <c r="K20" s="283">
        <f t="shared" si="7"/>
        <v>130.57</v>
      </c>
      <c r="L20"/>
      <c r="M20"/>
      <c r="N20"/>
      <c r="T20" s="60"/>
      <c r="U20" s="78"/>
      <c r="V20" s="78"/>
      <c r="W20" s="78"/>
      <c r="X20" s="78"/>
      <c r="Y20" s="78"/>
      <c r="Z20" s="78"/>
      <c r="AA20" s="60"/>
      <c r="AB20" s="60"/>
    </row>
    <row r="21" spans="2:28">
      <c r="B21" s="145">
        <f t="shared" si="0"/>
        <v>2035</v>
      </c>
      <c r="C21" s="284"/>
      <c r="D21" s="68">
        <f t="shared" si="8"/>
        <v>95.557803741097231</v>
      </c>
      <c r="E21" s="68"/>
      <c r="F21" s="68">
        <f t="shared" si="2"/>
        <v>69.030343820999875</v>
      </c>
      <c r="G21" s="283">
        <f t="shared" si="3"/>
        <v>164.59</v>
      </c>
      <c r="H21" s="68">
        <f t="shared" si="4"/>
        <v>7.1179582048437462</v>
      </c>
      <c r="I21" s="68">
        <f t="shared" si="5"/>
        <v>7.98</v>
      </c>
      <c r="J21" s="283">
        <f t="shared" si="6"/>
        <v>76.31</v>
      </c>
      <c r="K21" s="283">
        <f t="shared" si="7"/>
        <v>133.25</v>
      </c>
      <c r="T21" s="60"/>
      <c r="U21" s="78"/>
      <c r="V21" s="78"/>
      <c r="W21" s="78"/>
      <c r="X21" s="78"/>
      <c r="Y21" s="78"/>
      <c r="Z21" s="78"/>
    </row>
    <row r="22" spans="2:28">
      <c r="B22" s="145">
        <f t="shared" si="0"/>
        <v>2036</v>
      </c>
      <c r="C22" s="284"/>
      <c r="D22" s="68">
        <f t="shared" si="8"/>
        <v>97.640963862653152</v>
      </c>
      <c r="E22" s="68"/>
      <c r="F22" s="68">
        <f t="shared" si="2"/>
        <v>70.535205316297677</v>
      </c>
      <c r="G22" s="283">
        <f t="shared" si="3"/>
        <v>168.18</v>
      </c>
      <c r="H22" s="68">
        <f t="shared" si="4"/>
        <v>7.2731296937093406</v>
      </c>
      <c r="I22" s="68">
        <f t="shared" si="5"/>
        <v>7.98</v>
      </c>
      <c r="J22" s="283">
        <f t="shared" si="6"/>
        <v>77.8</v>
      </c>
      <c r="K22" s="283">
        <f t="shared" si="7"/>
        <v>135.97999999999999</v>
      </c>
    </row>
    <row r="23" spans="2:28">
      <c r="B23" s="145">
        <f t="shared" si="0"/>
        <v>2037</v>
      </c>
      <c r="C23" s="284"/>
      <c r="D23" s="68">
        <f t="shared" si="8"/>
        <v>99.769536874859</v>
      </c>
      <c r="E23" s="68"/>
      <c r="F23" s="68">
        <f t="shared" si="2"/>
        <v>72.072872792192967</v>
      </c>
      <c r="G23" s="283">
        <f t="shared" si="3"/>
        <v>171.84</v>
      </c>
      <c r="H23" s="68">
        <f t="shared" si="4"/>
        <v>7.4316839210322048</v>
      </c>
      <c r="I23" s="68">
        <f t="shared" si="5"/>
        <v>7.98</v>
      </c>
      <c r="J23" s="283">
        <f t="shared" si="6"/>
        <v>79.319999999999993</v>
      </c>
      <c r="K23" s="283">
        <f t="shared" si="7"/>
        <v>138.76</v>
      </c>
    </row>
    <row r="24" spans="2:28">
      <c r="B24" s="145">
        <f t="shared" si="0"/>
        <v>2038</v>
      </c>
      <c r="C24" s="284"/>
      <c r="D24" s="68">
        <f t="shared" si="8"/>
        <v>101.94451277873092</v>
      </c>
      <c r="E24" s="68"/>
      <c r="F24" s="68">
        <f t="shared" si="2"/>
        <v>73.64406141906278</v>
      </c>
      <c r="G24" s="283">
        <f t="shared" si="3"/>
        <v>175.59</v>
      </c>
      <c r="H24" s="68">
        <f t="shared" si="4"/>
        <v>7.5936946305107069</v>
      </c>
      <c r="I24" s="68">
        <f t="shared" si="5"/>
        <v>7.98</v>
      </c>
      <c r="J24" s="283">
        <f t="shared" si="6"/>
        <v>80.88</v>
      </c>
      <c r="K24" s="283">
        <f t="shared" si="7"/>
        <v>141.62</v>
      </c>
    </row>
    <row r="25" spans="2:28">
      <c r="B25" s="145">
        <f t="shared" si="0"/>
        <v>2039</v>
      </c>
      <c r="C25" s="284"/>
      <c r="D25" s="68">
        <f t="shared" si="8"/>
        <v>104.16690315730726</v>
      </c>
      <c r="E25" s="68"/>
      <c r="F25" s="68">
        <f t="shared" si="2"/>
        <v>75.249501957998348</v>
      </c>
      <c r="G25" s="283">
        <f t="shared" si="3"/>
        <v>179.42</v>
      </c>
      <c r="H25" s="68">
        <f t="shared" si="4"/>
        <v>7.7592371734558405</v>
      </c>
      <c r="I25" s="68">
        <f t="shared" si="5"/>
        <v>7.98</v>
      </c>
      <c r="J25" s="283">
        <f t="shared" si="6"/>
        <v>82.47</v>
      </c>
      <c r="K25" s="283">
        <f t="shared" si="7"/>
        <v>144.54</v>
      </c>
    </row>
    <row r="26" spans="2:28">
      <c r="B26" s="145">
        <f t="shared" si="0"/>
        <v>2040</v>
      </c>
      <c r="C26" s="284"/>
      <c r="D26" s="68">
        <f t="shared" si="8"/>
        <v>106.43774164613656</v>
      </c>
      <c r="E26" s="68"/>
      <c r="F26" s="68">
        <f t="shared" si="2"/>
        <v>76.889941100682719</v>
      </c>
      <c r="G26" s="283">
        <f t="shared" si="3"/>
        <v>183.33</v>
      </c>
      <c r="H26" s="68">
        <f t="shared" si="4"/>
        <v>7.9283885438371779</v>
      </c>
      <c r="I26" s="68">
        <f t="shared" si="5"/>
        <v>7.98</v>
      </c>
      <c r="J26" s="283">
        <f t="shared" si="6"/>
        <v>84.09</v>
      </c>
      <c r="K26" s="283">
        <f t="shared" si="7"/>
        <v>147.51</v>
      </c>
    </row>
    <row r="27" spans="2:28">
      <c r="B27" s="145">
        <f t="shared" si="0"/>
        <v>2041</v>
      </c>
      <c r="C27" s="284"/>
      <c r="D27" s="68">
        <f t="shared" si="8"/>
        <v>108.75808441402233</v>
      </c>
      <c r="E27" s="68"/>
      <c r="F27" s="68">
        <f t="shared" si="2"/>
        <v>78.5661418166776</v>
      </c>
      <c r="G27" s="283">
        <f t="shared" si="3"/>
        <v>187.32</v>
      </c>
      <c r="H27" s="68">
        <f t="shared" si="4"/>
        <v>8.1012274140928291</v>
      </c>
      <c r="I27" s="68">
        <f t="shared" si="5"/>
        <v>7.98</v>
      </c>
      <c r="J27" s="283">
        <f t="shared" si="6"/>
        <v>85.75</v>
      </c>
      <c r="K27" s="283">
        <f t="shared" si="7"/>
        <v>150.55000000000001</v>
      </c>
    </row>
    <row r="28" spans="2:28">
      <c r="B28" s="145">
        <f t="shared" si="0"/>
        <v>2042</v>
      </c>
      <c r="C28" s="284"/>
      <c r="D28" s="68">
        <f t="shared" si="8"/>
        <v>111.12901065424802</v>
      </c>
      <c r="E28" s="68"/>
      <c r="F28" s="68">
        <f t="shared" si="2"/>
        <v>80.278883708281171</v>
      </c>
      <c r="G28" s="283">
        <f t="shared" si="3"/>
        <v>191.41</v>
      </c>
      <c r="H28" s="68">
        <f t="shared" si="4"/>
        <v>8.2778341717200536</v>
      </c>
      <c r="I28" s="68">
        <f t="shared" si="5"/>
        <v>7.98</v>
      </c>
      <c r="J28" s="283">
        <f t="shared" si="6"/>
        <v>87.45</v>
      </c>
      <c r="K28" s="283">
        <f t="shared" si="7"/>
        <v>153.66</v>
      </c>
    </row>
    <row r="29" spans="2:28">
      <c r="B29" s="145">
        <f t="shared" si="0"/>
        <v>2043</v>
      </c>
      <c r="C29" s="284"/>
      <c r="D29" s="68">
        <f t="shared" si="8"/>
        <v>113.55162308651063</v>
      </c>
      <c r="E29" s="68"/>
      <c r="F29" s="68">
        <f t="shared" si="2"/>
        <v>82.028963373121698</v>
      </c>
      <c r="G29" s="283">
        <f t="shared" si="3"/>
        <v>195.58</v>
      </c>
      <c r="H29" s="68">
        <f t="shared" si="4"/>
        <v>8.4582909566635518</v>
      </c>
      <c r="I29" s="68">
        <f t="shared" si="5"/>
        <v>7.98</v>
      </c>
      <c r="J29" s="283">
        <f t="shared" si="6"/>
        <v>89.18</v>
      </c>
      <c r="K29" s="283">
        <f t="shared" si="7"/>
        <v>156.84</v>
      </c>
    </row>
    <row r="30" spans="2:28">
      <c r="B30" s="145">
        <f t="shared" si="0"/>
        <v>2044</v>
      </c>
      <c r="C30" s="284"/>
      <c r="D30" s="68">
        <f t="shared" si="8"/>
        <v>116.02704846979657</v>
      </c>
      <c r="E30" s="68"/>
      <c r="F30" s="68">
        <f t="shared" si="2"/>
        <v>83.817194774655761</v>
      </c>
      <c r="G30" s="283">
        <f t="shared" si="3"/>
        <v>199.84</v>
      </c>
      <c r="H30" s="68">
        <f t="shared" si="4"/>
        <v>8.6426816995188176</v>
      </c>
      <c r="I30" s="68">
        <f t="shared" si="5"/>
        <v>7.98</v>
      </c>
      <c r="J30" s="283">
        <f t="shared" si="6"/>
        <v>90.95</v>
      </c>
      <c r="K30" s="283">
        <f t="shared" si="7"/>
        <v>160.08000000000001</v>
      </c>
    </row>
    <row r="31" spans="2:28">
      <c r="B31" s="145">
        <f t="shared" si="0"/>
        <v>2045</v>
      </c>
      <c r="C31" s="284"/>
      <c r="D31" s="68">
        <f t="shared" ref="D31:D56" si="9">D30*(1+Inflation)</f>
        <v>118.55643812643814</v>
      </c>
      <c r="E31" s="68"/>
      <c r="F31" s="68">
        <f t="shared" ref="F31:F56" si="10">F30*(1+Inflation)</f>
        <v>85.644409620743261</v>
      </c>
      <c r="G31" s="283">
        <f t="shared" si="3"/>
        <v>204.2</v>
      </c>
      <c r="H31" s="68">
        <f t="shared" ref="H31:H56" si="11">H30*(1+Inflation)</f>
        <v>8.8310921605683284</v>
      </c>
      <c r="I31" s="68">
        <f t="shared" si="5"/>
        <v>7.98</v>
      </c>
      <c r="J31" s="283">
        <f t="shared" si="6"/>
        <v>92.76</v>
      </c>
      <c r="K31" s="283">
        <f t="shared" si="7"/>
        <v>163.4</v>
      </c>
    </row>
    <row r="32" spans="2:28">
      <c r="B32" s="145">
        <f t="shared" si="0"/>
        <v>2046</v>
      </c>
      <c r="C32" s="284"/>
      <c r="D32" s="68">
        <f t="shared" si="9"/>
        <v>121.1409684775945</v>
      </c>
      <c r="E32" s="68"/>
      <c r="F32" s="68">
        <f t="shared" si="10"/>
        <v>87.511457750475472</v>
      </c>
      <c r="G32" s="283">
        <f t="shared" ref="G32:G40" si="12">ROUND(D32+E32+F32,2)</f>
        <v>208.65</v>
      </c>
      <c r="H32" s="68">
        <f t="shared" si="11"/>
        <v>9.0236099696687191</v>
      </c>
      <c r="I32" s="68">
        <f t="shared" si="5"/>
        <v>7.98</v>
      </c>
      <c r="J32" s="283">
        <f t="shared" si="6"/>
        <v>94.61</v>
      </c>
      <c r="K32" s="283">
        <f t="shared" si="7"/>
        <v>166.79</v>
      </c>
    </row>
    <row r="33" spans="2:11">
      <c r="B33" s="145">
        <f t="shared" si="0"/>
        <v>2047</v>
      </c>
      <c r="C33" s="284"/>
      <c r="D33" s="68">
        <f t="shared" si="9"/>
        <v>123.78184159040606</v>
      </c>
      <c r="E33" s="68"/>
      <c r="F33" s="68">
        <f t="shared" si="10"/>
        <v>89.419207529435838</v>
      </c>
      <c r="G33" s="283">
        <f t="shared" si="12"/>
        <v>213.2</v>
      </c>
      <c r="H33" s="68">
        <f t="shared" si="11"/>
        <v>9.2203246670074979</v>
      </c>
      <c r="I33" s="68">
        <f t="shared" si="5"/>
        <v>7.98</v>
      </c>
      <c r="J33" s="283">
        <f t="shared" si="6"/>
        <v>96.5</v>
      </c>
      <c r="K33" s="283">
        <f t="shared" si="7"/>
        <v>170.25</v>
      </c>
    </row>
    <row r="34" spans="2:11">
      <c r="B34" s="145">
        <f t="shared" si="0"/>
        <v>2048</v>
      </c>
      <c r="C34" s="284"/>
      <c r="D34" s="68">
        <f t="shared" si="9"/>
        <v>126.48028573707691</v>
      </c>
      <c r="E34" s="68"/>
      <c r="F34" s="68">
        <f t="shared" si="10"/>
        <v>91.368546253577549</v>
      </c>
      <c r="G34" s="283">
        <f t="shared" si="12"/>
        <v>217.85</v>
      </c>
      <c r="H34" s="68">
        <f t="shared" si="11"/>
        <v>9.4213277447482611</v>
      </c>
      <c r="I34" s="68">
        <f t="shared" si="5"/>
        <v>7.98</v>
      </c>
      <c r="J34" s="283">
        <f t="shared" si="6"/>
        <v>98.42</v>
      </c>
      <c r="K34" s="283">
        <f t="shared" si="7"/>
        <v>173.78</v>
      </c>
    </row>
    <row r="35" spans="2:11">
      <c r="B35" s="145">
        <f t="shared" si="0"/>
        <v>2049</v>
      </c>
      <c r="C35" s="284"/>
      <c r="D35" s="68">
        <f t="shared" si="9"/>
        <v>129.23755596614518</v>
      </c>
      <c r="E35" s="68"/>
      <c r="F35" s="68">
        <f t="shared" si="10"/>
        <v>93.360380561905544</v>
      </c>
      <c r="G35" s="283">
        <f t="shared" si="12"/>
        <v>222.6</v>
      </c>
      <c r="H35" s="68">
        <f t="shared" si="11"/>
        <v>9.6267126895837727</v>
      </c>
      <c r="I35" s="68">
        <f t="shared" si="5"/>
        <v>7.98</v>
      </c>
      <c r="J35" s="283">
        <f t="shared" si="6"/>
        <v>100.4</v>
      </c>
      <c r="K35" s="283">
        <f t="shared" si="7"/>
        <v>177.4</v>
      </c>
    </row>
    <row r="36" spans="2:11">
      <c r="B36" s="145">
        <f t="shared" si="0"/>
        <v>2050</v>
      </c>
      <c r="C36" s="284"/>
      <c r="D36" s="68">
        <f t="shared" si="9"/>
        <v>132.05493468620716</v>
      </c>
      <c r="E36" s="68"/>
      <c r="F36" s="68">
        <f t="shared" si="10"/>
        <v>95.395636858155086</v>
      </c>
      <c r="G36" s="283">
        <f t="shared" si="12"/>
        <v>227.45</v>
      </c>
      <c r="H36" s="68">
        <f t="shared" si="11"/>
        <v>9.8365750262166998</v>
      </c>
      <c r="I36" s="68">
        <f t="shared" si="5"/>
        <v>7.98</v>
      </c>
      <c r="J36" s="283">
        <f t="shared" si="6"/>
        <v>102.41</v>
      </c>
      <c r="K36" s="283">
        <f t="shared" si="7"/>
        <v>181.09</v>
      </c>
    </row>
    <row r="37" spans="2:11">
      <c r="B37" s="145">
        <f t="shared" si="0"/>
        <v>2051</v>
      </c>
      <c r="C37" s="284"/>
      <c r="D37" s="68">
        <f t="shared" si="9"/>
        <v>134.93373226236648</v>
      </c>
      <c r="E37" s="68"/>
      <c r="F37" s="68">
        <f t="shared" si="10"/>
        <v>97.475261741662877</v>
      </c>
      <c r="G37" s="283">
        <f t="shared" si="12"/>
        <v>232.41</v>
      </c>
      <c r="H37" s="68">
        <f t="shared" si="11"/>
        <v>10.051012361788224</v>
      </c>
      <c r="I37" s="68">
        <f t="shared" si="5"/>
        <v>7.98</v>
      </c>
      <c r="J37" s="283">
        <f t="shared" si="6"/>
        <v>104.47</v>
      </c>
      <c r="K37" s="283">
        <f t="shared" si="7"/>
        <v>184.87</v>
      </c>
    </row>
    <row r="38" spans="2:11">
      <c r="B38" s="145">
        <f t="shared" si="0"/>
        <v>2052</v>
      </c>
      <c r="C38" s="284"/>
      <c r="D38" s="68">
        <f t="shared" si="9"/>
        <v>137.87528762568607</v>
      </c>
      <c r="E38" s="68"/>
      <c r="F38" s="68">
        <f t="shared" si="10"/>
        <v>99.600222447631126</v>
      </c>
      <c r="G38" s="283">
        <f t="shared" si="12"/>
        <v>237.48</v>
      </c>
      <c r="H38" s="68">
        <f t="shared" si="11"/>
        <v>10.270124431275208</v>
      </c>
      <c r="I38" s="68">
        <f t="shared" si="5"/>
        <v>7.98</v>
      </c>
      <c r="J38" s="283">
        <f t="shared" si="6"/>
        <v>106.57</v>
      </c>
      <c r="K38" s="283">
        <f t="shared" si="7"/>
        <v>188.72</v>
      </c>
    </row>
    <row r="39" spans="2:11">
      <c r="B39" s="145">
        <f t="shared" si="0"/>
        <v>2053</v>
      </c>
      <c r="C39" s="284"/>
      <c r="D39" s="68">
        <f t="shared" si="9"/>
        <v>140.88096889592603</v>
      </c>
      <c r="E39" s="68"/>
      <c r="F39" s="68">
        <f t="shared" si="10"/>
        <v>101.77150729698948</v>
      </c>
      <c r="G39" s="283">
        <f t="shared" si="12"/>
        <v>242.65</v>
      </c>
      <c r="H39" s="68">
        <f t="shared" si="11"/>
        <v>10.494013143877009</v>
      </c>
      <c r="I39" s="68">
        <f t="shared" si="5"/>
        <v>7.98</v>
      </c>
      <c r="J39" s="283">
        <f t="shared" si="6"/>
        <v>108.72</v>
      </c>
      <c r="K39" s="283">
        <f t="shared" si="7"/>
        <v>192.66</v>
      </c>
    </row>
    <row r="40" spans="2:11">
      <c r="B40" s="145">
        <f t="shared" si="0"/>
        <v>2054</v>
      </c>
      <c r="C40" s="284"/>
      <c r="D40" s="68">
        <f t="shared" si="9"/>
        <v>143.95217401785723</v>
      </c>
      <c r="E40" s="68"/>
      <c r="F40" s="68">
        <f t="shared" si="10"/>
        <v>103.99012615606385</v>
      </c>
      <c r="G40" s="283">
        <f t="shared" si="12"/>
        <v>247.94</v>
      </c>
      <c r="H40" s="68">
        <f t="shared" si="11"/>
        <v>10.722782630413528</v>
      </c>
      <c r="I40" s="68">
        <f t="shared" si="5"/>
        <v>7.98</v>
      </c>
      <c r="J40" s="283">
        <f t="shared" si="6"/>
        <v>110.92</v>
      </c>
      <c r="K40" s="283">
        <f t="shared" si="7"/>
        <v>196.69</v>
      </c>
    </row>
    <row r="41" spans="2:11">
      <c r="B41" s="145">
        <f t="shared" si="0"/>
        <v>2055</v>
      </c>
      <c r="C41" s="284"/>
      <c r="D41" s="68">
        <f t="shared" si="9"/>
        <v>147.09033141144653</v>
      </c>
      <c r="E41" s="68"/>
      <c r="F41" s="68">
        <f t="shared" si="10"/>
        <v>106.25711090626605</v>
      </c>
      <c r="G41" s="283">
        <f t="shared" ref="G41:G52" si="13">ROUND(D41+E41+F41,2)</f>
        <v>253.35</v>
      </c>
      <c r="H41" s="68">
        <f t="shared" si="11"/>
        <v>10.956539291756544</v>
      </c>
      <c r="I41" s="68">
        <f t="shared" si="5"/>
        <v>7.98</v>
      </c>
      <c r="J41" s="283">
        <f t="shared" si="6"/>
        <v>113.16</v>
      </c>
      <c r="K41" s="283">
        <f t="shared" si="7"/>
        <v>200.8</v>
      </c>
    </row>
    <row r="42" spans="2:11">
      <c r="B42" s="145">
        <f t="shared" si="0"/>
        <v>2056</v>
      </c>
      <c r="C42" s="284"/>
      <c r="D42" s="68">
        <f t="shared" si="9"/>
        <v>150.29690063621607</v>
      </c>
      <c r="E42" s="68"/>
      <c r="F42" s="68">
        <f t="shared" si="10"/>
        <v>108.57351592402266</v>
      </c>
      <c r="G42" s="283">
        <f t="shared" si="13"/>
        <v>258.87</v>
      </c>
      <c r="H42" s="68">
        <f t="shared" si="11"/>
        <v>11.195391848316836</v>
      </c>
      <c r="I42" s="68">
        <f t="shared" si="5"/>
        <v>7.98</v>
      </c>
      <c r="J42" s="283">
        <f t="shared" si="6"/>
        <v>115.46</v>
      </c>
      <c r="K42" s="283">
        <f t="shared" si="7"/>
        <v>205.01</v>
      </c>
    </row>
    <row r="43" spans="2:11">
      <c r="B43" s="145">
        <f t="shared" si="0"/>
        <v>2057</v>
      </c>
      <c r="C43" s="284"/>
      <c r="D43" s="68">
        <f t="shared" si="9"/>
        <v>153.57337307008558</v>
      </c>
      <c r="E43" s="68"/>
      <c r="F43" s="68">
        <f t="shared" si="10"/>
        <v>110.94041857116636</v>
      </c>
      <c r="G43" s="283">
        <f t="shared" si="13"/>
        <v>264.51</v>
      </c>
      <c r="H43" s="68">
        <f t="shared" si="11"/>
        <v>11.439451390610143</v>
      </c>
      <c r="I43" s="68">
        <f t="shared" si="5"/>
        <v>7.98</v>
      </c>
      <c r="J43" s="283">
        <f t="shared" si="6"/>
        <v>117.8</v>
      </c>
      <c r="K43" s="283">
        <f t="shared" si="7"/>
        <v>209.3</v>
      </c>
    </row>
    <row r="44" spans="2:11">
      <c r="B44" s="145">
        <f t="shared" si="0"/>
        <v>2058</v>
      </c>
      <c r="C44" s="284"/>
      <c r="D44" s="68">
        <f t="shared" si="9"/>
        <v>156.92127260301345</v>
      </c>
      <c r="E44" s="68"/>
      <c r="F44" s="68">
        <f t="shared" si="10"/>
        <v>113.35891969601779</v>
      </c>
      <c r="G44" s="283">
        <f t="shared" si="13"/>
        <v>270.27999999999997</v>
      </c>
      <c r="H44" s="68">
        <f t="shared" si="11"/>
        <v>11.688831430925445</v>
      </c>
      <c r="I44" s="68">
        <f t="shared" si="5"/>
        <v>7.98</v>
      </c>
      <c r="J44" s="283">
        <f t="shared" si="6"/>
        <v>120.19</v>
      </c>
      <c r="K44" s="283">
        <f t="shared" si="7"/>
        <v>213.69</v>
      </c>
    </row>
    <row r="45" spans="2:11">
      <c r="B45" s="145">
        <f t="shared" si="0"/>
        <v>2059</v>
      </c>
      <c r="C45" s="284"/>
      <c r="D45" s="68">
        <f t="shared" si="9"/>
        <v>160.34215634575915</v>
      </c>
      <c r="E45" s="68"/>
      <c r="F45" s="68">
        <f t="shared" si="10"/>
        <v>115.83014414539099</v>
      </c>
      <c r="G45" s="283">
        <f t="shared" si="13"/>
        <v>276.17</v>
      </c>
      <c r="H45" s="68">
        <f t="shared" si="11"/>
        <v>11.943647956119619</v>
      </c>
      <c r="I45" s="68">
        <f t="shared" si="5"/>
        <v>7.98</v>
      </c>
      <c r="J45" s="283">
        <f t="shared" si="6"/>
        <v>122.64</v>
      </c>
      <c r="K45" s="283">
        <f t="shared" si="7"/>
        <v>218.17</v>
      </c>
    </row>
    <row r="46" spans="2:11">
      <c r="B46" s="145">
        <f t="shared" si="0"/>
        <v>2060</v>
      </c>
      <c r="C46" s="284"/>
      <c r="D46" s="68">
        <f t="shared" si="9"/>
        <v>163.8376153540967</v>
      </c>
      <c r="E46" s="68"/>
      <c r="F46" s="68">
        <f t="shared" si="10"/>
        <v>118.35524128776052</v>
      </c>
      <c r="G46" s="283">
        <f t="shared" si="13"/>
        <v>282.19</v>
      </c>
      <c r="H46" s="68">
        <f t="shared" si="11"/>
        <v>12.204019481563028</v>
      </c>
      <c r="I46" s="68">
        <f t="shared" si="5"/>
        <v>7.98</v>
      </c>
      <c r="J46" s="283">
        <f t="shared" si="6"/>
        <v>125.14</v>
      </c>
      <c r="K46" s="283">
        <f t="shared" si="7"/>
        <v>222.76</v>
      </c>
    </row>
    <row r="47" spans="2:11">
      <c r="B47" s="145">
        <f t="shared" si="0"/>
        <v>2061</v>
      </c>
      <c r="C47" s="284"/>
      <c r="D47" s="68">
        <f t="shared" si="9"/>
        <v>167.40927536881603</v>
      </c>
      <c r="E47" s="68"/>
      <c r="F47" s="68">
        <f t="shared" si="10"/>
        <v>120.9353855478337</v>
      </c>
      <c r="G47" s="283">
        <f t="shared" si="13"/>
        <v>288.33999999999997</v>
      </c>
      <c r="H47" s="68">
        <f t="shared" si="11"/>
        <v>12.470067106261103</v>
      </c>
      <c r="I47" s="68">
        <f t="shared" si="5"/>
        <v>7.98</v>
      </c>
      <c r="J47" s="283">
        <f t="shared" si="6"/>
        <v>127.69</v>
      </c>
      <c r="K47" s="283">
        <f t="shared" si="7"/>
        <v>227.43</v>
      </c>
    </row>
    <row r="48" spans="2:11">
      <c r="B48" s="145">
        <f t="shared" si="0"/>
        <v>2062</v>
      </c>
      <c r="C48" s="284"/>
      <c r="D48" s="68">
        <f t="shared" si="9"/>
        <v>171.05879757185622</v>
      </c>
      <c r="E48" s="68"/>
      <c r="F48" s="68">
        <f t="shared" si="10"/>
        <v>123.57177695277649</v>
      </c>
      <c r="G48" s="283">
        <f t="shared" si="13"/>
        <v>294.63</v>
      </c>
      <c r="H48" s="68">
        <f t="shared" si="11"/>
        <v>12.741914569177595</v>
      </c>
      <c r="I48" s="68">
        <f t="shared" si="5"/>
        <v>7.98</v>
      </c>
      <c r="J48" s="283">
        <f t="shared" si="6"/>
        <v>130.30000000000001</v>
      </c>
      <c r="K48" s="283">
        <f t="shared" si="7"/>
        <v>232.22</v>
      </c>
    </row>
    <row r="49" spans="2:29">
      <c r="B49" s="145">
        <f t="shared" si="0"/>
        <v>2063</v>
      </c>
      <c r="C49" s="284"/>
      <c r="D49" s="68">
        <f t="shared" si="9"/>
        <v>174.78787935892268</v>
      </c>
      <c r="E49" s="68"/>
      <c r="F49" s="68">
        <f t="shared" si="10"/>
        <v>126.26564169034702</v>
      </c>
      <c r="G49" s="283">
        <f t="shared" si="13"/>
        <v>301.05</v>
      </c>
      <c r="H49" s="68">
        <f t="shared" si="11"/>
        <v>13.019688306785667</v>
      </c>
      <c r="I49" s="68">
        <f t="shared" si="5"/>
        <v>7.98</v>
      </c>
      <c r="J49" s="283">
        <f t="shared" si="6"/>
        <v>132.97</v>
      </c>
      <c r="K49" s="283">
        <f t="shared" si="7"/>
        <v>237.11</v>
      </c>
    </row>
    <row r="50" spans="2:29">
      <c r="B50" s="145">
        <f t="shared" si="0"/>
        <v>2064</v>
      </c>
      <c r="C50" s="284"/>
      <c r="D50" s="68">
        <f t="shared" si="9"/>
        <v>178.59825512894722</v>
      </c>
      <c r="E50" s="68"/>
      <c r="F50" s="68">
        <f t="shared" si="10"/>
        <v>129.01823267919659</v>
      </c>
      <c r="G50" s="283">
        <f t="shared" si="13"/>
        <v>307.62</v>
      </c>
      <c r="H50" s="68">
        <f t="shared" si="11"/>
        <v>13.303517511873595</v>
      </c>
      <c r="I50" s="68">
        <f t="shared" si="5"/>
        <v>7.98</v>
      </c>
      <c r="J50" s="283">
        <f t="shared" si="6"/>
        <v>135.69</v>
      </c>
      <c r="K50" s="283">
        <f t="shared" si="7"/>
        <v>242.1</v>
      </c>
    </row>
    <row r="51" spans="2:29">
      <c r="B51" s="145">
        <f t="shared" si="0"/>
        <v>2065</v>
      </c>
      <c r="C51" s="284"/>
      <c r="D51" s="68">
        <f t="shared" si="9"/>
        <v>182.49169709075827</v>
      </c>
      <c r="E51" s="68"/>
      <c r="F51" s="68">
        <f t="shared" si="10"/>
        <v>131.83083015160307</v>
      </c>
      <c r="G51" s="283">
        <f t="shared" si="13"/>
        <v>314.32</v>
      </c>
      <c r="H51" s="68">
        <f t="shared" si="11"/>
        <v>13.59353419363244</v>
      </c>
      <c r="I51" s="68">
        <f t="shared" si="5"/>
        <v>7.98</v>
      </c>
      <c r="J51" s="283">
        <f t="shared" si="6"/>
        <v>138.47999999999999</v>
      </c>
      <c r="K51" s="283">
        <f t="shared" si="7"/>
        <v>247.21</v>
      </c>
    </row>
    <row r="52" spans="2:29">
      <c r="B52" s="145">
        <f t="shared" si="0"/>
        <v>2066</v>
      </c>
      <c r="C52" s="284"/>
      <c r="D52" s="68">
        <f t="shared" si="9"/>
        <v>186.4700160873368</v>
      </c>
      <c r="E52" s="68"/>
      <c r="F52" s="68">
        <f t="shared" si="10"/>
        <v>134.70474224890802</v>
      </c>
      <c r="G52" s="283">
        <f t="shared" si="13"/>
        <v>321.17</v>
      </c>
      <c r="H52" s="68">
        <f t="shared" si="11"/>
        <v>13.889873239053628</v>
      </c>
      <c r="I52" s="68">
        <f t="shared" si="5"/>
        <v>7.98</v>
      </c>
      <c r="J52" s="283">
        <f t="shared" si="6"/>
        <v>141.32</v>
      </c>
      <c r="K52" s="283">
        <f t="shared" si="7"/>
        <v>252.42</v>
      </c>
    </row>
    <row r="53" spans="2:29">
      <c r="B53" s="145">
        <f t="shared" si="0"/>
        <v>2067</v>
      </c>
      <c r="C53" s="284"/>
      <c r="D53" s="68">
        <f t="shared" si="9"/>
        <v>190.53506243804074</v>
      </c>
      <c r="E53" s="68"/>
      <c r="F53" s="68">
        <f t="shared" si="10"/>
        <v>137.64130562993421</v>
      </c>
      <c r="G53" s="283">
        <f>ROUND(D53+E53+F53,2)</f>
        <v>328.18</v>
      </c>
      <c r="H53" s="68">
        <f t="shared" si="11"/>
        <v>14.192672475664997</v>
      </c>
      <c r="I53" s="68">
        <f t="shared" si="5"/>
        <v>7.98</v>
      </c>
      <c r="J53" s="283">
        <f t="shared" si="6"/>
        <v>144.22999999999999</v>
      </c>
      <c r="K53" s="283">
        <f t="shared" si="7"/>
        <v>257.76</v>
      </c>
    </row>
    <row r="54" spans="2:29">
      <c r="B54" s="145">
        <f t="shared" si="0"/>
        <v>2068</v>
      </c>
      <c r="C54" s="284"/>
      <c r="D54" s="68">
        <f t="shared" si="9"/>
        <v>194.68872679919002</v>
      </c>
      <c r="E54" s="68"/>
      <c r="F54" s="68">
        <f t="shared" si="10"/>
        <v>140.64188609266677</v>
      </c>
      <c r="G54" s="283">
        <f>ROUND(D54+E54+F54,2)</f>
        <v>335.33</v>
      </c>
      <c r="H54" s="68">
        <f t="shared" si="11"/>
        <v>14.502072735634494</v>
      </c>
      <c r="I54" s="68">
        <f t="shared" si="5"/>
        <v>7.98</v>
      </c>
      <c r="J54" s="283">
        <f t="shared" si="6"/>
        <v>147.19999999999999</v>
      </c>
      <c r="K54" s="283">
        <f t="shared" si="7"/>
        <v>263.2</v>
      </c>
    </row>
    <row r="55" spans="2:29">
      <c r="B55" s="145">
        <f t="shared" si="0"/>
        <v>2069</v>
      </c>
      <c r="C55" s="284"/>
      <c r="D55" s="68">
        <f t="shared" si="9"/>
        <v>198.93294104341237</v>
      </c>
      <c r="E55" s="68"/>
      <c r="F55" s="68">
        <f t="shared" si="10"/>
        <v>143.70787920948692</v>
      </c>
      <c r="G55" s="283">
        <f>ROUND(D55+E55+F55,2)</f>
        <v>342.64</v>
      </c>
      <c r="H55" s="68">
        <f t="shared" si="11"/>
        <v>14.818217921271327</v>
      </c>
      <c r="I55" s="68">
        <f t="shared" si="5"/>
        <v>7.98</v>
      </c>
      <c r="J55" s="283">
        <f t="shared" si="6"/>
        <v>150.22999999999999</v>
      </c>
      <c r="K55" s="283">
        <f t="shared" si="7"/>
        <v>268.76</v>
      </c>
    </row>
    <row r="56" spans="2:29">
      <c r="B56" s="145">
        <f t="shared" si="0"/>
        <v>2070</v>
      </c>
      <c r="C56" s="284"/>
      <c r="D56" s="68">
        <f t="shared" si="9"/>
        <v>203.26967915815877</v>
      </c>
      <c r="E56" s="68"/>
      <c r="F56" s="68">
        <f t="shared" si="10"/>
        <v>146.84071097625375</v>
      </c>
      <c r="G56" s="283">
        <f>ROUND(D56+E56+F56,2)</f>
        <v>350.11</v>
      </c>
      <c r="H56" s="68">
        <f t="shared" si="11"/>
        <v>15.141255071955042</v>
      </c>
      <c r="I56" s="68">
        <f t="shared" si="5"/>
        <v>7.98</v>
      </c>
      <c r="J56" s="283">
        <f t="shared" si="6"/>
        <v>153.34</v>
      </c>
      <c r="K56" s="283">
        <f t="shared" si="7"/>
        <v>274.45</v>
      </c>
    </row>
    <row r="57" spans="2:29">
      <c r="B57" s="145"/>
      <c r="C57" s="284"/>
      <c r="D57" s="68"/>
      <c r="E57" s="68"/>
      <c r="F57" s="68"/>
      <c r="G57" s="283"/>
      <c r="H57" s="68"/>
      <c r="I57" s="68"/>
      <c r="J57" s="283"/>
      <c r="K57" s="283"/>
    </row>
    <row r="58" spans="2:29">
      <c r="M58" s="145"/>
      <c r="O58" s="289"/>
      <c r="AA58"/>
      <c r="AC58" s="60"/>
    </row>
    <row r="59" spans="2:29">
      <c r="B59" s="67" t="s">
        <v>238</v>
      </c>
      <c r="C59" s="60"/>
      <c r="D59" s="60"/>
      <c r="E59" s="60"/>
      <c r="F59" s="60"/>
      <c r="G59" s="69">
        <f>-PMT(Discount_Rate,COUNT(G$16:G$55),NPV(Discount_Rate,G$16:G$55))</f>
        <v>196.18027703520815</v>
      </c>
      <c r="H59" s="60"/>
      <c r="I59" s="60"/>
      <c r="J59" s="60"/>
      <c r="K59" s="69">
        <f>-PMT(Discount_Rate,COUNT(K$16:K$55),NPV(Discount_Rate,K$16:K$55))</f>
        <v>157.29145405389625</v>
      </c>
      <c r="L59" s="69">
        <f>K59/12</f>
        <v>13.107621171158021</v>
      </c>
      <c r="M59" s="145"/>
      <c r="O59" s="289"/>
      <c r="AA59"/>
      <c r="AC59" s="60"/>
    </row>
    <row r="60" spans="2:29">
      <c r="M60" s="145"/>
      <c r="O60" s="289"/>
      <c r="AA60"/>
      <c r="AC60" s="60"/>
    </row>
    <row r="61" spans="2:29" ht="14.25">
      <c r="B61" s="4" t="s">
        <v>25</v>
      </c>
      <c r="C61" s="17"/>
      <c r="D61" s="17"/>
      <c r="E61" s="17"/>
      <c r="F61" s="17"/>
      <c r="G61" s="17"/>
      <c r="H61" s="17"/>
      <c r="I61" s="17"/>
      <c r="J61" s="17"/>
      <c r="K61" s="17"/>
      <c r="M61" s="289"/>
      <c r="N61" s="289"/>
    </row>
    <row r="63" spans="2:29">
      <c r="B63" t="s">
        <v>237</v>
      </c>
      <c r="D63" s="146" t="s">
        <v>234</v>
      </c>
      <c r="G63" s="290"/>
    </row>
    <row r="64" spans="2:29">
      <c r="C64" s="173" t="str">
        <f>C6</f>
        <v>(a)</v>
      </c>
      <c r="D64" s="146" t="s">
        <v>236</v>
      </c>
      <c r="G64" s="290"/>
    </row>
    <row r="65" spans="3:20">
      <c r="C65" s="173" t="str">
        <f>D6</f>
        <v>(b)</v>
      </c>
      <c r="D65" s="283" t="str">
        <f>"= "&amp;C6&amp;" x "&amp;TEXT(C92,"0.000%")&amp;E92</f>
        <v>= (a) x 6.100%  Real Payment Factor@ 00% ITC</v>
      </c>
    </row>
    <row r="66" spans="3:20">
      <c r="C66" s="173" t="str">
        <f>H6</f>
        <v>(f)</v>
      </c>
      <c r="D66" s="291" t="s">
        <v>235</v>
      </c>
    </row>
    <row r="67" spans="3:20">
      <c r="C67" s="173" t="str">
        <f>J6</f>
        <v>(h)</v>
      </c>
      <c r="D67" s="283" t="str">
        <f>"= "&amp;H6&amp;" / (8.76 x 'Capacity Factor' ) + "&amp;I6</f>
        <v>= (f) / (8.76 x 'Capacity Factor' ) + (g)</v>
      </c>
    </row>
    <row r="68" spans="3:20" ht="13.5" thickBot="1"/>
    <row r="69" spans="3:20" ht="13.5" thickBot="1">
      <c r="C69" s="37" t="s">
        <v>230</v>
      </c>
      <c r="D69" s="292"/>
      <c r="E69" s="292"/>
      <c r="F69" s="292"/>
      <c r="G69" s="292"/>
      <c r="H69" s="292"/>
      <c r="I69" s="292"/>
      <c r="J69" s="293"/>
      <c r="K69" s="294"/>
    </row>
    <row r="70" spans="3:20" ht="5.25" customHeight="1"/>
    <row r="71" spans="3:20" ht="5.25" customHeight="1"/>
    <row r="72" spans="3:20">
      <c r="C72" s="295" t="s">
        <v>207</v>
      </c>
      <c r="D72" s="296"/>
      <c r="E72" s="295"/>
      <c r="F72" s="297" t="s">
        <v>32</v>
      </c>
      <c r="G72" s="297" t="s">
        <v>208</v>
      </c>
      <c r="H72" s="297" t="s">
        <v>209</v>
      </c>
      <c r="I72" s="297" t="s">
        <v>210</v>
      </c>
    </row>
    <row r="73" spans="3:20">
      <c r="C73" s="287" t="s">
        <v>231</v>
      </c>
      <c r="F73" s="298">
        <f>C84</f>
        <v>191.75899999999999</v>
      </c>
      <c r="G73" s="36">
        <f>F73/F75</f>
        <v>1</v>
      </c>
      <c r="H73" s="299">
        <f>C85</f>
        <v>1235.7476526089529</v>
      </c>
      <c r="I73" s="300">
        <f>C88</f>
        <v>54.452165356822256</v>
      </c>
      <c r="O73" s="60"/>
      <c r="P73" s="60"/>
      <c r="Q73" s="60"/>
      <c r="R73" s="60"/>
      <c r="S73" s="60"/>
      <c r="T73" s="60"/>
    </row>
    <row r="74" spans="3:20">
      <c r="C74" s="287"/>
      <c r="F74" s="301"/>
      <c r="G74" s="302"/>
      <c r="H74" s="303"/>
      <c r="I74" s="304"/>
      <c r="O74" s="305"/>
      <c r="P74" s="60"/>
      <c r="Q74" s="60"/>
      <c r="R74" s="60"/>
      <c r="S74" s="60"/>
      <c r="T74" s="60"/>
    </row>
    <row r="75" spans="3:20">
      <c r="C75" s="287" t="s">
        <v>211</v>
      </c>
      <c r="F75" s="298">
        <f>F73+F74</f>
        <v>191.75899999999999</v>
      </c>
      <c r="G75" s="36">
        <f>G73+G74</f>
        <v>1</v>
      </c>
      <c r="H75" s="299">
        <f>ROUND(((F73*H73)+(F74*H74))/F75,0)</f>
        <v>1236</v>
      </c>
      <c r="I75" s="300">
        <f>ROUND(((F73*I73)+(F74*I74))/F75,2)</f>
        <v>54.45</v>
      </c>
      <c r="O75" s="305"/>
      <c r="P75" s="60"/>
      <c r="Q75" s="60"/>
      <c r="R75" s="60"/>
      <c r="S75" s="60"/>
      <c r="T75" s="60"/>
    </row>
    <row r="76" spans="3:20">
      <c r="C76" s="287"/>
      <c r="F76" s="298"/>
      <c r="G76" s="36"/>
      <c r="H76" s="306"/>
      <c r="I76" s="307"/>
      <c r="O76" s="60"/>
      <c r="P76" s="60"/>
      <c r="Q76" s="60"/>
      <c r="R76" s="60"/>
      <c r="S76" s="60"/>
      <c r="T76" s="60"/>
    </row>
    <row r="77" spans="3:20">
      <c r="C77" s="308" t="s">
        <v>207</v>
      </c>
      <c r="D77" s="296"/>
      <c r="E77" s="295"/>
      <c r="F77" s="297" t="s">
        <v>32</v>
      </c>
      <c r="G77" s="297" t="s">
        <v>33</v>
      </c>
      <c r="H77" s="297" t="s">
        <v>212</v>
      </c>
      <c r="I77" s="297" t="s">
        <v>208</v>
      </c>
      <c r="J77" s="297" t="s">
        <v>213</v>
      </c>
      <c r="K77" s="297" t="s">
        <v>214</v>
      </c>
    </row>
    <row r="78" spans="3:20">
      <c r="C78" s="309" t="str">
        <f>C73</f>
        <v>SCCT Frame "F" x1 (6,130')</v>
      </c>
      <c r="D78" s="310"/>
      <c r="E78" s="310"/>
      <c r="F78">
        <f>C84</f>
        <v>191.75899999999999</v>
      </c>
      <c r="G78" s="36">
        <f>C93</f>
        <v>0.33</v>
      </c>
      <c r="H78" s="86">
        <f>G78*F78</f>
        <v>63.280470000000001</v>
      </c>
      <c r="I78" s="36">
        <f>H78/H80</f>
        <v>1</v>
      </c>
      <c r="J78" s="307">
        <f>C89</f>
        <v>7.9799917258138251</v>
      </c>
      <c r="K78" s="311">
        <f>C90</f>
        <v>9600.3960000000006</v>
      </c>
    </row>
    <row r="79" spans="3:20">
      <c r="C79" s="309">
        <f>C74</f>
        <v>0</v>
      </c>
      <c r="D79" s="310"/>
      <c r="E79" s="310"/>
      <c r="F79" s="312">
        <f>D84</f>
        <v>0</v>
      </c>
      <c r="G79" s="302">
        <f>D93</f>
        <v>0</v>
      </c>
      <c r="H79" s="313">
        <f>G79*F79</f>
        <v>0</v>
      </c>
      <c r="I79" s="302">
        <f>1-I78</f>
        <v>0</v>
      </c>
      <c r="J79" s="314">
        <f>D89</f>
        <v>0</v>
      </c>
      <c r="K79" s="315">
        <f>D90</f>
        <v>0</v>
      </c>
    </row>
    <row r="80" spans="3:20">
      <c r="C80" s="287" t="s">
        <v>215</v>
      </c>
      <c r="F80">
        <f>F78+F79</f>
        <v>191.75899999999999</v>
      </c>
      <c r="G80" s="316">
        <f>ROUND(H80/F80,3)</f>
        <v>0.33</v>
      </c>
      <c r="H80" s="86">
        <f>SUM(H78:H79)</f>
        <v>63.280470000000001</v>
      </c>
      <c r="I80" s="36">
        <f>I78+I79</f>
        <v>1</v>
      </c>
      <c r="J80" s="307">
        <f>ROUND(($I78*J78)+($I79*J79),2)</f>
        <v>7.98</v>
      </c>
      <c r="K80" s="269">
        <f>ROUND(($I78*K78)+($I79*K79),0)</f>
        <v>9600</v>
      </c>
    </row>
    <row r="81" spans="2:11">
      <c r="G81" s="316"/>
      <c r="I81" s="36"/>
      <c r="J81" s="307"/>
      <c r="K81" s="317" t="s">
        <v>216</v>
      </c>
    </row>
    <row r="83" spans="2:11">
      <c r="C83" s="297" t="s">
        <v>217</v>
      </c>
      <c r="D83" s="297"/>
      <c r="E83" s="318" t="str">
        <f>D63</f>
        <v>Plant Costs  - 2025 IRP</v>
      </c>
      <c r="F83" s="319"/>
      <c r="G83" s="319"/>
      <c r="H83" s="319"/>
      <c r="I83" s="319"/>
      <c r="J83" s="319"/>
      <c r="K83" s="320"/>
    </row>
    <row r="84" spans="2:11">
      <c r="C84">
        <v>191.75899999999999</v>
      </c>
      <c r="E84" t="s">
        <v>218</v>
      </c>
      <c r="H84" s="321"/>
    </row>
    <row r="85" spans="2:11">
      <c r="B85" t="s">
        <v>185</v>
      </c>
      <c r="C85" s="322">
        <v>1235.7476526089529</v>
      </c>
      <c r="E85" s="287" t="s">
        <v>219</v>
      </c>
      <c r="H85" s="321"/>
    </row>
    <row r="86" spans="2:11">
      <c r="B86" t="s">
        <v>185</v>
      </c>
      <c r="C86" s="331">
        <v>28.653028866339056</v>
      </c>
      <c r="D86" s="307"/>
      <c r="E86" t="s">
        <v>220</v>
      </c>
    </row>
    <row r="87" spans="2:11">
      <c r="B87" t="s">
        <v>185</v>
      </c>
      <c r="C87" s="324">
        <v>25.7991364904832</v>
      </c>
      <c r="D87" s="325"/>
      <c r="E87" t="s">
        <v>221</v>
      </c>
      <c r="H87" s="149" t="s">
        <v>222</v>
      </c>
      <c r="I87" s="326"/>
    </row>
    <row r="88" spans="2:11">
      <c r="B88" t="s">
        <v>185</v>
      </c>
      <c r="C88" s="307">
        <f>C86+C87</f>
        <v>54.452165356822256</v>
      </c>
      <c r="D88" s="307"/>
      <c r="E88" t="s">
        <v>223</v>
      </c>
    </row>
    <row r="89" spans="2:11">
      <c r="B89" t="s">
        <v>185</v>
      </c>
      <c r="C89" s="323">
        <v>7.9799917258138251</v>
      </c>
      <c r="D89" s="307"/>
      <c r="E89" t="s">
        <v>224</v>
      </c>
    </row>
    <row r="90" spans="2:11">
      <c r="C90" s="269">
        <v>9600.3960000000006</v>
      </c>
      <c r="D90" s="269"/>
      <c r="E90" t="s">
        <v>225</v>
      </c>
    </row>
    <row r="91" spans="2:11">
      <c r="C91" s="327">
        <v>0</v>
      </c>
      <c r="D91" s="269"/>
      <c r="E91" t="s">
        <v>226</v>
      </c>
    </row>
    <row r="92" spans="2:11">
      <c r="C92" s="328">
        <v>6.0999999999999999E-2</v>
      </c>
      <c r="D92" s="328"/>
      <c r="E92" t="str">
        <f>"  Real Payment Factor@ "&amp;TEXT(C91,"00%")&amp;" ITC"</f>
        <v xml:space="preserve">  Real Payment Factor@ 00% ITC</v>
      </c>
    </row>
    <row r="93" spans="2:11">
      <c r="C93" s="270">
        <v>0.33</v>
      </c>
      <c r="D93" s="270"/>
      <c r="E93" t="s">
        <v>35</v>
      </c>
      <c r="I93" s="327"/>
      <c r="J93" s="329"/>
    </row>
    <row r="94" spans="2:11">
      <c r="D94" s="36">
        <f>ROUND(H80/F80,3)</f>
        <v>0.33</v>
      </c>
      <c r="E94" t="s">
        <v>227</v>
      </c>
      <c r="I94" s="327"/>
      <c r="J94" s="329"/>
    </row>
    <row r="95" spans="2:11">
      <c r="B95" t="s">
        <v>185</v>
      </c>
      <c r="C95" s="78"/>
      <c r="D95" s="60"/>
      <c r="E95" s="60" t="s">
        <v>85</v>
      </c>
      <c r="I95" s="327"/>
      <c r="J95" s="329"/>
    </row>
    <row r="96" spans="2:11">
      <c r="C96" s="45"/>
      <c r="D96" s="271">
        <v>5.6147516544049472</v>
      </c>
      <c r="E96" s="60" t="s">
        <v>232</v>
      </c>
      <c r="F96" s="334"/>
      <c r="I96" s="327"/>
      <c r="J96" s="329"/>
    </row>
    <row r="97" spans="4:5">
      <c r="D97" s="45">
        <f>(D96/1000000)*1000*C90</f>
        <v>53.903839323942641</v>
      </c>
      <c r="E97" s="60" t="s">
        <v>233</v>
      </c>
    </row>
    <row r="98" spans="4:5">
      <c r="D98" s="335"/>
    </row>
    <row r="100" spans="4:5">
      <c r="D100" s="336"/>
    </row>
    <row r="101" spans="4:5">
      <c r="D101" s="330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6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86"/>
  <sheetViews>
    <sheetView view="pageBreakPreview" topLeftCell="A23" zoomScale="80" zoomScaleNormal="80" zoomScaleSheetLayoutView="80" workbookViewId="0">
      <selection activeCell="A3" sqref="A3"/>
    </sheetView>
  </sheetViews>
  <sheetFormatPr defaultRowHeight="12.75"/>
  <cols>
    <col min="1" max="1" width="12.5" style="3" customWidth="1"/>
    <col min="2" max="2" width="10.8320312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18.83203125" customWidth="1"/>
    <col min="19" max="25" width="15.33203125" customWidth="1"/>
    <col min="26" max="26" width="9.33203125" style="45" customWidth="1"/>
    <col min="27" max="48" width="3.33203125" customWidth="1"/>
    <col min="50" max="52" width="13.83203125" customWidth="1"/>
    <col min="53" max="53" width="25.33203125" customWidth="1"/>
    <col min="54" max="59" width="13.83203125" customWidth="1"/>
    <col min="60" max="60" width="11" customWidth="1"/>
    <col min="61" max="83" width="4.1640625" customWidth="1"/>
    <col min="84" max="84" width="13.83203125" customWidth="1"/>
    <col min="85" max="85" width="10.6640625" customWidth="1"/>
    <col min="86" max="86" width="16.1640625" customWidth="1"/>
    <col min="87" max="91" width="14.6640625" customWidth="1"/>
    <col min="92" max="95" width="12.6640625" customWidth="1"/>
    <col min="96" max="105" width="2.33203125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322</v>
      </c>
      <c r="P4" s="82" t="s">
        <v>54</v>
      </c>
      <c r="Q4" s="82"/>
      <c r="R4" s="82"/>
    </row>
    <row r="5" spans="1:161" ht="15.75">
      <c r="A5"/>
      <c r="B5" s="4" t="str">
        <f ca="1">'Table 5'!M4&amp; " - "&amp;TEXT(Study_MW,"#.0")&amp;" MW and "&amp;TEXT(Study_CF,"#.0%")&amp;" CF"</f>
        <v>QF - Sch38 - UT - Wind - 80.0 MW and 30.3% CF</v>
      </c>
      <c r="C5" s="4"/>
      <c r="D5" s="4"/>
      <c r="E5" s="4"/>
      <c r="F5" s="4"/>
      <c r="G5" s="1"/>
      <c r="H5" s="33"/>
      <c r="P5" s="340">
        <v>0.39343474255914024</v>
      </c>
      <c r="Q5" s="340">
        <v>0.39343474255914024</v>
      </c>
      <c r="R5" s="340">
        <v>0.39343474255914024</v>
      </c>
      <c r="S5" s="340">
        <v>0.25792015761805415</v>
      </c>
      <c r="T5" s="340">
        <v>0.25792015761805415</v>
      </c>
      <c r="U5" s="340">
        <v>0.25792015761805415</v>
      </c>
      <c r="V5" s="340">
        <v>7.3718070273303168E-2</v>
      </c>
      <c r="W5" s="340">
        <v>7.1826765155882377E-2</v>
      </c>
      <c r="X5" s="340">
        <v>0.10785249233276019</v>
      </c>
      <c r="Y5" s="340">
        <v>8.8050975549411797E-2</v>
      </c>
      <c r="Z5" s="340"/>
      <c r="AA5" s="340"/>
      <c r="AB5" s="340"/>
      <c r="AC5" s="340"/>
      <c r="AD5" s="340"/>
      <c r="AE5" s="340"/>
      <c r="AF5" s="340"/>
      <c r="AG5" s="340"/>
      <c r="AH5" s="340"/>
      <c r="AI5" s="340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FD5" s="342"/>
      <c r="FE5" t="s">
        <v>73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91" customFormat="1" ht="122.25" customHeight="1">
      <c r="B7" s="92"/>
      <c r="C7" s="272"/>
      <c r="D7" s="272"/>
      <c r="E7" s="92"/>
      <c r="F7" s="92"/>
      <c r="G7" s="92"/>
      <c r="H7" s="96"/>
      <c r="N7" s="91" t="s">
        <v>241</v>
      </c>
      <c r="P7" s="91" t="str">
        <f>CH7</f>
        <v>WD_.PX.BDG._.PTC.Utility_Scale</v>
      </c>
      <c r="Q7" s="91" t="str">
        <f t="shared" ref="Q7:AU7" si="0">CI7</f>
        <v>WD_.PX.BDG._.PTC.Utility_Scale</v>
      </c>
      <c r="R7" s="91" t="str">
        <f t="shared" si="0"/>
        <v>WD_.PX.BDG._.PTC.Utility_Scale</v>
      </c>
      <c r="S7" s="91" t="s">
        <v>154</v>
      </c>
      <c r="T7" s="91" t="s">
        <v>154</v>
      </c>
      <c r="U7" s="91" t="s">
        <v>154</v>
      </c>
      <c r="V7" s="91" t="str">
        <f t="shared" si="0"/>
        <v>PV_.PX.BDG._.PTC.Utility_Scale</v>
      </c>
      <c r="W7" s="91" t="str">
        <f t="shared" si="0"/>
        <v>PV_.PX.HTG._.PTC.Utility_Scale</v>
      </c>
      <c r="X7" s="91" t="s">
        <v>255</v>
      </c>
      <c r="Y7" s="91" t="str">
        <f t="shared" si="0"/>
        <v>PV_.PX.UTS._.PTC.Utility_Scale</v>
      </c>
      <c r="Z7" s="91">
        <f t="shared" si="0"/>
        <v>0</v>
      </c>
      <c r="AA7" s="91">
        <f t="shared" si="0"/>
        <v>0</v>
      </c>
      <c r="AB7" s="91">
        <f t="shared" si="0"/>
        <v>0</v>
      </c>
      <c r="AC7" s="91">
        <f t="shared" si="0"/>
        <v>0</v>
      </c>
      <c r="AD7" s="91">
        <f t="shared" si="0"/>
        <v>0</v>
      </c>
      <c r="AE7" s="91">
        <f t="shared" si="0"/>
        <v>0</v>
      </c>
      <c r="AF7" s="91">
        <f t="shared" si="0"/>
        <v>0</v>
      </c>
      <c r="AG7" s="91">
        <f t="shared" si="0"/>
        <v>0</v>
      </c>
      <c r="AH7" s="91">
        <f t="shared" si="0"/>
        <v>0</v>
      </c>
      <c r="AI7" s="91">
        <f t="shared" si="0"/>
        <v>0</v>
      </c>
      <c r="AJ7" s="91">
        <f t="shared" si="0"/>
        <v>0</v>
      </c>
      <c r="AK7" s="91">
        <f t="shared" si="0"/>
        <v>0</v>
      </c>
      <c r="AL7" s="91">
        <f t="shared" si="0"/>
        <v>0</v>
      </c>
      <c r="AM7" s="91">
        <f t="shared" si="0"/>
        <v>0</v>
      </c>
      <c r="AN7" s="91">
        <f t="shared" si="0"/>
        <v>0</v>
      </c>
      <c r="AO7" s="91">
        <f t="shared" si="0"/>
        <v>0</v>
      </c>
      <c r="AP7" s="91">
        <f t="shared" si="0"/>
        <v>0</v>
      </c>
      <c r="AQ7" s="91">
        <f t="shared" si="0"/>
        <v>0</v>
      </c>
      <c r="AR7" s="91">
        <f t="shared" si="0"/>
        <v>0</v>
      </c>
      <c r="AS7" s="91">
        <f t="shared" si="0"/>
        <v>0</v>
      </c>
      <c r="AT7" s="91">
        <f t="shared" si="0"/>
        <v>0</v>
      </c>
      <c r="AU7" s="91">
        <f t="shared" si="0"/>
        <v>0</v>
      </c>
      <c r="AW7" s="99" t="s">
        <v>65</v>
      </c>
      <c r="AX7" s="91" t="str">
        <f>CH7</f>
        <v>WD_.PX.BDG._.PTC.Utility_Scale</v>
      </c>
      <c r="AY7" s="91" t="str">
        <f t="shared" ref="AY7:BG9" si="1">CI7</f>
        <v>WD_.PX.BDG._.PTC.Utility_Scale</v>
      </c>
      <c r="AZ7" s="91" t="str">
        <f t="shared" si="1"/>
        <v>WD_.PX.BDG._.PTC.Utility_Scale</v>
      </c>
      <c r="BA7" s="91" t="str">
        <f t="shared" si="1"/>
        <v>WD_.PX.DJW._.PTC.Utility_Scale</v>
      </c>
      <c r="BB7" s="91" t="str">
        <f t="shared" si="1"/>
        <v>WD_.PX.DJW._.PTC.Utility_Scale</v>
      </c>
      <c r="BC7" s="91" t="str">
        <f t="shared" si="1"/>
        <v>WD_.PX.DJW._.PTC.Utility_Scale</v>
      </c>
      <c r="BD7" s="91" t="str">
        <f t="shared" si="1"/>
        <v>PV_.PX.BDG._.PTC.Utility_Scale</v>
      </c>
      <c r="BE7" s="91" t="str">
        <f t="shared" si="1"/>
        <v>PV_.PX.HTG._.PTC.Utility_Scale</v>
      </c>
      <c r="BF7" s="91" t="str">
        <f t="shared" si="1"/>
        <v>PV_.PX.NTN._.PTC.Utility_Scale</v>
      </c>
      <c r="BG7" s="91" t="str">
        <f t="shared" si="1"/>
        <v>PV_.PX.UTS._.PTC.Utility_Scale</v>
      </c>
      <c r="CG7" s="91" t="s">
        <v>242</v>
      </c>
      <c r="CH7" s="91" t="s">
        <v>146</v>
      </c>
      <c r="CI7" s="91" t="s">
        <v>146</v>
      </c>
      <c r="CJ7" s="91" t="s">
        <v>146</v>
      </c>
      <c r="CK7" s="91" t="s">
        <v>149</v>
      </c>
      <c r="CL7" s="91" t="s">
        <v>149</v>
      </c>
      <c r="CM7" s="91" t="s">
        <v>149</v>
      </c>
      <c r="CN7" s="91" t="s">
        <v>245</v>
      </c>
      <c r="CO7" s="91" t="s">
        <v>252</v>
      </c>
      <c r="CP7" s="91" t="s">
        <v>253</v>
      </c>
      <c r="CQ7" s="91" t="s">
        <v>143</v>
      </c>
    </row>
    <row r="8" spans="1:161" s="91" customFormat="1" ht="40.700000000000003" customHeight="1">
      <c r="B8" s="92"/>
      <c r="C8" s="92"/>
      <c r="D8" s="92"/>
      <c r="E8" s="93"/>
      <c r="F8" s="94"/>
      <c r="G8" s="93" t="s">
        <v>14</v>
      </c>
      <c r="H8" s="96"/>
      <c r="I8" s="98"/>
      <c r="J8" s="93"/>
      <c r="K8"/>
      <c r="L8"/>
      <c r="M8"/>
      <c r="P8" s="91" t="str">
        <f t="shared" ref="P8:Y9" si="2">AX8</f>
        <v>WD_.PX.BDG._.PTC.Utility_Scale</v>
      </c>
      <c r="Q8" s="91" t="str">
        <f t="shared" si="2"/>
        <v>WD_.PX.BDG._.PTC.Utility_Scale</v>
      </c>
      <c r="R8" s="91" t="str">
        <f t="shared" si="2"/>
        <v>WD_.PX.BDG._.PTC.Utility_Scale</v>
      </c>
      <c r="S8" s="91" t="str">
        <f t="shared" si="2"/>
        <v>WD_.PX.DJW._.PTC.Utility_Scale</v>
      </c>
      <c r="T8" s="91" t="str">
        <f t="shared" si="2"/>
        <v>WD_.PX.DJW._.PTC.Utility_Scale</v>
      </c>
      <c r="U8" s="91" t="str">
        <f t="shared" si="2"/>
        <v>WD_.PX.DJW._.PTC.Utility_Scale</v>
      </c>
      <c r="V8" s="91" t="str">
        <f t="shared" si="2"/>
        <v>PV_.PX.BDG._.PTC.Utility_Scale</v>
      </c>
      <c r="W8" s="91" t="str">
        <f t="shared" si="2"/>
        <v>PV_.PX.HTG._.PTC.Utility_Scale</v>
      </c>
      <c r="X8" s="91" t="str">
        <f t="shared" si="2"/>
        <v>PV_.PX.NTN._.PTC.Utility_Scale</v>
      </c>
      <c r="Y8" s="91" t="str">
        <f t="shared" si="2"/>
        <v>PV_.PX.UTS._.PTC.Utility_Scale</v>
      </c>
      <c r="Z8" s="91">
        <f t="shared" ref="Z8:AI9" si="3">BH8</f>
        <v>0</v>
      </c>
      <c r="AA8" s="91">
        <f t="shared" si="3"/>
        <v>0</v>
      </c>
      <c r="AB8" s="91">
        <f t="shared" si="3"/>
        <v>0</v>
      </c>
      <c r="AC8" s="91">
        <f t="shared" si="3"/>
        <v>0</v>
      </c>
      <c r="AD8" s="91">
        <f t="shared" si="3"/>
        <v>0</v>
      </c>
      <c r="AE8" s="91">
        <f t="shared" si="3"/>
        <v>0</v>
      </c>
      <c r="AF8" s="91">
        <f t="shared" si="3"/>
        <v>0</v>
      </c>
      <c r="AG8" s="91">
        <f t="shared" si="3"/>
        <v>0</v>
      </c>
      <c r="AH8" s="91">
        <f t="shared" si="3"/>
        <v>0</v>
      </c>
      <c r="AI8" s="91">
        <f t="shared" si="3"/>
        <v>0</v>
      </c>
      <c r="AJ8" s="91">
        <f t="shared" ref="AJ8:AS9" si="4">BR8</f>
        <v>0</v>
      </c>
      <c r="AK8" s="91">
        <f t="shared" si="4"/>
        <v>0</v>
      </c>
      <c r="AL8" s="91">
        <f t="shared" si="4"/>
        <v>0</v>
      </c>
      <c r="AM8" s="91">
        <f t="shared" si="4"/>
        <v>0</v>
      </c>
      <c r="AN8" s="91">
        <f t="shared" si="4"/>
        <v>0</v>
      </c>
      <c r="AO8" s="91">
        <f t="shared" si="4"/>
        <v>0</v>
      </c>
      <c r="AP8" s="91">
        <f t="shared" si="4"/>
        <v>0</v>
      </c>
      <c r="AQ8" s="91">
        <f t="shared" si="4"/>
        <v>0</v>
      </c>
      <c r="AR8" s="91">
        <f t="shared" si="4"/>
        <v>0</v>
      </c>
      <c r="AS8" s="91">
        <f t="shared" si="4"/>
        <v>0</v>
      </c>
      <c r="AT8" s="91">
        <f t="shared" ref="AT8:AU9" si="5">CB8</f>
        <v>0</v>
      </c>
      <c r="AU8" s="91">
        <f t="shared" si="5"/>
        <v>0</v>
      </c>
      <c r="AX8" s="91" t="str">
        <f>CH8</f>
        <v>WD_.PX.BDG._.PTC.Utility_Scale</v>
      </c>
      <c r="AY8" s="91" t="str">
        <f t="shared" si="1"/>
        <v>WD_.PX.BDG._.PTC.Utility_Scale</v>
      </c>
      <c r="AZ8" s="91" t="str">
        <f t="shared" si="1"/>
        <v>WD_.PX.BDG._.PTC.Utility_Scale</v>
      </c>
      <c r="BA8" s="91" t="str">
        <f t="shared" si="1"/>
        <v>WD_.PX.DJW._.PTC.Utility_Scale</v>
      </c>
      <c r="BB8" s="91" t="str">
        <f t="shared" si="1"/>
        <v>WD_.PX.DJW._.PTC.Utility_Scale</v>
      </c>
      <c r="BC8" s="91" t="str">
        <f t="shared" si="1"/>
        <v>WD_.PX.DJW._.PTC.Utility_Scale</v>
      </c>
      <c r="BD8" s="91" t="str">
        <f t="shared" si="1"/>
        <v>PV_.PX.BDG._.PTC.Utility_Scale</v>
      </c>
      <c r="BE8" s="91" t="str">
        <f t="shared" si="1"/>
        <v>PV_.PX.HTG._.PTC.Utility_Scale</v>
      </c>
      <c r="BF8" s="91" t="str">
        <f t="shared" si="1"/>
        <v>PV_.PX.NTN._.PTC.Utility_Scale</v>
      </c>
      <c r="BG8" s="91" t="str">
        <f t="shared" si="1"/>
        <v>PV_.PX.UTS._.PTC.Utility_Scale</v>
      </c>
      <c r="CG8" s="99" t="s">
        <v>66</v>
      </c>
      <c r="CH8" s="91" t="s">
        <v>146</v>
      </c>
      <c r="CI8" s="91" t="s">
        <v>146</v>
      </c>
      <c r="CJ8" s="91" t="s">
        <v>146</v>
      </c>
      <c r="CK8" s="91" t="s">
        <v>149</v>
      </c>
      <c r="CL8" s="91" t="s">
        <v>149</v>
      </c>
      <c r="CM8" s="91" t="s">
        <v>149</v>
      </c>
      <c r="CN8" s="91" t="s">
        <v>245</v>
      </c>
      <c r="CO8" s="91" t="s">
        <v>252</v>
      </c>
      <c r="CP8" s="91" t="s">
        <v>253</v>
      </c>
      <c r="CQ8" s="91" t="s">
        <v>143</v>
      </c>
      <c r="DR8" s="99" t="s">
        <v>67</v>
      </c>
      <c r="DS8" s="99"/>
      <c r="DT8" s="99"/>
      <c r="FD8" s="87" t="s">
        <v>66</v>
      </c>
      <c r="FE8" s="88" t="s">
        <v>67</v>
      </c>
    </row>
    <row r="9" spans="1:161" s="91" customFormat="1" ht="76.7" customHeight="1">
      <c r="B9" s="92"/>
      <c r="C9" s="93" t="s">
        <v>6</v>
      </c>
      <c r="D9" s="93"/>
      <c r="E9" s="93" t="s">
        <v>18</v>
      </c>
      <c r="F9" s="94"/>
      <c r="G9" s="95">
        <f ca="1">Study_CF</f>
        <v>0.3034</v>
      </c>
      <c r="H9" s="33"/>
      <c r="I9" s="93"/>
      <c r="K9"/>
      <c r="L9"/>
      <c r="M9"/>
      <c r="P9" s="233" t="str">
        <f t="shared" si="2"/>
        <v>WD_.PX.BDG._.PTC.Utility_Scale2029</v>
      </c>
      <c r="Q9" s="233" t="str">
        <f t="shared" si="2"/>
        <v>WD_.PX.BDG._.PTC.Utility_Scale2030</v>
      </c>
      <c r="R9" s="233" t="str">
        <f t="shared" si="2"/>
        <v>WD_.PX.BDG._.PTC.Utility_Scale2031</v>
      </c>
      <c r="S9" s="233" t="str">
        <f t="shared" si="2"/>
        <v>WD_.PX.DJW._.PTC.Utility_Scale2029</v>
      </c>
      <c r="T9" s="233" t="str">
        <f t="shared" si="2"/>
        <v>WD_.PX.DJW._.PTC.Utility_Scale2030</v>
      </c>
      <c r="U9" s="233" t="str">
        <f t="shared" si="2"/>
        <v>WD_.PX.DJW._.PTC.Utility_Scale2031</v>
      </c>
      <c r="V9" s="233" t="str">
        <f t="shared" si="2"/>
        <v>PV_.PX.BDG._.PTC.Utility_Scale2031</v>
      </c>
      <c r="W9" s="233" t="str">
        <f t="shared" si="2"/>
        <v>PV_.PX.HTG._.PTC.Utility_Scale2031</v>
      </c>
      <c r="X9" s="233" t="str">
        <f t="shared" si="2"/>
        <v>PV_.PX.NTN._.PTC.Utility_Scale2031</v>
      </c>
      <c r="Y9" s="233" t="str">
        <f t="shared" si="2"/>
        <v>PV_.PX.UTS._.PTC.Utility_Scale2031</v>
      </c>
      <c r="Z9" s="233">
        <f t="shared" si="3"/>
        <v>0</v>
      </c>
      <c r="AA9" s="233">
        <f t="shared" si="3"/>
        <v>0</v>
      </c>
      <c r="AB9" s="233">
        <f t="shared" si="3"/>
        <v>0</v>
      </c>
      <c r="AC9" s="233">
        <f t="shared" si="3"/>
        <v>0</v>
      </c>
      <c r="AD9" s="233">
        <f t="shared" si="3"/>
        <v>0</v>
      </c>
      <c r="AE9" s="233">
        <f t="shared" si="3"/>
        <v>0</v>
      </c>
      <c r="AF9" s="233">
        <f t="shared" si="3"/>
        <v>0</v>
      </c>
      <c r="AG9" s="233">
        <f t="shared" si="3"/>
        <v>0</v>
      </c>
      <c r="AH9" s="233">
        <f t="shared" si="3"/>
        <v>0</v>
      </c>
      <c r="AI9" s="233">
        <f t="shared" si="3"/>
        <v>0</v>
      </c>
      <c r="AJ9" s="233">
        <f t="shared" si="4"/>
        <v>0</v>
      </c>
      <c r="AK9" s="233">
        <f t="shared" si="4"/>
        <v>0</v>
      </c>
      <c r="AL9" s="233">
        <f t="shared" si="4"/>
        <v>0</v>
      </c>
      <c r="AM9" s="233">
        <f t="shared" si="4"/>
        <v>0</v>
      </c>
      <c r="AN9" s="233">
        <f t="shared" si="4"/>
        <v>0</v>
      </c>
      <c r="AO9" s="233">
        <f t="shared" si="4"/>
        <v>0</v>
      </c>
      <c r="AP9" s="233">
        <f t="shared" si="4"/>
        <v>0</v>
      </c>
      <c r="AQ9" s="233">
        <f t="shared" si="4"/>
        <v>0</v>
      </c>
      <c r="AR9" s="233">
        <f t="shared" si="4"/>
        <v>0</v>
      </c>
      <c r="AS9" s="233">
        <f t="shared" si="4"/>
        <v>0</v>
      </c>
      <c r="AT9" s="233">
        <f t="shared" si="5"/>
        <v>0</v>
      </c>
      <c r="AU9" s="233">
        <f t="shared" si="5"/>
        <v>0</v>
      </c>
      <c r="AX9" s="233" t="str">
        <f>CH9</f>
        <v>WD_.PX.BDG._.PTC.Utility_Scale2029</v>
      </c>
      <c r="AY9" s="233" t="str">
        <f t="shared" si="1"/>
        <v>WD_.PX.BDG._.PTC.Utility_Scale2030</v>
      </c>
      <c r="AZ9" s="233" t="str">
        <f t="shared" si="1"/>
        <v>WD_.PX.BDG._.PTC.Utility_Scale2031</v>
      </c>
      <c r="BA9" s="233" t="str">
        <f t="shared" si="1"/>
        <v>WD_.PX.DJW._.PTC.Utility_Scale2029</v>
      </c>
      <c r="BB9" s="233" t="str">
        <f t="shared" si="1"/>
        <v>WD_.PX.DJW._.PTC.Utility_Scale2030</v>
      </c>
      <c r="BC9" s="233" t="str">
        <f t="shared" si="1"/>
        <v>WD_.PX.DJW._.PTC.Utility_Scale2031</v>
      </c>
      <c r="BD9" s="233" t="str">
        <f t="shared" si="1"/>
        <v>PV_.PX.BDG._.PTC.Utility_Scale2031</v>
      </c>
      <c r="BE9" s="233" t="str">
        <f t="shared" si="1"/>
        <v>PV_.PX.HTG._.PTC.Utility_Scale2031</v>
      </c>
      <c r="BF9" s="233" t="str">
        <f t="shared" si="1"/>
        <v>PV_.PX.NTN._.PTC.Utility_Scale2031</v>
      </c>
      <c r="BG9" s="233" t="str">
        <f t="shared" si="1"/>
        <v>PV_.PX.UTS._.PTC.Utility_Scale2031</v>
      </c>
      <c r="BH9" s="233"/>
      <c r="BI9" s="233"/>
      <c r="BJ9" s="233"/>
      <c r="BK9" s="233"/>
      <c r="BL9" s="233"/>
      <c r="BM9" s="233"/>
      <c r="BN9" s="233"/>
      <c r="BO9" s="233"/>
      <c r="BP9" s="233"/>
      <c r="BQ9" s="233"/>
      <c r="BR9" s="233"/>
      <c r="BS9" s="233"/>
      <c r="BT9" s="233"/>
      <c r="BU9" s="233"/>
      <c r="BV9" s="233"/>
      <c r="BW9" s="233"/>
      <c r="BX9" s="233"/>
      <c r="BY9" s="233"/>
      <c r="BZ9" s="233"/>
      <c r="CA9" s="233"/>
      <c r="CB9" s="233"/>
      <c r="CC9" s="233"/>
      <c r="CD9" s="233"/>
      <c r="CE9" s="233"/>
      <c r="CH9" s="233" t="s">
        <v>292</v>
      </c>
      <c r="CI9" s="233" t="s">
        <v>293</v>
      </c>
      <c r="CJ9" s="233" t="s">
        <v>294</v>
      </c>
      <c r="CK9" s="233" t="s">
        <v>194</v>
      </c>
      <c r="CL9" s="233" t="s">
        <v>295</v>
      </c>
      <c r="CM9" s="233" t="s">
        <v>296</v>
      </c>
      <c r="CN9" s="180" t="s">
        <v>298</v>
      </c>
      <c r="CO9" s="180" t="s">
        <v>299</v>
      </c>
      <c r="CP9" s="180" t="s">
        <v>300</v>
      </c>
      <c r="CQ9" s="180" t="s">
        <v>301</v>
      </c>
      <c r="CR9" s="180"/>
      <c r="CS9" s="180"/>
      <c r="CT9" s="180"/>
      <c r="CU9" s="180"/>
      <c r="CV9" s="180"/>
      <c r="CW9" s="180"/>
      <c r="CX9" s="180"/>
      <c r="CY9" s="180"/>
      <c r="CZ9" s="180"/>
      <c r="DA9" s="180"/>
      <c r="DR9" s="91" t="str">
        <f t="shared" ref="DR9:ET9" si="6">CH9</f>
        <v>WD_.PX.BDG._.PTC.Utility_Scale2029</v>
      </c>
      <c r="DS9" s="91" t="str">
        <f t="shared" si="6"/>
        <v>WD_.PX.BDG._.PTC.Utility_Scale2030</v>
      </c>
      <c r="DT9" s="91" t="str">
        <f t="shared" si="6"/>
        <v>WD_.PX.BDG._.PTC.Utility_Scale2031</v>
      </c>
      <c r="DU9" s="91" t="str">
        <f t="shared" si="6"/>
        <v>WD_.PX.DJW._.PTC.Utility_Scale2029</v>
      </c>
      <c r="DV9" s="101" t="str">
        <f t="shared" si="6"/>
        <v>WD_.PX.DJW._.PTC.Utility_Scale2030</v>
      </c>
      <c r="DW9" s="91" t="str">
        <f t="shared" si="6"/>
        <v>WD_.PX.DJW._.PTC.Utility_Scale2031</v>
      </c>
      <c r="DX9" s="101" t="str">
        <f t="shared" si="6"/>
        <v>PV_.PX.BDG._.PTC.Utility_Scale2031</v>
      </c>
      <c r="DY9" s="91" t="str">
        <f t="shared" si="6"/>
        <v>PV_.PX.HTG._.PTC.Utility_Scale2031</v>
      </c>
      <c r="DZ9" s="91" t="str">
        <f t="shared" si="6"/>
        <v>PV_.PX.NTN._.PTC.Utility_Scale2031</v>
      </c>
      <c r="EA9" s="91" t="str">
        <f t="shared" si="6"/>
        <v>PV_.PX.UTS._.PTC.Utility_Scale2031</v>
      </c>
      <c r="EB9" s="91">
        <f t="shared" si="6"/>
        <v>0</v>
      </c>
      <c r="EC9" s="91">
        <f t="shared" si="6"/>
        <v>0</v>
      </c>
      <c r="ED9" s="91">
        <f t="shared" si="6"/>
        <v>0</v>
      </c>
      <c r="EE9" s="91">
        <f t="shared" si="6"/>
        <v>0</v>
      </c>
      <c r="EF9" s="91">
        <f t="shared" si="6"/>
        <v>0</v>
      </c>
      <c r="EG9" s="91">
        <f t="shared" si="6"/>
        <v>0</v>
      </c>
      <c r="EH9" s="91">
        <f t="shared" si="6"/>
        <v>0</v>
      </c>
      <c r="EI9" s="91">
        <f t="shared" si="6"/>
        <v>0</v>
      </c>
      <c r="EJ9" s="91">
        <f t="shared" si="6"/>
        <v>0</v>
      </c>
      <c r="EK9" s="91">
        <f t="shared" si="6"/>
        <v>0</v>
      </c>
      <c r="EL9" s="91">
        <f t="shared" si="6"/>
        <v>0</v>
      </c>
      <c r="EM9" s="91">
        <f t="shared" si="6"/>
        <v>0</v>
      </c>
      <c r="EN9" s="91">
        <f t="shared" si="6"/>
        <v>0</v>
      </c>
      <c r="EO9" s="91">
        <f t="shared" si="6"/>
        <v>0</v>
      </c>
      <c r="EP9" s="91">
        <f t="shared" si="6"/>
        <v>0</v>
      </c>
      <c r="EQ9" s="91">
        <f t="shared" si="6"/>
        <v>0</v>
      </c>
      <c r="ER9" s="91">
        <f t="shared" si="6"/>
        <v>0</v>
      </c>
      <c r="ES9" s="91">
        <f t="shared" si="6"/>
        <v>0</v>
      </c>
      <c r="ET9" s="91">
        <f t="shared" si="6"/>
        <v>0</v>
      </c>
      <c r="FA9" s="91" t="s">
        <v>68</v>
      </c>
      <c r="FD9" s="91" t="s">
        <v>244</v>
      </c>
      <c r="FE9" s="91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73"/>
      <c r="I10" s="5"/>
      <c r="J10" s="173"/>
      <c r="K10" s="178"/>
      <c r="Z10"/>
    </row>
    <row r="11" spans="1:161" ht="13.5">
      <c r="A11"/>
      <c r="B11" s="5"/>
      <c r="C11" s="5" t="s">
        <v>16</v>
      </c>
      <c r="D11" s="5"/>
      <c r="E11" s="236" t="s">
        <v>50</v>
      </c>
      <c r="F11" s="35"/>
      <c r="G11" s="5" t="s">
        <v>31</v>
      </c>
      <c r="H11" s="5"/>
      <c r="I11" s="5"/>
      <c r="J11" s="5"/>
      <c r="K11" s="5"/>
      <c r="P11" t="s">
        <v>32</v>
      </c>
      <c r="Q11" t="s">
        <v>32</v>
      </c>
      <c r="R11" t="s">
        <v>32</v>
      </c>
      <c r="S11" t="s">
        <v>32</v>
      </c>
      <c r="T11" t="s">
        <v>32</v>
      </c>
      <c r="U11" t="s">
        <v>32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32</v>
      </c>
      <c r="AF11" t="s">
        <v>32</v>
      </c>
      <c r="AG11" t="s">
        <v>32</v>
      </c>
      <c r="AH11" t="s">
        <v>32</v>
      </c>
      <c r="AI11" t="s">
        <v>32</v>
      </c>
      <c r="AJ11" t="s">
        <v>32</v>
      </c>
      <c r="AK11" t="s">
        <v>32</v>
      </c>
      <c r="AL11" t="s">
        <v>32</v>
      </c>
      <c r="AM11" t="s">
        <v>32</v>
      </c>
      <c r="AN11" t="s">
        <v>32</v>
      </c>
      <c r="AO11" t="s">
        <v>32</v>
      </c>
      <c r="AP11" t="s">
        <v>32</v>
      </c>
      <c r="AQ11" t="s">
        <v>32</v>
      </c>
      <c r="AR11" t="s">
        <v>32</v>
      </c>
      <c r="AS11" t="s">
        <v>32</v>
      </c>
      <c r="AT11" t="s">
        <v>32</v>
      </c>
      <c r="AU11" t="s">
        <v>32</v>
      </c>
      <c r="AX11" t="s">
        <v>32</v>
      </c>
      <c r="AY11" t="s">
        <v>32</v>
      </c>
      <c r="BC11" t="s">
        <v>32</v>
      </c>
      <c r="CH11" t="s">
        <v>69</v>
      </c>
      <c r="CI11" t="s">
        <v>69</v>
      </c>
      <c r="CJ11" t="s">
        <v>69</v>
      </c>
      <c r="CK11" t="s">
        <v>69</v>
      </c>
      <c r="CL11" t="s">
        <v>69</v>
      </c>
      <c r="CM11" t="s">
        <v>69</v>
      </c>
      <c r="CN11" t="s">
        <v>69</v>
      </c>
      <c r="CO11" t="s">
        <v>69</v>
      </c>
      <c r="CP11" t="s">
        <v>69</v>
      </c>
      <c r="CQ11" t="s">
        <v>69</v>
      </c>
      <c r="DR11" t="s">
        <v>70</v>
      </c>
      <c r="DS11" t="s">
        <v>70</v>
      </c>
      <c r="DT11" t="s">
        <v>70</v>
      </c>
      <c r="DU11" t="s">
        <v>70</v>
      </c>
      <c r="DV11" t="s">
        <v>70</v>
      </c>
      <c r="DW11" t="s">
        <v>70</v>
      </c>
      <c r="DX11" t="s">
        <v>70</v>
      </c>
      <c r="DY11" t="s">
        <v>70</v>
      </c>
      <c r="DZ11" t="s">
        <v>70</v>
      </c>
      <c r="EA11" t="s">
        <v>70</v>
      </c>
      <c r="EB11" t="s">
        <v>70</v>
      </c>
      <c r="EC11" t="s">
        <v>70</v>
      </c>
      <c r="ED11" t="s">
        <v>70</v>
      </c>
      <c r="EE11" t="s">
        <v>70</v>
      </c>
      <c r="EF11" t="s">
        <v>70</v>
      </c>
      <c r="EG11" t="s">
        <v>70</v>
      </c>
      <c r="EH11" t="s">
        <v>70</v>
      </c>
      <c r="EI11" t="s">
        <v>70</v>
      </c>
      <c r="EJ11" t="s">
        <v>70</v>
      </c>
      <c r="EK11" t="s">
        <v>70</v>
      </c>
      <c r="EL11" t="s">
        <v>70</v>
      </c>
      <c r="EM11" t="s">
        <v>70</v>
      </c>
      <c r="EN11" t="s">
        <v>70</v>
      </c>
      <c r="EO11" t="s">
        <v>70</v>
      </c>
      <c r="EP11" t="s">
        <v>70</v>
      </c>
      <c r="EQ11" t="s">
        <v>70</v>
      </c>
      <c r="ER11" t="s">
        <v>70</v>
      </c>
      <c r="ES11" t="s">
        <v>70</v>
      </c>
      <c r="ET11" t="s">
        <v>70</v>
      </c>
      <c r="FA11" t="s">
        <v>70</v>
      </c>
      <c r="FD11" t="s">
        <v>69</v>
      </c>
      <c r="FE11" t="s">
        <v>70</v>
      </c>
    </row>
    <row r="12" spans="1:161">
      <c r="A12"/>
      <c r="B12" s="5"/>
      <c r="C12" s="106"/>
      <c r="D12" s="5"/>
      <c r="E12" s="5"/>
      <c r="F12" s="5"/>
      <c r="H12" s="96"/>
      <c r="I12" s="92"/>
      <c r="J12" s="91"/>
      <c r="K12" s="91"/>
      <c r="L12" s="91"/>
      <c r="M12" s="91"/>
    </row>
    <row r="13" spans="1:161">
      <c r="A13"/>
      <c r="B13" s="237">
        <f>'Table 5'!J13</f>
        <v>2025</v>
      </c>
      <c r="C13" s="8">
        <f t="shared" ref="C13:C32" si="7">(INDEX($FA:$FA,MATCH(B13,$O:$O,0),1)+INDEX($FE:$FE,MATCH(B13,$O:$O,0),1))*1000/Study_MW</f>
        <v>0</v>
      </c>
      <c r="D13" s="238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20.985702752748704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20.985702752748704</v>
      </c>
      <c r="H13" s="8"/>
      <c r="I13" s="8"/>
      <c r="J13" s="8"/>
      <c r="K13" s="8"/>
      <c r="O13">
        <f t="shared" ref="O13:O32" si="8">B13</f>
        <v>2025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X13">
        <f t="shared" ref="AX13:AX34" si="9">P13/P$5</f>
        <v>0</v>
      </c>
      <c r="AY13">
        <f t="shared" ref="AY13:AY32" si="10">Q13/Q$5</f>
        <v>0</v>
      </c>
      <c r="AZ13">
        <f t="shared" ref="AZ13:AZ32" si="11">R13/R$5</f>
        <v>0</v>
      </c>
      <c r="BA13">
        <f t="shared" ref="BA13:BA32" si="12">S13/S$5</f>
        <v>0</v>
      </c>
      <c r="BB13">
        <f t="shared" ref="BB13:BB32" si="13">T13/T$5</f>
        <v>0</v>
      </c>
      <c r="BC13">
        <f t="shared" ref="BC13:BC32" si="14">U13/U$5</f>
        <v>0</v>
      </c>
      <c r="BD13">
        <f t="shared" ref="BD13:BD32" si="15">V13/V$5</f>
        <v>0</v>
      </c>
      <c r="BE13">
        <f t="shared" ref="BE13:BE32" si="16">W13/W$5</f>
        <v>0</v>
      </c>
      <c r="BF13">
        <f t="shared" ref="BF13:BF32" si="17">X13/X$5</f>
        <v>0</v>
      </c>
      <c r="BG13">
        <f t="shared" ref="BG13:BG32" si="18">Y13/Y$5</f>
        <v>0</v>
      </c>
      <c r="CG13" s="145">
        <f t="shared" ref="CG13:CG34" si="19">O13</f>
        <v>2025</v>
      </c>
      <c r="CH13" s="69">
        <f>INDEX(Table3Compare!$B$6:$K$32,MATCH($CG13,Table3Compare!$A$6:$A$32,0),MATCH(CH$9,Table3Compare!$B$5:$K$5,0))</f>
        <v>0</v>
      </c>
      <c r="CI13" s="69">
        <f>INDEX(Table3Compare!$B$6:$K$32,MATCH($CG13,Table3Compare!$A$6:$A$32,0),MATCH(CI$9,Table3Compare!$B$5:$K$5,0))</f>
        <v>0</v>
      </c>
      <c r="CJ13" s="69">
        <f>INDEX(Table3Compare!$B$6:$K$32,MATCH($CG13,Table3Compare!$A$6:$A$32,0),MATCH(CJ$9,Table3Compare!$B$5:$K$5,0))</f>
        <v>0</v>
      </c>
      <c r="CK13" s="69">
        <f>INDEX(Table3Compare!$B$6:$K$32,MATCH($CG13,Table3Compare!$A$6:$A$32,0),MATCH(CK$9,Table3Compare!$B$5:$K$5,0))</f>
        <v>0</v>
      </c>
      <c r="CL13" s="69">
        <f>INDEX(Table3Compare!$B$6:$K$32,MATCH($CG13,Table3Compare!$A$6:$A$32,0),MATCH(CL$9,Table3Compare!$B$5:$K$5,0))</f>
        <v>0</v>
      </c>
      <c r="CM13" s="69">
        <f>INDEX(Table3Compare!$B$6:$K$32,MATCH($CG13,Table3Compare!$A$6:$A$32,0),MATCH(CM$9,Table3Compare!$B$5:$K$5,0))</f>
        <v>0</v>
      </c>
      <c r="CN13" s="69">
        <f>INDEX(Table3Compare!$B$6:$K$32,MATCH($CG13,Table3Compare!$A$6:$A$32,0),MATCH(CN$9,Table3Compare!$B$5:$K$5,0))</f>
        <v>0</v>
      </c>
      <c r="CO13" s="69">
        <f>INDEX(Table3Compare!$B$6:$K$32,MATCH($CG13,Table3Compare!$A$6:$A$32,0),MATCH(CO$9,Table3Compare!$B$5:$K$5,0))</f>
        <v>0</v>
      </c>
      <c r="CP13" s="69">
        <f>INDEX(Table3Compare!$B$6:$K$32,MATCH($CG13,Table3Compare!$A$6:$A$32,0),MATCH(CP$9,Table3Compare!$B$5:$K$5,0))</f>
        <v>0</v>
      </c>
      <c r="CQ13" s="69">
        <f>INDEX(Table3Compare!$B$6:$K$32,MATCH($CG13,Table3Compare!$A$6:$A$32,0),MATCH(CQ$9,Table3Compare!$B$5:$K$5,0))</f>
        <v>0</v>
      </c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152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4" si="20">SUM(DR13:EZ13)</f>
        <v>0</v>
      </c>
      <c r="FC13">
        <f t="shared" ref="FC13:FC34" si="21">O13</f>
        <v>2025</v>
      </c>
      <c r="FD13" s="45"/>
      <c r="FE13" s="86">
        <f>$FD$5*FD13/1000</f>
        <v>0</v>
      </c>
    </row>
    <row r="14" spans="1:161">
      <c r="A14"/>
      <c r="B14" s="237">
        <f t="shared" ref="B14:B33" si="22">B13+1</f>
        <v>2026</v>
      </c>
      <c r="C14" s="8">
        <f t="shared" si="7"/>
        <v>0</v>
      </c>
      <c r="D14" s="238"/>
      <c r="E14" s="8">
        <f t="shared" ref="E14:E32" ca="1" si="23">SUMIF(INDIRECT("'Table 5'!$J$"&amp;$K$3&amp;":$J$"&amp;$K$4),B14,INDIRECT("'Table 5'!$c$"&amp;$K$3&amp;":$c$"&amp;$K$4))/SUMIF(INDIRECT("'Table 5'!$J$"&amp;$K$3&amp;":$J$"&amp;$K$4),B14,INDIRECT("'Table 5'!$f$"&amp;$K$3&amp;":$f$"&amp;$K$4))</f>
        <v>24.182230658481654</v>
      </c>
      <c r="F14" s="33"/>
      <c r="G14" s="8">
        <f t="shared" ref="G14:G32" ca="1" si="24">SUMIF(INDIRECT("'Table 5'!$J$"&amp;$K$3&amp;":$J$"&amp;$K$4),B14,INDIRECT("'Table 5'!$e$"&amp;$K$3&amp;":$e$"&amp;$K$4))/SUMIF(INDIRECT("'Table 5'!$J$"&amp;$K$3&amp;":$J$"&amp;$K$4),B14,INDIRECT("'Table 5'!$f$"&amp;$K$3&amp;":$f$"&amp;$K$4))</f>
        <v>24.182230658481654</v>
      </c>
      <c r="H14" s="8"/>
      <c r="I14" s="8"/>
      <c r="J14" s="8"/>
      <c r="K14" s="8"/>
      <c r="O14">
        <f t="shared" si="8"/>
        <v>2026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X14">
        <f t="shared" si="9"/>
        <v>0</v>
      </c>
      <c r="AY14">
        <f t="shared" si="10"/>
        <v>0</v>
      </c>
      <c r="AZ14">
        <f t="shared" si="11"/>
        <v>0</v>
      </c>
      <c r="BA14">
        <f t="shared" si="12"/>
        <v>0</v>
      </c>
      <c r="BB14">
        <f t="shared" si="13"/>
        <v>0</v>
      </c>
      <c r="BC14">
        <f t="shared" si="14"/>
        <v>0</v>
      </c>
      <c r="BD14">
        <f t="shared" si="15"/>
        <v>0</v>
      </c>
      <c r="BE14">
        <f t="shared" si="16"/>
        <v>0</v>
      </c>
      <c r="BF14">
        <f t="shared" si="17"/>
        <v>0</v>
      </c>
      <c r="BG14">
        <f t="shared" si="18"/>
        <v>0</v>
      </c>
      <c r="CG14" s="145">
        <f t="shared" si="19"/>
        <v>2026</v>
      </c>
      <c r="CH14" s="69">
        <f>INDEX(Table3Compare!$B$6:$K$32,MATCH($CG14,Table3Compare!$A$6:$A$32,0),MATCH(CH$9,Table3Compare!$B$5:$K$5,0))</f>
        <v>0</v>
      </c>
      <c r="CI14" s="69">
        <f>INDEX(Table3Compare!$B$6:$K$32,MATCH($CG14,Table3Compare!$A$6:$A$32,0),MATCH(CI$9,Table3Compare!$B$5:$K$5,0))</f>
        <v>0</v>
      </c>
      <c r="CJ14" s="69">
        <f>INDEX(Table3Compare!$B$6:$K$32,MATCH($CG14,Table3Compare!$A$6:$A$32,0),MATCH(CJ$9,Table3Compare!$B$5:$K$5,0))</f>
        <v>0</v>
      </c>
      <c r="CK14" s="69">
        <f>INDEX(Table3Compare!$B$6:$K$32,MATCH($CG14,Table3Compare!$A$6:$A$32,0),MATCH(CK$9,Table3Compare!$B$5:$K$5,0))</f>
        <v>0</v>
      </c>
      <c r="CL14" s="69">
        <f>INDEX(Table3Compare!$B$6:$K$32,MATCH($CG14,Table3Compare!$A$6:$A$32,0),MATCH(CL$9,Table3Compare!$B$5:$K$5,0))</f>
        <v>0</v>
      </c>
      <c r="CM14" s="69">
        <f>INDEX(Table3Compare!$B$6:$K$32,MATCH($CG14,Table3Compare!$A$6:$A$32,0),MATCH(CM$9,Table3Compare!$B$5:$K$5,0))</f>
        <v>0</v>
      </c>
      <c r="CN14" s="69">
        <f>INDEX(Table3Compare!$B$6:$K$32,MATCH($CG14,Table3Compare!$A$6:$A$32,0),MATCH(CN$9,Table3Compare!$B$5:$K$5,0))</f>
        <v>0</v>
      </c>
      <c r="CO14" s="69">
        <f>INDEX(Table3Compare!$B$6:$K$32,MATCH($CG14,Table3Compare!$A$6:$A$32,0),MATCH(CO$9,Table3Compare!$B$5:$K$5,0))</f>
        <v>0</v>
      </c>
      <c r="CP14" s="69">
        <f>INDEX(Table3Compare!$B$6:$K$32,MATCH($CG14,Table3Compare!$A$6:$A$32,0),MATCH(CP$9,Table3Compare!$B$5:$K$5,0))</f>
        <v>0</v>
      </c>
      <c r="CQ14" s="69">
        <f>INDEX(Table3Compare!$B$6:$K$32,MATCH($CG14,Table3Compare!$A$6:$A$32,0),MATCH(CQ$9,Table3Compare!$B$5:$K$5,0))</f>
        <v>0</v>
      </c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152"/>
      <c r="DG14" s="152"/>
      <c r="DH14" s="69"/>
      <c r="DI14" s="152"/>
      <c r="DJ14" s="152"/>
      <c r="DK14" s="152"/>
      <c r="DL14" s="152"/>
      <c r="DM14" s="152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2026</v>
      </c>
      <c r="FD14" s="45"/>
      <c r="FE14" s="86">
        <f t="shared" ref="FE14:FE32" si="25">$FD$5*FD14/1000</f>
        <v>0</v>
      </c>
    </row>
    <row r="15" spans="1:161">
      <c r="A15"/>
      <c r="B15" s="237">
        <f t="shared" si="22"/>
        <v>2027</v>
      </c>
      <c r="C15" s="8">
        <f t="shared" si="7"/>
        <v>0</v>
      </c>
      <c r="D15" s="238"/>
      <c r="E15" s="8">
        <f t="shared" ca="1" si="23"/>
        <v>25.802800927233299</v>
      </c>
      <c r="F15" s="33"/>
      <c r="G15" s="8">
        <f t="shared" ca="1" si="24"/>
        <v>25.802800927233299</v>
      </c>
      <c r="H15" s="8"/>
      <c r="I15" s="8"/>
      <c r="J15" s="8"/>
      <c r="K15" s="8"/>
      <c r="O15">
        <f t="shared" si="8"/>
        <v>2027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X15">
        <f t="shared" si="9"/>
        <v>0</v>
      </c>
      <c r="AY15">
        <f t="shared" si="10"/>
        <v>0</v>
      </c>
      <c r="AZ15">
        <f t="shared" si="11"/>
        <v>0</v>
      </c>
      <c r="BA15">
        <f t="shared" si="12"/>
        <v>0</v>
      </c>
      <c r="BB15">
        <f t="shared" si="13"/>
        <v>0</v>
      </c>
      <c r="BC15">
        <f t="shared" si="14"/>
        <v>0</v>
      </c>
      <c r="BD15">
        <f t="shared" si="15"/>
        <v>0</v>
      </c>
      <c r="BE15">
        <f t="shared" si="16"/>
        <v>0</v>
      </c>
      <c r="BF15">
        <f t="shared" si="17"/>
        <v>0</v>
      </c>
      <c r="BG15">
        <f t="shared" si="18"/>
        <v>0</v>
      </c>
      <c r="CG15" s="145">
        <f t="shared" si="19"/>
        <v>2027</v>
      </c>
      <c r="CH15" s="69">
        <f>INDEX(Table3Compare!$B$6:$K$32,MATCH($CG15,Table3Compare!$A$6:$A$32,0),MATCH(CH$9,Table3Compare!$B$5:$K$5,0))</f>
        <v>0</v>
      </c>
      <c r="CI15" s="69">
        <f>INDEX(Table3Compare!$B$6:$K$32,MATCH($CG15,Table3Compare!$A$6:$A$32,0),MATCH(CI$9,Table3Compare!$B$5:$K$5,0))</f>
        <v>0</v>
      </c>
      <c r="CJ15" s="69">
        <f>INDEX(Table3Compare!$B$6:$K$32,MATCH($CG15,Table3Compare!$A$6:$A$32,0),MATCH(CJ$9,Table3Compare!$B$5:$K$5,0))</f>
        <v>0</v>
      </c>
      <c r="CK15" s="69">
        <f>INDEX(Table3Compare!$B$6:$K$32,MATCH($CG15,Table3Compare!$A$6:$A$32,0),MATCH(CK$9,Table3Compare!$B$5:$K$5,0))</f>
        <v>0</v>
      </c>
      <c r="CL15" s="69">
        <f>INDEX(Table3Compare!$B$6:$K$32,MATCH($CG15,Table3Compare!$A$6:$A$32,0),MATCH(CL$9,Table3Compare!$B$5:$K$5,0))</f>
        <v>0</v>
      </c>
      <c r="CM15" s="69">
        <f>INDEX(Table3Compare!$B$6:$K$32,MATCH($CG15,Table3Compare!$A$6:$A$32,0),MATCH(CM$9,Table3Compare!$B$5:$K$5,0))</f>
        <v>0</v>
      </c>
      <c r="CN15" s="69">
        <f>INDEX(Table3Compare!$B$6:$K$32,MATCH($CG15,Table3Compare!$A$6:$A$32,0),MATCH(CN$9,Table3Compare!$B$5:$K$5,0))</f>
        <v>0</v>
      </c>
      <c r="CO15" s="69">
        <f>INDEX(Table3Compare!$B$6:$K$32,MATCH($CG15,Table3Compare!$A$6:$A$32,0),MATCH(CO$9,Table3Compare!$B$5:$K$5,0))</f>
        <v>0</v>
      </c>
      <c r="CP15" s="69">
        <f>INDEX(Table3Compare!$B$6:$K$32,MATCH($CG15,Table3Compare!$A$6:$A$32,0),MATCH(CP$9,Table3Compare!$B$5:$K$5,0))</f>
        <v>0</v>
      </c>
      <c r="CQ15" s="69">
        <f>INDEX(Table3Compare!$B$6:$K$32,MATCH($CG15,Table3Compare!$A$6:$A$32,0),MATCH(CQ$9,Table3Compare!$B$5:$K$5,0))</f>
        <v>0</v>
      </c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152"/>
      <c r="DG15" s="152"/>
      <c r="DH15" s="69"/>
      <c r="DI15" s="152"/>
      <c r="DJ15" s="152"/>
      <c r="DK15" s="152"/>
      <c r="DL15" s="152"/>
      <c r="DM15" s="152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2027</v>
      </c>
      <c r="FD15" s="45"/>
      <c r="FE15" s="86">
        <f t="shared" si="25"/>
        <v>0</v>
      </c>
    </row>
    <row r="16" spans="1:161">
      <c r="A16"/>
      <c r="B16" s="237">
        <f t="shared" si="22"/>
        <v>2028</v>
      </c>
      <c r="C16" s="8">
        <f t="shared" si="7"/>
        <v>0</v>
      </c>
      <c r="D16" s="238"/>
      <c r="E16" s="8">
        <f t="shared" ca="1" si="23"/>
        <v>27.983716877377987</v>
      </c>
      <c r="F16" s="33"/>
      <c r="G16" s="8">
        <f t="shared" ca="1" si="24"/>
        <v>27.983716877377987</v>
      </c>
      <c r="H16" s="8"/>
      <c r="I16" s="8"/>
      <c r="J16" s="8"/>
      <c r="K16" s="8"/>
      <c r="O16">
        <f t="shared" si="8"/>
        <v>2028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X16" s="271">
        <f t="shared" si="9"/>
        <v>0</v>
      </c>
      <c r="AY16" s="271">
        <f t="shared" si="10"/>
        <v>0</v>
      </c>
      <c r="AZ16" s="271">
        <f t="shared" si="11"/>
        <v>0</v>
      </c>
      <c r="BA16" s="271">
        <f t="shared" si="12"/>
        <v>0</v>
      </c>
      <c r="BB16" s="271">
        <f t="shared" si="13"/>
        <v>0</v>
      </c>
      <c r="BC16" s="271">
        <f t="shared" si="14"/>
        <v>0</v>
      </c>
      <c r="BD16" s="271">
        <f t="shared" si="15"/>
        <v>0</v>
      </c>
      <c r="BE16" s="271">
        <f t="shared" si="16"/>
        <v>0</v>
      </c>
      <c r="BF16" s="271">
        <f t="shared" si="17"/>
        <v>0</v>
      </c>
      <c r="BG16" s="271">
        <f t="shared" si="18"/>
        <v>0</v>
      </c>
      <c r="CG16" s="145">
        <f t="shared" si="19"/>
        <v>2028</v>
      </c>
      <c r="CH16" s="69">
        <f>INDEX(Table3Compare!$B$6:$K$32,MATCH($CG16,Table3Compare!$A$6:$A$32,0),MATCH(CH$9,Table3Compare!$B$5:$K$5,0))</f>
        <v>0</v>
      </c>
      <c r="CI16" s="69">
        <f>INDEX(Table3Compare!$B$6:$K$32,MATCH($CG16,Table3Compare!$A$6:$A$32,0),MATCH(CI$9,Table3Compare!$B$5:$K$5,0))</f>
        <v>0</v>
      </c>
      <c r="CJ16" s="69">
        <f>INDEX(Table3Compare!$B$6:$K$32,MATCH($CG16,Table3Compare!$A$6:$A$32,0),MATCH(CJ$9,Table3Compare!$B$5:$K$5,0))</f>
        <v>0</v>
      </c>
      <c r="CK16" s="69">
        <f>INDEX(Table3Compare!$B$6:$K$32,MATCH($CG16,Table3Compare!$A$6:$A$32,0),MATCH(CK$9,Table3Compare!$B$5:$K$5,0))</f>
        <v>0</v>
      </c>
      <c r="CL16" s="69">
        <f>INDEX(Table3Compare!$B$6:$K$32,MATCH($CG16,Table3Compare!$A$6:$A$32,0),MATCH(CL$9,Table3Compare!$B$5:$K$5,0))</f>
        <v>0</v>
      </c>
      <c r="CM16" s="69">
        <f>INDEX(Table3Compare!$B$6:$K$32,MATCH($CG16,Table3Compare!$A$6:$A$32,0),MATCH(CM$9,Table3Compare!$B$5:$K$5,0))</f>
        <v>0</v>
      </c>
      <c r="CN16" s="69">
        <f>INDEX(Table3Compare!$B$6:$K$32,MATCH($CG16,Table3Compare!$A$6:$A$32,0),MATCH(CN$9,Table3Compare!$B$5:$K$5,0))</f>
        <v>0</v>
      </c>
      <c r="CO16" s="69">
        <f>INDEX(Table3Compare!$B$6:$K$32,MATCH($CG16,Table3Compare!$A$6:$A$32,0),MATCH(CO$9,Table3Compare!$B$5:$K$5,0))</f>
        <v>0</v>
      </c>
      <c r="CP16" s="69">
        <f>INDEX(Table3Compare!$B$6:$K$32,MATCH($CG16,Table3Compare!$A$6:$A$32,0),MATCH(CP$9,Table3Compare!$B$5:$K$5,0))</f>
        <v>0</v>
      </c>
      <c r="CQ16" s="69">
        <f>INDEX(Table3Compare!$B$6:$K$32,MATCH($CG16,Table3Compare!$A$6:$A$32,0),MATCH(CQ$9,Table3Compare!$B$5:$K$5,0))</f>
        <v>0</v>
      </c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152"/>
      <c r="DG16" s="152"/>
      <c r="DH16" s="69"/>
      <c r="DI16" s="152"/>
      <c r="DJ16" s="152"/>
      <c r="DK16" s="152"/>
      <c r="DL16" s="152"/>
      <c r="DM16" s="152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5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2028</v>
      </c>
      <c r="FD16" s="45"/>
      <c r="FE16" s="86">
        <f t="shared" si="25"/>
        <v>0</v>
      </c>
    </row>
    <row r="17" spans="2:161">
      <c r="B17" s="237">
        <f t="shared" si="22"/>
        <v>2029</v>
      </c>
      <c r="C17" s="8">
        <f t="shared" si="7"/>
        <v>87.012450721802509</v>
      </c>
      <c r="D17" s="238"/>
      <c r="E17" s="8">
        <f t="shared" ca="1" si="23"/>
        <v>-37.486043701353289</v>
      </c>
      <c r="F17" s="33"/>
      <c r="G17" s="8">
        <f t="shared" ca="1" si="24"/>
        <v>-4.6777898881819624</v>
      </c>
      <c r="H17" s="8"/>
      <c r="I17" s="8"/>
      <c r="J17" s="8"/>
      <c r="K17" s="8"/>
      <c r="O17">
        <f t="shared" si="8"/>
        <v>2029</v>
      </c>
      <c r="P17">
        <v>0</v>
      </c>
      <c r="Q17">
        <v>0</v>
      </c>
      <c r="R17">
        <v>0</v>
      </c>
      <c r="S17">
        <v>14.559999999999999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X17">
        <f t="shared" si="9"/>
        <v>0</v>
      </c>
      <c r="AY17">
        <f t="shared" si="10"/>
        <v>0</v>
      </c>
      <c r="AZ17">
        <f t="shared" si="11"/>
        <v>0</v>
      </c>
      <c r="BA17">
        <f t="shared" si="12"/>
        <v>56.451578404978505</v>
      </c>
      <c r="BB17">
        <f t="shared" si="13"/>
        <v>0</v>
      </c>
      <c r="BC17">
        <f t="shared" si="14"/>
        <v>0</v>
      </c>
      <c r="BD17">
        <f t="shared" si="15"/>
        <v>0</v>
      </c>
      <c r="BE17">
        <f t="shared" si="16"/>
        <v>0</v>
      </c>
      <c r="BF17">
        <f t="shared" si="17"/>
        <v>0</v>
      </c>
      <c r="BG17">
        <f t="shared" si="18"/>
        <v>0</v>
      </c>
      <c r="CC17" s="86"/>
      <c r="CG17" s="145">
        <f t="shared" si="19"/>
        <v>2029</v>
      </c>
      <c r="CH17" s="69">
        <f>INDEX(Table3Compare!$B$6:$K$32,MATCH($CG17,Table3Compare!$A$6:$A$32,0),MATCH(CH$9,Table3Compare!$B$5:$K$5,0))</f>
        <v>123.30914837857404</v>
      </c>
      <c r="CI17" s="69">
        <f>INDEX(Table3Compare!$B$6:$K$32,MATCH($CG17,Table3Compare!$A$6:$A$32,0),MATCH(CI$9,Table3Compare!$B$5:$K$5,0))</f>
        <v>0</v>
      </c>
      <c r="CJ17" s="69">
        <f>INDEX(Table3Compare!$B$6:$K$32,MATCH($CG17,Table3Compare!$A$6:$A$32,0),MATCH(CJ$9,Table3Compare!$B$5:$K$5,0))</f>
        <v>0</v>
      </c>
      <c r="CK17" s="69">
        <f>INDEX(Table3Compare!$B$6:$K$32,MATCH($CG17,Table3Compare!$A$6:$A$32,0),MATCH(CK$9,Table3Compare!$B$5:$K$5,0))</f>
        <v>123.30914837857404</v>
      </c>
      <c r="CL17" s="69">
        <f>INDEX(Table3Compare!$B$6:$K$32,MATCH($CG17,Table3Compare!$A$6:$A$32,0),MATCH(CL$9,Table3Compare!$B$5:$K$5,0))</f>
        <v>0</v>
      </c>
      <c r="CM17" s="69">
        <f>INDEX(Table3Compare!$B$6:$K$32,MATCH($CG17,Table3Compare!$A$6:$A$32,0),MATCH(CM$9,Table3Compare!$B$5:$K$5,0))</f>
        <v>0</v>
      </c>
      <c r="CN17" s="69">
        <f>INDEX(Table3Compare!$B$6:$K$32,MATCH($CG17,Table3Compare!$A$6:$A$32,0),MATCH(CN$9,Table3Compare!$B$5:$K$5,0))</f>
        <v>0</v>
      </c>
      <c r="CO17" s="69">
        <f>INDEX(Table3Compare!$B$6:$K$32,MATCH($CG17,Table3Compare!$A$6:$A$32,0),MATCH(CO$9,Table3Compare!$B$5:$K$5,0))</f>
        <v>0</v>
      </c>
      <c r="CP17" s="69">
        <f>INDEX(Table3Compare!$B$6:$K$32,MATCH($CG17,Table3Compare!$A$6:$A$32,0),MATCH(CP$9,Table3Compare!$B$5:$K$5,0))</f>
        <v>0</v>
      </c>
      <c r="CQ17" s="69">
        <f>INDEX(Table3Compare!$B$6:$K$32,MATCH($CG17,Table3Compare!$A$6:$A$32,0),MATCH(CQ$9,Table3Compare!$B$5:$K$5,0))</f>
        <v>0</v>
      </c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152"/>
      <c r="DG17" s="152"/>
      <c r="DH17" s="69"/>
      <c r="DI17" s="152"/>
      <c r="DJ17" s="152"/>
      <c r="DK17" s="152"/>
      <c r="DL17" s="152"/>
      <c r="DM17" s="152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6.9609960577442003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6.9609960577442003</v>
      </c>
      <c r="FC17">
        <f t="shared" si="21"/>
        <v>2029</v>
      </c>
      <c r="FD17" s="45"/>
      <c r="FE17" s="86">
        <f t="shared" si="25"/>
        <v>0</v>
      </c>
    </row>
    <row r="18" spans="2:161">
      <c r="B18" s="237">
        <f t="shared" si="22"/>
        <v>2030</v>
      </c>
      <c r="C18" s="8">
        <f t="shared" si="7"/>
        <v>88.909322101713684</v>
      </c>
      <c r="D18" s="238"/>
      <c r="E18" s="8">
        <f t="shared" ca="1" si="23"/>
        <v>-40.14570748473794</v>
      </c>
      <c r="F18" s="33"/>
      <c r="G18" s="8">
        <f t="shared" ca="1" si="24"/>
        <v>-6.6733708470035209</v>
      </c>
      <c r="H18" s="8"/>
      <c r="I18" s="8"/>
      <c r="J18" s="8"/>
      <c r="K18" s="8"/>
      <c r="O18">
        <f t="shared" si="8"/>
        <v>2030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X18">
        <f t="shared" si="9"/>
        <v>0</v>
      </c>
      <c r="AY18">
        <f t="shared" si="10"/>
        <v>0</v>
      </c>
      <c r="AZ18">
        <f t="shared" si="11"/>
        <v>0</v>
      </c>
      <c r="BA18">
        <f t="shared" si="12"/>
        <v>0</v>
      </c>
      <c r="BB18">
        <f t="shared" si="13"/>
        <v>0</v>
      </c>
      <c r="BC18">
        <f t="shared" si="14"/>
        <v>0</v>
      </c>
      <c r="BD18">
        <f t="shared" si="15"/>
        <v>0</v>
      </c>
      <c r="BE18">
        <f t="shared" si="16"/>
        <v>0</v>
      </c>
      <c r="BF18">
        <f t="shared" si="17"/>
        <v>0</v>
      </c>
      <c r="BG18">
        <f t="shared" si="18"/>
        <v>0</v>
      </c>
      <c r="CG18" s="145">
        <f t="shared" si="19"/>
        <v>2030</v>
      </c>
      <c r="CH18" s="69">
        <f>INDEX(Table3Compare!$B$6:$K$32,MATCH($CG18,Table3Compare!$A$6:$A$32,0),MATCH(CH$9,Table3Compare!$B$5:$K$5,0))</f>
        <v>125.99728774828759</v>
      </c>
      <c r="CI18" s="69">
        <f>INDEX(Table3Compare!$B$6:$K$32,MATCH($CG18,Table3Compare!$A$6:$A$32,0),MATCH(CI$9,Table3Compare!$B$5:$K$5,0))</f>
        <v>123.98377517629999</v>
      </c>
      <c r="CJ18" s="69">
        <f>INDEX(Table3Compare!$B$6:$K$32,MATCH($CG18,Table3Compare!$A$6:$A$32,0),MATCH(CJ$9,Table3Compare!$B$5:$K$5,0))</f>
        <v>0</v>
      </c>
      <c r="CK18" s="69">
        <f>INDEX(Table3Compare!$B$6:$K$32,MATCH($CG18,Table3Compare!$A$6:$A$32,0),MATCH(CK$9,Table3Compare!$B$5:$K$5,0))</f>
        <v>125.99728774828759</v>
      </c>
      <c r="CL18" s="69">
        <f>INDEX(Table3Compare!$B$6:$K$32,MATCH($CG18,Table3Compare!$A$6:$A$32,0),MATCH(CL$9,Table3Compare!$B$5:$K$5,0))</f>
        <v>123.98377517629999</v>
      </c>
      <c r="CM18" s="69">
        <f>INDEX(Table3Compare!$B$6:$K$32,MATCH($CG18,Table3Compare!$A$6:$A$32,0),MATCH(CM$9,Table3Compare!$B$5:$K$5,0))</f>
        <v>0</v>
      </c>
      <c r="CN18" s="69">
        <f>INDEX(Table3Compare!$B$6:$K$32,MATCH($CG18,Table3Compare!$A$6:$A$32,0),MATCH(CN$9,Table3Compare!$B$5:$K$5,0))</f>
        <v>0</v>
      </c>
      <c r="CO18" s="69">
        <f>INDEX(Table3Compare!$B$6:$K$32,MATCH($CG18,Table3Compare!$A$6:$A$32,0),MATCH(CO$9,Table3Compare!$B$5:$K$5,0))</f>
        <v>0</v>
      </c>
      <c r="CP18" s="69">
        <f>INDEX(Table3Compare!$B$6:$K$32,MATCH($CG18,Table3Compare!$A$6:$A$32,0),MATCH(CP$9,Table3Compare!$B$5:$K$5,0))</f>
        <v>0</v>
      </c>
      <c r="CQ18" s="69">
        <f>INDEX(Table3Compare!$B$6:$K$32,MATCH($CG18,Table3Compare!$A$6:$A$32,0),MATCH(CQ$9,Table3Compare!$B$5:$K$5,0))</f>
        <v>0</v>
      </c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152"/>
      <c r="DG18" s="152"/>
      <c r="DH18" s="69"/>
      <c r="DI18" s="152"/>
      <c r="DJ18" s="152"/>
      <c r="DK18" s="152"/>
      <c r="DL18" s="152"/>
      <c r="DM18" s="152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7.1127457681370947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7.1127457681370947</v>
      </c>
      <c r="FC18">
        <f t="shared" si="21"/>
        <v>2030</v>
      </c>
      <c r="FD18" s="45"/>
      <c r="FE18" s="86">
        <f t="shared" si="25"/>
        <v>0</v>
      </c>
    </row>
    <row r="19" spans="2:161">
      <c r="B19" s="237">
        <f t="shared" si="22"/>
        <v>2031</v>
      </c>
      <c r="C19" s="8">
        <f t="shared" si="7"/>
        <v>90.847545320437561</v>
      </c>
      <c r="D19" s="238"/>
      <c r="E19" s="8">
        <f t="shared" ca="1" si="23"/>
        <v>-42.4437993678102</v>
      </c>
      <c r="F19" s="33"/>
      <c r="G19" s="8">
        <f t="shared" ca="1" si="24"/>
        <v>-8.2609635064937059</v>
      </c>
      <c r="H19" s="8"/>
      <c r="I19" s="8"/>
      <c r="J19" s="8"/>
      <c r="K19" s="8"/>
      <c r="O19">
        <f t="shared" si="8"/>
        <v>2031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 s="45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X19">
        <f t="shared" si="9"/>
        <v>0</v>
      </c>
      <c r="AY19">
        <f t="shared" si="10"/>
        <v>0</v>
      </c>
      <c r="AZ19">
        <f t="shared" si="11"/>
        <v>0</v>
      </c>
      <c r="BA19">
        <f t="shared" si="12"/>
        <v>0</v>
      </c>
      <c r="BB19">
        <f t="shared" si="13"/>
        <v>0</v>
      </c>
      <c r="BC19">
        <f t="shared" si="14"/>
        <v>0</v>
      </c>
      <c r="BD19" s="45">
        <f t="shared" si="15"/>
        <v>0</v>
      </c>
      <c r="BE19">
        <f t="shared" si="16"/>
        <v>0</v>
      </c>
      <c r="BF19">
        <f t="shared" si="17"/>
        <v>0</v>
      </c>
      <c r="BG19">
        <f t="shared" si="18"/>
        <v>0</v>
      </c>
      <c r="CG19" s="145">
        <f t="shared" si="19"/>
        <v>2031</v>
      </c>
      <c r="CH19" s="69">
        <f>INDEX(Table3Compare!$B$6:$K$32,MATCH($CG19,Table3Compare!$A$6:$A$32,0),MATCH(CH$9,Table3Compare!$B$5:$K$5,0))</f>
        <v>128.74402861681637</v>
      </c>
      <c r="CI19" s="69">
        <f>INDEX(Table3Compare!$B$6:$K$32,MATCH($CG19,Table3Compare!$A$6:$A$32,0),MATCH(CI$9,Table3Compare!$B$5:$K$5,0))</f>
        <v>126.68662147082951</v>
      </c>
      <c r="CJ19" s="69">
        <f>INDEX(Table3Compare!$B$6:$K$32,MATCH($CG19,Table3Compare!$A$6:$A$32,0),MATCH(CJ$9,Table3Compare!$B$5:$K$5,0))</f>
        <v>125.75126857814824</v>
      </c>
      <c r="CK19" s="69">
        <f>INDEX(Table3Compare!$B$6:$K$32,MATCH($CG19,Table3Compare!$A$6:$A$32,0),MATCH(CK$9,Table3Compare!$B$5:$K$5,0))</f>
        <v>128.74402861681637</v>
      </c>
      <c r="CL19" s="69">
        <f>INDEX(Table3Compare!$B$6:$K$32,MATCH($CG19,Table3Compare!$A$6:$A$32,0),MATCH(CL$9,Table3Compare!$B$5:$K$5,0))</f>
        <v>126.68662147082951</v>
      </c>
      <c r="CM19" s="69">
        <f>INDEX(Table3Compare!$B$6:$K$32,MATCH($CG19,Table3Compare!$A$6:$A$32,0),MATCH(CM$9,Table3Compare!$B$5:$K$5,0))</f>
        <v>125.75126857814824</v>
      </c>
      <c r="CN19" s="69">
        <f>INDEX(Table3Compare!$B$6:$K$32,MATCH($CG19,Table3Compare!$A$6:$A$32,0),MATCH(CN$9,Table3Compare!$B$5:$K$5,0))</f>
        <v>100.77501427340231</v>
      </c>
      <c r="CO19" s="69">
        <f>INDEX(Table3Compare!$B$6:$K$32,MATCH($CG19,Table3Compare!$A$6:$A$32,0),MATCH(CO$9,Table3Compare!$B$5:$K$5,0))</f>
        <v>100.77501427340231</v>
      </c>
      <c r="CP19" s="69">
        <f>INDEX(Table3Compare!$B$6:$K$32,MATCH($CG19,Table3Compare!$A$6:$A$32,0),MATCH(CP$9,Table3Compare!$B$5:$K$5,0))</f>
        <v>100.77501427340231</v>
      </c>
      <c r="CQ19" s="69">
        <f>INDEX(Table3Compare!$B$6:$K$32,MATCH($CG19,Table3Compare!$A$6:$A$32,0),MATCH(CQ$9,Table3Compare!$B$5:$K$5,0))</f>
        <v>100.77501427340231</v>
      </c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152"/>
      <c r="DG19" s="152"/>
      <c r="DH19" s="69"/>
      <c r="DI19" s="152"/>
      <c r="DJ19" s="152"/>
      <c r="DK19" s="152"/>
      <c r="DL19" s="152"/>
      <c r="DM19" s="152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7.2678036256350049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7.2678036256350049</v>
      </c>
      <c r="FC19">
        <f t="shared" si="21"/>
        <v>2031</v>
      </c>
      <c r="FD19" s="45"/>
      <c r="FE19" s="86">
        <f t="shared" si="25"/>
        <v>0</v>
      </c>
    </row>
    <row r="20" spans="2:161">
      <c r="B20" s="237">
        <f t="shared" si="22"/>
        <v>2032</v>
      </c>
      <c r="C20" s="8">
        <f t="shared" si="7"/>
        <v>92.828021783222212</v>
      </c>
      <c r="D20" s="238"/>
      <c r="E20" s="8">
        <f t="shared" ca="1" si="23"/>
        <v>-45.891018566641101</v>
      </c>
      <c r="F20" s="33"/>
      <c r="G20" s="8">
        <f t="shared" ca="1" si="24"/>
        <v>-10.956028557891512</v>
      </c>
      <c r="H20" s="8"/>
      <c r="I20" s="8"/>
      <c r="J20" s="8"/>
      <c r="K20" s="8"/>
      <c r="O20">
        <f t="shared" si="8"/>
        <v>2032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X20">
        <f t="shared" si="9"/>
        <v>0</v>
      </c>
      <c r="AY20">
        <f t="shared" si="10"/>
        <v>0</v>
      </c>
      <c r="AZ20">
        <f t="shared" si="11"/>
        <v>0</v>
      </c>
      <c r="BA20">
        <f t="shared" si="12"/>
        <v>0</v>
      </c>
      <c r="BB20">
        <f t="shared" si="13"/>
        <v>0</v>
      </c>
      <c r="BC20">
        <f t="shared" si="14"/>
        <v>0</v>
      </c>
      <c r="BD20">
        <f t="shared" si="15"/>
        <v>0</v>
      </c>
      <c r="BE20">
        <f t="shared" si="16"/>
        <v>0</v>
      </c>
      <c r="BF20">
        <f t="shared" si="17"/>
        <v>0</v>
      </c>
      <c r="BG20">
        <f t="shared" si="18"/>
        <v>0</v>
      </c>
      <c r="BN20" s="45"/>
      <c r="CG20" s="145">
        <f t="shared" si="19"/>
        <v>2032</v>
      </c>
      <c r="CH20" s="69">
        <f>INDEX(Table3Compare!$B$6:$K$32,MATCH($CG20,Table3Compare!$A$6:$A$32,0),MATCH(CH$9,Table3Compare!$B$5:$K$5,0))</f>
        <v>131.55064840494967</v>
      </c>
      <c r="CI20" s="69">
        <f>INDEX(Table3Compare!$B$6:$K$32,MATCH($CG20,Table3Compare!$A$6:$A$32,0),MATCH(CI$9,Table3Compare!$B$5:$K$5,0))</f>
        <v>129.448389783751</v>
      </c>
      <c r="CJ20" s="69">
        <f>INDEX(Table3Compare!$B$6:$K$32,MATCH($CG20,Table3Compare!$A$6:$A$32,0),MATCH(CJ$9,Table3Compare!$B$5:$K$5,0))</f>
        <v>128.49264619826874</v>
      </c>
      <c r="CK20" s="69">
        <f>INDEX(Table3Compare!$B$6:$K$32,MATCH($CG20,Table3Compare!$A$6:$A$32,0),MATCH(CK$9,Table3Compare!$B$5:$K$5,0))</f>
        <v>131.55064840494967</v>
      </c>
      <c r="CL20" s="69">
        <f>INDEX(Table3Compare!$B$6:$K$32,MATCH($CG20,Table3Compare!$A$6:$A$32,0),MATCH(CL$9,Table3Compare!$B$5:$K$5,0))</f>
        <v>129.448389783751</v>
      </c>
      <c r="CM20" s="69">
        <f>INDEX(Table3Compare!$B$6:$K$32,MATCH($CG20,Table3Compare!$A$6:$A$32,0),MATCH(CM$9,Table3Compare!$B$5:$K$5,0))</f>
        <v>128.49264619826874</v>
      </c>
      <c r="CN20" s="69">
        <f>INDEX(Table3Compare!$B$6:$K$32,MATCH($CG20,Table3Compare!$A$6:$A$32,0),MATCH(CN$9,Table3Compare!$B$5:$K$5,0))</f>
        <v>102.9719095566077</v>
      </c>
      <c r="CO20" s="69">
        <f>INDEX(Table3Compare!$B$6:$K$32,MATCH($CG20,Table3Compare!$A$6:$A$32,0),MATCH(CO$9,Table3Compare!$B$5:$K$5,0))</f>
        <v>102.9719095566077</v>
      </c>
      <c r="CP20" s="69">
        <f>INDEX(Table3Compare!$B$6:$K$32,MATCH($CG20,Table3Compare!$A$6:$A$32,0),MATCH(CP$9,Table3Compare!$B$5:$K$5,0))</f>
        <v>102.9719095566077</v>
      </c>
      <c r="CQ20" s="69">
        <f>INDEX(Table3Compare!$B$6:$K$32,MATCH($CG20,Table3Compare!$A$6:$A$32,0),MATCH(CQ$9,Table3Compare!$B$5:$K$5,0))</f>
        <v>102.9719095566077</v>
      </c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152"/>
      <c r="DG20" s="152"/>
      <c r="DH20" s="69"/>
      <c r="DI20" s="152"/>
      <c r="DJ20" s="152"/>
      <c r="DK20" s="152"/>
      <c r="DL20" s="152"/>
      <c r="DM20" s="152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7.4262417426577771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7.4262417426577771</v>
      </c>
      <c r="FC20">
        <f t="shared" si="21"/>
        <v>2032</v>
      </c>
      <c r="FD20" s="341"/>
      <c r="FE20" s="86">
        <f t="shared" si="25"/>
        <v>0</v>
      </c>
    </row>
    <row r="21" spans="2:161">
      <c r="B21" s="237">
        <f t="shared" si="22"/>
        <v>2033</v>
      </c>
      <c r="C21" s="8">
        <f t="shared" si="7"/>
        <v>94.851672659205718</v>
      </c>
      <c r="D21" s="238"/>
      <c r="E21" s="8">
        <f t="shared" ca="1" si="23"/>
        <v>-44.755692982953953</v>
      </c>
      <c r="F21" s="33"/>
      <c r="G21" s="8">
        <f t="shared" ca="1" si="24"/>
        <v>-9.0025628747822921</v>
      </c>
      <c r="H21" s="8"/>
      <c r="I21" s="8"/>
      <c r="J21" s="8"/>
      <c r="K21" s="8"/>
      <c r="O21">
        <f t="shared" si="8"/>
        <v>2033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X21">
        <f t="shared" si="9"/>
        <v>0</v>
      </c>
      <c r="AY21">
        <f t="shared" si="10"/>
        <v>0</v>
      </c>
      <c r="AZ21">
        <f t="shared" si="11"/>
        <v>0</v>
      </c>
      <c r="BA21">
        <f t="shared" si="12"/>
        <v>0</v>
      </c>
      <c r="BB21">
        <f t="shared" si="13"/>
        <v>0</v>
      </c>
      <c r="BC21">
        <f t="shared" si="14"/>
        <v>0</v>
      </c>
      <c r="BD21">
        <f t="shared" si="15"/>
        <v>0</v>
      </c>
      <c r="BE21">
        <f t="shared" si="16"/>
        <v>0</v>
      </c>
      <c r="BF21">
        <f t="shared" si="17"/>
        <v>0</v>
      </c>
      <c r="BG21">
        <f t="shared" si="18"/>
        <v>0</v>
      </c>
      <c r="CG21" s="145">
        <f t="shared" si="19"/>
        <v>2033</v>
      </c>
      <c r="CH21" s="69">
        <f>INDEX(Table3Compare!$B$6:$K$32,MATCH($CG21,Table3Compare!$A$6:$A$32,0),MATCH(CH$9,Table3Compare!$B$5:$K$5,0))</f>
        <v>134.41845254174956</v>
      </c>
      <c r="CI21" s="69">
        <f>INDEX(Table3Compare!$B$6:$K$32,MATCH($CG21,Table3Compare!$A$6:$A$32,0),MATCH(CI$9,Table3Compare!$B$5:$K$5,0))</f>
        <v>132.27036468258365</v>
      </c>
      <c r="CJ21" s="69">
        <f>INDEX(Table3Compare!$B$6:$K$32,MATCH($CG21,Table3Compare!$A$6:$A$32,0),MATCH(CJ$9,Table3Compare!$B$5:$K$5,0))</f>
        <v>131.29378588692646</v>
      </c>
      <c r="CK21" s="69">
        <f>INDEX(Table3Compare!$B$6:$K$32,MATCH($CG21,Table3Compare!$A$6:$A$32,0),MATCH(CK$9,Table3Compare!$B$5:$K$5,0))</f>
        <v>134.41845254174956</v>
      </c>
      <c r="CL21" s="69">
        <f>INDEX(Table3Compare!$B$6:$K$32,MATCH($CG21,Table3Compare!$A$6:$A$32,0),MATCH(CL$9,Table3Compare!$B$5:$K$5,0))</f>
        <v>132.27036468258365</v>
      </c>
      <c r="CM21" s="69">
        <f>INDEX(Table3Compare!$B$6:$K$32,MATCH($CG21,Table3Compare!$A$6:$A$32,0),MATCH(CM$9,Table3Compare!$B$5:$K$5,0))</f>
        <v>131.29378588692646</v>
      </c>
      <c r="CN21" s="69">
        <f>INDEX(Table3Compare!$B$6:$K$32,MATCH($CG21,Table3Compare!$A$6:$A$32,0),MATCH(CN$9,Table3Compare!$B$5:$K$5,0))</f>
        <v>105.21669718617223</v>
      </c>
      <c r="CO21" s="69">
        <f>INDEX(Table3Compare!$B$6:$K$32,MATCH($CG21,Table3Compare!$A$6:$A$32,0),MATCH(CO$9,Table3Compare!$B$5:$K$5,0))</f>
        <v>105.21669718617223</v>
      </c>
      <c r="CP21" s="69">
        <f>INDEX(Table3Compare!$B$6:$K$32,MATCH($CG21,Table3Compare!$A$6:$A$32,0),MATCH(CP$9,Table3Compare!$B$5:$K$5,0))</f>
        <v>105.21669718617223</v>
      </c>
      <c r="CQ21" s="69">
        <f>INDEX(Table3Compare!$B$6:$K$32,MATCH($CG21,Table3Compare!$A$6:$A$32,0),MATCH(CQ$9,Table3Compare!$B$5:$K$5,0))</f>
        <v>105.21669718617223</v>
      </c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152"/>
      <c r="DG21" s="152"/>
      <c r="DH21" s="69"/>
      <c r="DI21" s="152"/>
      <c r="DJ21" s="152"/>
      <c r="DK21" s="152"/>
      <c r="DL21" s="152"/>
      <c r="DM21" s="152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7.5881338127364577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7.5881338127364577</v>
      </c>
      <c r="FC21">
        <f t="shared" si="21"/>
        <v>2033</v>
      </c>
      <c r="FD21" s="68"/>
      <c r="FE21" s="86">
        <f t="shared" si="25"/>
        <v>0</v>
      </c>
    </row>
    <row r="22" spans="2:161">
      <c r="B22" s="237">
        <f t="shared" si="22"/>
        <v>2034</v>
      </c>
      <c r="C22" s="8">
        <f t="shared" si="7"/>
        <v>96.919439193888962</v>
      </c>
      <c r="D22" s="238"/>
      <c r="E22" s="8">
        <f t="shared" ca="1" si="23"/>
        <v>-46.605341015238757</v>
      </c>
      <c r="F22" s="33"/>
      <c r="G22" s="8">
        <f t="shared" ca="1" si="24"/>
        <v>-10.081960622758404</v>
      </c>
      <c r="H22" s="8"/>
      <c r="I22" s="8"/>
      <c r="J22" s="8"/>
      <c r="K22" s="8"/>
      <c r="O22">
        <f t="shared" si="8"/>
        <v>2034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X22">
        <f t="shared" si="9"/>
        <v>0</v>
      </c>
      <c r="AY22">
        <f t="shared" si="10"/>
        <v>0</v>
      </c>
      <c r="AZ22">
        <f t="shared" si="11"/>
        <v>0</v>
      </c>
      <c r="BA22">
        <f t="shared" si="12"/>
        <v>0</v>
      </c>
      <c r="BB22">
        <f t="shared" si="13"/>
        <v>0</v>
      </c>
      <c r="BC22">
        <f t="shared" si="14"/>
        <v>0</v>
      </c>
      <c r="BD22">
        <f t="shared" si="15"/>
        <v>0</v>
      </c>
      <c r="BE22">
        <f t="shared" si="16"/>
        <v>0</v>
      </c>
      <c r="BF22">
        <f t="shared" si="17"/>
        <v>0</v>
      </c>
      <c r="BG22">
        <f t="shared" si="18"/>
        <v>0</v>
      </c>
      <c r="CG22" s="145">
        <f t="shared" si="19"/>
        <v>2034</v>
      </c>
      <c r="CH22" s="69">
        <f>INDEX(Table3Compare!$B$6:$K$32,MATCH($CG22,Table3Compare!$A$6:$A$32,0),MATCH(CH$9,Table3Compare!$B$5:$K$5,0))</f>
        <v>137.34877490736955</v>
      </c>
      <c r="CI22" s="69">
        <f>INDEX(Table3Compare!$B$6:$K$32,MATCH($CG22,Table3Compare!$A$6:$A$32,0),MATCH(CI$9,Table3Compare!$B$5:$K$5,0))</f>
        <v>135.15385873127238</v>
      </c>
      <c r="CJ22" s="69">
        <f>INDEX(Table3Compare!$B$6:$K$32,MATCH($CG22,Table3Compare!$A$6:$A$32,0),MATCH(CJ$9,Table3Compare!$B$5:$K$5,0))</f>
        <v>134.15599051714182</v>
      </c>
      <c r="CK22" s="69">
        <f>INDEX(Table3Compare!$B$6:$K$32,MATCH($CG22,Table3Compare!$A$6:$A$32,0),MATCH(CK$9,Table3Compare!$B$5:$K$5,0))</f>
        <v>137.34877490736955</v>
      </c>
      <c r="CL22" s="69">
        <f>INDEX(Table3Compare!$B$6:$K$32,MATCH($CG22,Table3Compare!$A$6:$A$32,0),MATCH(CL$9,Table3Compare!$B$5:$K$5,0))</f>
        <v>135.15385873127238</v>
      </c>
      <c r="CM22" s="69">
        <f>INDEX(Table3Compare!$B$6:$K$32,MATCH($CG22,Table3Compare!$A$6:$A$32,0),MATCH(CM$9,Table3Compare!$B$5:$K$5,0))</f>
        <v>134.15599051714182</v>
      </c>
      <c r="CN22" s="69">
        <f>INDEX(Table3Compare!$B$6:$K$32,MATCH($CG22,Table3Compare!$A$6:$A$32,0),MATCH(CN$9,Table3Compare!$B$5:$K$5,0))</f>
        <v>107.51042126327052</v>
      </c>
      <c r="CO22" s="69">
        <f>INDEX(Table3Compare!$B$6:$K$32,MATCH($CG22,Table3Compare!$A$6:$A$32,0),MATCH(CO$9,Table3Compare!$B$5:$K$5,0))</f>
        <v>107.51042126327052</v>
      </c>
      <c r="CP22" s="69">
        <f>INDEX(Table3Compare!$B$6:$K$32,MATCH($CG22,Table3Compare!$A$6:$A$32,0),MATCH(CP$9,Table3Compare!$B$5:$K$5,0))</f>
        <v>107.51042126327052</v>
      </c>
      <c r="CQ22" s="69">
        <f>INDEX(Table3Compare!$B$6:$K$32,MATCH($CG22,Table3Compare!$A$6:$A$32,0),MATCH(CQ$9,Table3Compare!$B$5:$K$5,0))</f>
        <v>107.51042126327052</v>
      </c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152"/>
      <c r="DG22" s="152"/>
      <c r="DH22" s="69"/>
      <c r="DI22" s="152"/>
      <c r="DJ22" s="152"/>
      <c r="DK22" s="152"/>
      <c r="DL22" s="152"/>
      <c r="DM22" s="152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7.7535551355111165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7.7535551355111165</v>
      </c>
      <c r="FC22">
        <f t="shared" si="21"/>
        <v>2034</v>
      </c>
      <c r="FD22" s="68"/>
      <c r="FE22" s="86">
        <f t="shared" si="25"/>
        <v>0</v>
      </c>
    </row>
    <row r="23" spans="2:161">
      <c r="B23" s="237">
        <f t="shared" si="22"/>
        <v>2035</v>
      </c>
      <c r="C23" s="8">
        <f t="shared" si="7"/>
        <v>99.032282943489761</v>
      </c>
      <c r="D23" s="238"/>
      <c r="E23" s="8">
        <f t="shared" ca="1" si="23"/>
        <v>-47.581921260641636</v>
      </c>
      <c r="F23" s="33"/>
      <c r="G23" s="8">
        <f t="shared" ca="1" si="24"/>
        <v>-10.24156080009325</v>
      </c>
      <c r="H23" s="8"/>
      <c r="I23" s="8"/>
      <c r="J23" s="8"/>
      <c r="K23" s="8"/>
      <c r="O23">
        <f t="shared" si="8"/>
        <v>2035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X23">
        <f t="shared" si="9"/>
        <v>0</v>
      </c>
      <c r="AY23">
        <f t="shared" si="10"/>
        <v>0</v>
      </c>
      <c r="AZ23">
        <f t="shared" si="11"/>
        <v>0</v>
      </c>
      <c r="BA23">
        <f t="shared" si="12"/>
        <v>0</v>
      </c>
      <c r="BB23">
        <f t="shared" si="13"/>
        <v>0</v>
      </c>
      <c r="BC23">
        <f t="shared" si="14"/>
        <v>0</v>
      </c>
      <c r="BD23">
        <f t="shared" si="15"/>
        <v>0</v>
      </c>
      <c r="BE23">
        <f t="shared" si="16"/>
        <v>0</v>
      </c>
      <c r="BF23">
        <f t="shared" si="17"/>
        <v>0</v>
      </c>
      <c r="BG23">
        <f t="shared" si="18"/>
        <v>0</v>
      </c>
      <c r="CG23" s="145">
        <f t="shared" si="19"/>
        <v>2035</v>
      </c>
      <c r="CH23" s="69">
        <f>INDEX(Table3Compare!$B$6:$K$32,MATCH($CG23,Table3Compare!$A$6:$A$32,0),MATCH(CH$9,Table3Compare!$B$5:$K$5,0))</f>
        <v>140.34297816516823</v>
      </c>
      <c r="CI23" s="69">
        <f>INDEX(Table3Compare!$B$6:$K$32,MATCH($CG23,Table3Compare!$A$6:$A$32,0),MATCH(CI$9,Table3Compare!$B$5:$K$5,0))</f>
        <v>138.10021281699443</v>
      </c>
      <c r="CJ23" s="69">
        <f>INDEX(Table3Compare!$B$6:$K$32,MATCH($CG23,Table3Compare!$A$6:$A$32,0),MATCH(CJ$9,Table3Compare!$B$5:$K$5,0))</f>
        <v>137.08059107605141</v>
      </c>
      <c r="CK23" s="69">
        <f>INDEX(Table3Compare!$B$6:$K$32,MATCH($CG23,Table3Compare!$A$6:$A$32,0),MATCH(CK$9,Table3Compare!$B$5:$K$5,0))</f>
        <v>140.34297816516823</v>
      </c>
      <c r="CL23" s="69">
        <f>INDEX(Table3Compare!$B$6:$K$32,MATCH($CG23,Table3Compare!$A$6:$A$32,0),MATCH(CL$9,Table3Compare!$B$5:$K$5,0))</f>
        <v>138.10021281699443</v>
      </c>
      <c r="CM23" s="69">
        <f>INDEX(Table3Compare!$B$6:$K$32,MATCH($CG23,Table3Compare!$A$6:$A$32,0),MATCH(CM$9,Table3Compare!$B$5:$K$5,0))</f>
        <v>137.08059107605141</v>
      </c>
      <c r="CN23" s="69">
        <f>INDEX(Table3Compare!$B$6:$K$32,MATCH($CG23,Table3Compare!$A$6:$A$32,0),MATCH(CN$9,Table3Compare!$B$5:$K$5,0))</f>
        <v>109.85414841927098</v>
      </c>
      <c r="CO23" s="69">
        <f>INDEX(Table3Compare!$B$6:$K$32,MATCH($CG23,Table3Compare!$A$6:$A$32,0),MATCH(CO$9,Table3Compare!$B$5:$K$5,0))</f>
        <v>109.85414841927098</v>
      </c>
      <c r="CP23" s="69">
        <f>INDEX(Table3Compare!$B$6:$K$32,MATCH($CG23,Table3Compare!$A$6:$A$32,0),MATCH(CP$9,Table3Compare!$B$5:$K$5,0))</f>
        <v>109.85414841927098</v>
      </c>
      <c r="CQ23" s="69">
        <f>INDEX(Table3Compare!$B$6:$K$32,MATCH($CG23,Table3Compare!$A$6:$A$32,0),MATCH(CQ$9,Table3Compare!$B$5:$K$5,0))</f>
        <v>109.85414841927098</v>
      </c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152"/>
      <c r="DG23" s="152"/>
      <c r="DH23" s="69"/>
      <c r="DI23" s="152"/>
      <c r="DJ23" s="152"/>
      <c r="DK23" s="152"/>
      <c r="DL23" s="152"/>
      <c r="DM23" s="152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7.9225826354791806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7.9225826354791806</v>
      </c>
      <c r="FC23">
        <f t="shared" si="21"/>
        <v>2035</v>
      </c>
      <c r="FD23" s="68"/>
      <c r="FE23" s="86">
        <f t="shared" si="25"/>
        <v>0</v>
      </c>
    </row>
    <row r="24" spans="2:161">
      <c r="B24" s="237">
        <f t="shared" si="22"/>
        <v>2036</v>
      </c>
      <c r="C24" s="8">
        <f t="shared" si="7"/>
        <v>101.19118671236092</v>
      </c>
      <c r="D24" s="238"/>
      <c r="E24" s="8">
        <f t="shared" ca="1" si="23"/>
        <v>-49.88397913999097</v>
      </c>
      <c r="F24" s="33"/>
      <c r="G24" s="8">
        <f t="shared" ca="1" si="24"/>
        <v>-11.737056902544404</v>
      </c>
      <c r="H24" s="8"/>
      <c r="I24" s="8"/>
      <c r="J24" s="8"/>
      <c r="K24" s="8"/>
      <c r="O24">
        <f t="shared" si="8"/>
        <v>2036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X24">
        <f t="shared" si="9"/>
        <v>0</v>
      </c>
      <c r="AY24">
        <f t="shared" si="10"/>
        <v>0</v>
      </c>
      <c r="AZ24">
        <f t="shared" si="11"/>
        <v>0</v>
      </c>
      <c r="BA24">
        <f t="shared" si="12"/>
        <v>0</v>
      </c>
      <c r="BB24">
        <f t="shared" si="13"/>
        <v>0</v>
      </c>
      <c r="BC24">
        <f t="shared" si="14"/>
        <v>0</v>
      </c>
      <c r="BD24">
        <f t="shared" si="15"/>
        <v>0</v>
      </c>
      <c r="BE24">
        <f t="shared" si="16"/>
        <v>0</v>
      </c>
      <c r="BF24">
        <f t="shared" si="17"/>
        <v>0</v>
      </c>
      <c r="BG24">
        <f t="shared" si="18"/>
        <v>0</v>
      </c>
      <c r="CG24" s="145">
        <f t="shared" si="19"/>
        <v>2036</v>
      </c>
      <c r="CH24" s="69">
        <f>INDEX(Table3Compare!$B$6:$K$32,MATCH($CG24,Table3Compare!$A$6:$A$32,0),MATCH(CH$9,Table3Compare!$B$5:$K$5,0))</f>
        <v>143.40245509016526</v>
      </c>
      <c r="CI24" s="69">
        <f>INDEX(Table3Compare!$B$6:$K$32,MATCH($CG24,Table3Compare!$A$6:$A$32,0),MATCH(CI$9,Table3Compare!$B$5:$K$5,0))</f>
        <v>141.1107974573853</v>
      </c>
      <c r="CJ24" s="69">
        <f>INDEX(Table3Compare!$B$6:$K$32,MATCH($CG24,Table3Compare!$A$6:$A$32,0),MATCH(CJ$9,Table3Compare!$B$5:$K$5,0))</f>
        <v>140.0689479624825</v>
      </c>
      <c r="CK24" s="69">
        <f>INDEX(Table3Compare!$B$6:$K$32,MATCH($CG24,Table3Compare!$A$6:$A$32,0),MATCH(CK$9,Table3Compare!$B$5:$K$5,0))</f>
        <v>143.40245509016526</v>
      </c>
      <c r="CL24" s="69">
        <f>INDEX(Table3Compare!$B$6:$K$32,MATCH($CG24,Table3Compare!$A$6:$A$32,0),MATCH(CL$9,Table3Compare!$B$5:$K$5,0))</f>
        <v>141.1107974573853</v>
      </c>
      <c r="CM24" s="69">
        <f>INDEX(Table3Compare!$B$6:$K$32,MATCH($CG24,Table3Compare!$A$6:$A$32,0),MATCH(CM$9,Table3Compare!$B$5:$K$5,0))</f>
        <v>140.0689479624825</v>
      </c>
      <c r="CN24" s="69">
        <f>INDEX(Table3Compare!$B$6:$K$32,MATCH($CG24,Table3Compare!$A$6:$A$32,0),MATCH(CN$9,Table3Compare!$B$5:$K$5,0))</f>
        <v>112.24896885559099</v>
      </c>
      <c r="CO24" s="69">
        <f>INDEX(Table3Compare!$B$6:$K$32,MATCH($CG24,Table3Compare!$A$6:$A$32,0),MATCH(CO$9,Table3Compare!$B$5:$K$5,0))</f>
        <v>112.24896885559099</v>
      </c>
      <c r="CP24" s="69">
        <f>INDEX(Table3Compare!$B$6:$K$32,MATCH($CG24,Table3Compare!$A$6:$A$32,0),MATCH(CP$9,Table3Compare!$B$5:$K$5,0))</f>
        <v>112.24896885559099</v>
      </c>
      <c r="CQ24" s="69">
        <f>INDEX(Table3Compare!$B$6:$K$32,MATCH($CG24,Table3Compare!$A$6:$A$32,0),MATCH(CQ$9,Table3Compare!$B$5:$K$5,0))</f>
        <v>112.24896885559099</v>
      </c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152"/>
      <c r="DG24" s="152"/>
      <c r="DH24" s="69"/>
      <c r="DI24" s="152"/>
      <c r="DJ24" s="152"/>
      <c r="DK24" s="152"/>
      <c r="DL24" s="152"/>
      <c r="DM24" s="152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8.0952949369888731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8.0952949369888731</v>
      </c>
      <c r="FC24">
        <f t="shared" si="21"/>
        <v>2036</v>
      </c>
      <c r="FD24" s="68"/>
      <c r="FE24" s="86">
        <f t="shared" si="25"/>
        <v>0</v>
      </c>
    </row>
    <row r="25" spans="2:161">
      <c r="B25" s="237">
        <f t="shared" si="22"/>
        <v>2037</v>
      </c>
      <c r="C25" s="8">
        <f t="shared" si="7"/>
        <v>103.39715455298986</v>
      </c>
      <c r="D25" s="238"/>
      <c r="E25" s="8">
        <f t="shared" ca="1" si="23"/>
        <v>-50.079040336565185</v>
      </c>
      <c r="F25" s="33"/>
      <c r="G25" s="8">
        <f t="shared" ca="1" si="24"/>
        <v>-11.166452393269138</v>
      </c>
      <c r="H25" s="8"/>
      <c r="I25" s="8"/>
      <c r="J25" s="8"/>
      <c r="K25" s="8"/>
      <c r="O25">
        <f t="shared" si="8"/>
        <v>2037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X25">
        <f t="shared" si="9"/>
        <v>0</v>
      </c>
      <c r="AY25">
        <f t="shared" si="10"/>
        <v>0</v>
      </c>
      <c r="AZ25">
        <f t="shared" si="11"/>
        <v>0</v>
      </c>
      <c r="BA25">
        <f t="shared" si="12"/>
        <v>0</v>
      </c>
      <c r="BB25">
        <f t="shared" si="13"/>
        <v>0</v>
      </c>
      <c r="BC25">
        <f t="shared" si="14"/>
        <v>0</v>
      </c>
      <c r="BD25">
        <f t="shared" si="15"/>
        <v>0</v>
      </c>
      <c r="BE25">
        <f t="shared" si="16"/>
        <v>0</v>
      </c>
      <c r="BF25">
        <f t="shared" si="17"/>
        <v>0</v>
      </c>
      <c r="BG25">
        <f t="shared" si="18"/>
        <v>0</v>
      </c>
      <c r="CG25" s="145">
        <f t="shared" si="19"/>
        <v>2037</v>
      </c>
      <c r="CH25" s="69">
        <f>INDEX(Table3Compare!$B$6:$K$32,MATCH($CG25,Table3Compare!$A$6:$A$32,0),MATCH(CH$9,Table3Compare!$B$5:$K$5,0))</f>
        <v>146.52862856904096</v>
      </c>
      <c r="CI25" s="69">
        <f>INDEX(Table3Compare!$B$6:$K$32,MATCH($CG25,Table3Compare!$A$6:$A$32,0),MATCH(CI$9,Table3Compare!$B$5:$K$5,0))</f>
        <v>144.18701280053904</v>
      </c>
      <c r="CJ25" s="69">
        <f>INDEX(Table3Compare!$B$6:$K$32,MATCH($CG25,Table3Compare!$A$6:$A$32,0),MATCH(CJ$9,Table3Compare!$B$5:$K$5,0))</f>
        <v>143.12245098695314</v>
      </c>
      <c r="CK25" s="69">
        <f>INDEX(Table3Compare!$B$6:$K$32,MATCH($CG25,Table3Compare!$A$6:$A$32,0),MATCH(CK$9,Table3Compare!$B$5:$K$5,0))</f>
        <v>146.52862856904096</v>
      </c>
      <c r="CL25" s="69">
        <f>INDEX(Table3Compare!$B$6:$K$32,MATCH($CG25,Table3Compare!$A$6:$A$32,0),MATCH(CL$9,Table3Compare!$B$5:$K$5,0))</f>
        <v>144.18701280053904</v>
      </c>
      <c r="CM25" s="69">
        <f>INDEX(Table3Compare!$B$6:$K$32,MATCH($CG25,Table3Compare!$A$6:$A$32,0),MATCH(CM$9,Table3Compare!$B$5:$K$5,0))</f>
        <v>143.12245098695314</v>
      </c>
      <c r="CN25" s="69">
        <f>INDEX(Table3Compare!$B$6:$K$32,MATCH($CG25,Table3Compare!$A$6:$A$32,0),MATCH(CN$9,Table3Compare!$B$5:$K$5,0))</f>
        <v>114.69599634369681</v>
      </c>
      <c r="CO25" s="69">
        <f>INDEX(Table3Compare!$B$6:$K$32,MATCH($CG25,Table3Compare!$A$6:$A$32,0),MATCH(CO$9,Table3Compare!$B$5:$K$5,0))</f>
        <v>114.69599634369681</v>
      </c>
      <c r="CP25" s="69">
        <f>INDEX(Table3Compare!$B$6:$K$32,MATCH($CG25,Table3Compare!$A$6:$A$32,0),MATCH(CP$9,Table3Compare!$B$5:$K$5,0))</f>
        <v>114.69599634369681</v>
      </c>
      <c r="CQ25" s="69">
        <f>INDEX(Table3Compare!$B$6:$K$32,MATCH($CG25,Table3Compare!$A$6:$A$32,0),MATCH(CQ$9,Table3Compare!$B$5:$K$5,0))</f>
        <v>114.69599634369681</v>
      </c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152"/>
      <c r="DG25" s="152"/>
      <c r="DH25" s="69"/>
      <c r="DI25" s="152"/>
      <c r="DJ25" s="152"/>
      <c r="DK25" s="152"/>
      <c r="DL25" s="152"/>
      <c r="DM25" s="152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8.2717723642391885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8.2717723642391885</v>
      </c>
      <c r="FC25">
        <f t="shared" si="21"/>
        <v>2037</v>
      </c>
      <c r="FD25" s="68"/>
      <c r="FE25" s="86">
        <f t="shared" si="25"/>
        <v>0</v>
      </c>
    </row>
    <row r="26" spans="2:161">
      <c r="B26" s="237">
        <f t="shared" si="22"/>
        <v>2038</v>
      </c>
      <c r="C26" s="8">
        <f t="shared" si="7"/>
        <v>105.65121254718035</v>
      </c>
      <c r="D26" s="238"/>
      <c r="E26" s="8">
        <f t="shared" ca="1" si="23"/>
        <v>-49.721779795238028</v>
      </c>
      <c r="F26" s="33"/>
      <c r="G26" s="8">
        <f t="shared" ca="1" si="24"/>
        <v>-9.8985461781717543</v>
      </c>
      <c r="H26" s="8"/>
      <c r="I26" s="8"/>
      <c r="J26" s="8"/>
      <c r="K26" s="8"/>
      <c r="O26">
        <f t="shared" si="8"/>
        <v>2038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X26">
        <f t="shared" si="9"/>
        <v>0</v>
      </c>
      <c r="AY26">
        <f t="shared" si="10"/>
        <v>0</v>
      </c>
      <c r="AZ26">
        <f t="shared" si="11"/>
        <v>0</v>
      </c>
      <c r="BA26">
        <f t="shared" si="12"/>
        <v>0</v>
      </c>
      <c r="BB26">
        <f t="shared" si="13"/>
        <v>0</v>
      </c>
      <c r="BC26">
        <f t="shared" si="14"/>
        <v>0</v>
      </c>
      <c r="BD26">
        <f t="shared" si="15"/>
        <v>0</v>
      </c>
      <c r="BE26">
        <f t="shared" si="16"/>
        <v>0</v>
      </c>
      <c r="BF26">
        <f t="shared" si="17"/>
        <v>0</v>
      </c>
      <c r="BG26">
        <f t="shared" si="18"/>
        <v>0</v>
      </c>
      <c r="CG26" s="145">
        <f t="shared" si="19"/>
        <v>2038</v>
      </c>
      <c r="CH26" s="69">
        <f>INDEX(Table3Compare!$B$6:$K$32,MATCH($CG26,Table3Compare!$A$6:$A$32,0),MATCH(CH$9,Table3Compare!$B$5:$K$5,0))</f>
        <v>149.72295270718297</v>
      </c>
      <c r="CI26" s="69">
        <f>INDEX(Table3Compare!$B$6:$K$32,MATCH($CG26,Table3Compare!$A$6:$A$32,0),MATCH(CI$9,Table3Compare!$B$5:$K$5,0))</f>
        <v>147.330289714363</v>
      </c>
      <c r="CJ26" s="69">
        <f>INDEX(Table3Compare!$B$6:$K$32,MATCH($CG26,Table3Compare!$A$6:$A$32,0),MATCH(CJ$9,Table3Compare!$B$5:$K$5,0))</f>
        <v>146.24252045298422</v>
      </c>
      <c r="CK26" s="69">
        <f>INDEX(Table3Compare!$B$6:$K$32,MATCH($CG26,Table3Compare!$A$6:$A$32,0),MATCH(CK$9,Table3Compare!$B$5:$K$5,0))</f>
        <v>149.72295270718297</v>
      </c>
      <c r="CL26" s="69">
        <f>INDEX(Table3Compare!$B$6:$K$32,MATCH($CG26,Table3Compare!$A$6:$A$32,0),MATCH(CL$9,Table3Compare!$B$5:$K$5,0))</f>
        <v>147.330289714363</v>
      </c>
      <c r="CM26" s="69">
        <f>INDEX(Table3Compare!$B$6:$K$32,MATCH($CG26,Table3Compare!$A$6:$A$32,0),MATCH(CM$9,Table3Compare!$B$5:$K$5,0))</f>
        <v>146.24252045298422</v>
      </c>
      <c r="CN26" s="69">
        <f>INDEX(Table3Compare!$B$6:$K$32,MATCH($CG26,Table3Compare!$A$6:$A$32,0),MATCH(CN$9,Table3Compare!$B$5:$K$5,0))</f>
        <v>117.19636909164954</v>
      </c>
      <c r="CO26" s="69">
        <f>INDEX(Table3Compare!$B$6:$K$32,MATCH($CG26,Table3Compare!$A$6:$A$32,0),MATCH(CO$9,Table3Compare!$B$5:$K$5,0))</f>
        <v>117.19636909164954</v>
      </c>
      <c r="CP26" s="69">
        <f>INDEX(Table3Compare!$B$6:$K$32,MATCH($CG26,Table3Compare!$A$6:$A$32,0),MATCH(CP$9,Table3Compare!$B$5:$K$5,0))</f>
        <v>117.19636909164954</v>
      </c>
      <c r="CQ26" s="69">
        <f>INDEX(Table3Compare!$B$6:$K$32,MATCH($CG26,Table3Compare!$A$6:$A$32,0),MATCH(CQ$9,Table3Compare!$B$5:$K$5,0))</f>
        <v>117.19636909164954</v>
      </c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152"/>
      <c r="DG26" s="152"/>
      <c r="DH26" s="69"/>
      <c r="DI26" s="152"/>
      <c r="DJ26" s="152"/>
      <c r="DK26" s="152"/>
      <c r="DL26" s="152"/>
      <c r="DM26" s="152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8.4520970037744281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8.4520970037744281</v>
      </c>
      <c r="FC26">
        <f t="shared" si="21"/>
        <v>2038</v>
      </c>
      <c r="FD26" s="68"/>
      <c r="FE26" s="86">
        <f t="shared" si="25"/>
        <v>0</v>
      </c>
    </row>
    <row r="27" spans="2:161">
      <c r="B27" s="237">
        <f t="shared" si="22"/>
        <v>2039</v>
      </c>
      <c r="C27" s="8">
        <f t="shared" si="7"/>
        <v>107.95440896228862</v>
      </c>
      <c r="D27" s="238"/>
      <c r="E27" s="8">
        <f t="shared" ca="1" si="23"/>
        <v>3.3362716347758123</v>
      </c>
      <c r="F27" s="33"/>
      <c r="G27" s="8">
        <f t="shared" ca="1" si="24"/>
        <v>44.028311333928961</v>
      </c>
      <c r="H27" s="8"/>
      <c r="I27" s="8"/>
      <c r="J27" s="8"/>
      <c r="K27" s="8"/>
      <c r="O27">
        <f t="shared" si="8"/>
        <v>2039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X27">
        <f t="shared" si="9"/>
        <v>0</v>
      </c>
      <c r="AY27">
        <f t="shared" si="10"/>
        <v>0</v>
      </c>
      <c r="AZ27">
        <f t="shared" si="11"/>
        <v>0</v>
      </c>
      <c r="BA27">
        <f t="shared" si="12"/>
        <v>0</v>
      </c>
      <c r="BB27">
        <f t="shared" si="13"/>
        <v>0</v>
      </c>
      <c r="BC27">
        <f t="shared" si="14"/>
        <v>0</v>
      </c>
      <c r="BD27">
        <f t="shared" si="15"/>
        <v>0</v>
      </c>
      <c r="BE27">
        <f t="shared" si="16"/>
        <v>0</v>
      </c>
      <c r="BF27">
        <f t="shared" si="17"/>
        <v>0</v>
      </c>
      <c r="BG27">
        <f t="shared" si="18"/>
        <v>0</v>
      </c>
      <c r="CG27" s="145">
        <f t="shared" si="19"/>
        <v>2039</v>
      </c>
      <c r="CH27" s="69">
        <f>INDEX(Table3Compare!$B$6:$K$32,MATCH($CG27,Table3Compare!$A$6:$A$32,0),MATCH(CH$9,Table3Compare!$B$5:$K$5,0))</f>
        <v>152.98691305009541</v>
      </c>
      <c r="CI27" s="69">
        <f>INDEX(Table3Compare!$B$6:$K$32,MATCH($CG27,Table3Compare!$A$6:$A$32,0),MATCH(CI$9,Table3Compare!$B$5:$K$5,0))</f>
        <v>150.54209000444914</v>
      </c>
      <c r="CJ27" s="69">
        <f>INDEX(Table3Compare!$B$6:$K$32,MATCH($CG27,Table3Compare!$A$6:$A$32,0),MATCH(CJ$9,Table3Compare!$B$5:$K$5,0))</f>
        <v>149.43060737336194</v>
      </c>
      <c r="CK27" s="69">
        <f>INDEX(Table3Compare!$B$6:$K$32,MATCH($CG27,Table3Compare!$A$6:$A$32,0),MATCH(CK$9,Table3Compare!$B$5:$K$5,0))</f>
        <v>152.98691305009541</v>
      </c>
      <c r="CL27" s="69">
        <f>INDEX(Table3Compare!$B$6:$K$32,MATCH($CG27,Table3Compare!$A$6:$A$32,0),MATCH(CL$9,Table3Compare!$B$5:$K$5,0))</f>
        <v>150.54209000444914</v>
      </c>
      <c r="CM27" s="69">
        <f>INDEX(Table3Compare!$B$6:$K$32,MATCH($CG27,Table3Compare!$A$6:$A$32,0),MATCH(CM$9,Table3Compare!$B$5:$K$5,0))</f>
        <v>149.43060737336194</v>
      </c>
      <c r="CN27" s="69">
        <f>INDEX(Table3Compare!$B$6:$K$32,MATCH($CG27,Table3Compare!$A$6:$A$32,0),MATCH(CN$9,Table3Compare!$B$5:$K$5,0))</f>
        <v>119.75124991741436</v>
      </c>
      <c r="CO27" s="69">
        <f>INDEX(Table3Compare!$B$6:$K$32,MATCH($CG27,Table3Compare!$A$6:$A$32,0),MATCH(CO$9,Table3Compare!$B$5:$K$5,0))</f>
        <v>119.75124991741436</v>
      </c>
      <c r="CP27" s="69">
        <f>INDEX(Table3Compare!$B$6:$K$32,MATCH($CG27,Table3Compare!$A$6:$A$32,0),MATCH(CP$9,Table3Compare!$B$5:$K$5,0))</f>
        <v>119.75124991741436</v>
      </c>
      <c r="CQ27" s="69">
        <f>INDEX(Table3Compare!$B$6:$K$32,MATCH($CG27,Table3Compare!$A$6:$A$32,0),MATCH(CQ$9,Table3Compare!$B$5:$K$5,0))</f>
        <v>119.75124991741436</v>
      </c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152"/>
      <c r="DG27" s="152"/>
      <c r="DH27" s="69"/>
      <c r="DI27" s="152"/>
      <c r="DJ27" s="152"/>
      <c r="DK27" s="152"/>
      <c r="DL27" s="152"/>
      <c r="DM27" s="152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8.6363527169830903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8.6363527169830903</v>
      </c>
      <c r="FC27">
        <f t="shared" si="21"/>
        <v>2039</v>
      </c>
      <c r="FD27" s="68"/>
      <c r="FE27" s="86">
        <f t="shared" si="25"/>
        <v>0</v>
      </c>
    </row>
    <row r="28" spans="2:161">
      <c r="B28" s="237">
        <f t="shared" si="22"/>
        <v>2040</v>
      </c>
      <c r="C28" s="8">
        <f t="shared" si="7"/>
        <v>110.30781511052302</v>
      </c>
      <c r="D28" s="238"/>
      <c r="E28" s="8">
        <f t="shared" ca="1" si="23"/>
        <v>4.2323054813811432</v>
      </c>
      <c r="F28" s="33"/>
      <c r="G28" s="8">
        <f t="shared" ca="1" si="24"/>
        <v>45.800997222212565</v>
      </c>
      <c r="H28" s="33"/>
      <c r="I28" s="8"/>
      <c r="J28" s="8"/>
      <c r="K28" s="8"/>
      <c r="M28" s="45"/>
      <c r="O28">
        <f t="shared" si="8"/>
        <v>2040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X28">
        <f t="shared" si="9"/>
        <v>0</v>
      </c>
      <c r="AY28">
        <f t="shared" si="10"/>
        <v>0</v>
      </c>
      <c r="AZ28">
        <f t="shared" si="11"/>
        <v>0</v>
      </c>
      <c r="BA28">
        <f t="shared" si="12"/>
        <v>0</v>
      </c>
      <c r="BB28">
        <f t="shared" si="13"/>
        <v>0</v>
      </c>
      <c r="BC28">
        <f t="shared" si="14"/>
        <v>0</v>
      </c>
      <c r="BD28">
        <f t="shared" si="15"/>
        <v>0</v>
      </c>
      <c r="BE28">
        <f t="shared" si="16"/>
        <v>0</v>
      </c>
      <c r="BF28">
        <f t="shared" si="17"/>
        <v>0</v>
      </c>
      <c r="BG28">
        <f t="shared" si="18"/>
        <v>0</v>
      </c>
      <c r="CG28" s="145">
        <f t="shared" si="19"/>
        <v>2040</v>
      </c>
      <c r="CH28" s="69">
        <f>INDEX(Table3Compare!$B$6:$K$32,MATCH($CG28,Table3Compare!$A$6:$A$32,0),MATCH(CH$9,Table3Compare!$B$5:$K$5,0))</f>
        <v>156.32202780114989</v>
      </c>
      <c r="CI28" s="69">
        <f>INDEX(Table3Compare!$B$6:$K$32,MATCH($CG28,Table3Compare!$A$6:$A$32,0),MATCH(CI$9,Table3Compare!$B$5:$K$5,0))</f>
        <v>153.82390761236439</v>
      </c>
      <c r="CJ28" s="69">
        <f>INDEX(Table3Compare!$B$6:$K$32,MATCH($CG28,Table3Compare!$A$6:$A$32,0),MATCH(CJ$9,Table3Compare!$B$5:$K$5,0))</f>
        <v>152.68819465958123</v>
      </c>
      <c r="CK28" s="69">
        <f>INDEX(Table3Compare!$B$6:$K$32,MATCH($CG28,Table3Compare!$A$6:$A$32,0),MATCH(CK$9,Table3Compare!$B$5:$K$5,0))</f>
        <v>156.32202780114989</v>
      </c>
      <c r="CL28" s="69">
        <f>INDEX(Table3Compare!$B$6:$K$32,MATCH($CG28,Table3Compare!$A$6:$A$32,0),MATCH(CL$9,Table3Compare!$B$5:$K$5,0))</f>
        <v>153.82390761236439</v>
      </c>
      <c r="CM28" s="69">
        <f>INDEX(Table3Compare!$B$6:$K$32,MATCH($CG28,Table3Compare!$A$6:$A$32,0),MATCH(CM$9,Table3Compare!$B$5:$K$5,0))</f>
        <v>152.68819465958123</v>
      </c>
      <c r="CN28" s="69">
        <f>INDEX(Table3Compare!$B$6:$K$32,MATCH($CG28,Table3Compare!$A$6:$A$32,0),MATCH(CN$9,Table3Compare!$B$5:$K$5,0))</f>
        <v>122.36182720206089</v>
      </c>
      <c r="CO28" s="69">
        <f>INDEX(Table3Compare!$B$6:$K$32,MATCH($CG28,Table3Compare!$A$6:$A$32,0),MATCH(CO$9,Table3Compare!$B$5:$K$5,0))</f>
        <v>122.36182720206089</v>
      </c>
      <c r="CP28" s="69">
        <f>INDEX(Table3Compare!$B$6:$K$32,MATCH($CG28,Table3Compare!$A$6:$A$32,0),MATCH(CP$9,Table3Compare!$B$5:$K$5,0))</f>
        <v>122.36182720206089</v>
      </c>
      <c r="CQ28" s="69">
        <f>INDEX(Table3Compare!$B$6:$K$32,MATCH($CG28,Table3Compare!$A$6:$A$32,0),MATCH(CQ$9,Table3Compare!$B$5:$K$5,0))</f>
        <v>122.36182720206089</v>
      </c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152"/>
      <c r="DG28" s="152"/>
      <c r="DH28" s="69"/>
      <c r="DI28" s="152"/>
      <c r="DJ28" s="152"/>
      <c r="DK28" s="152"/>
      <c r="DL28" s="152"/>
      <c r="DM28" s="152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8.8246252088418426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8.8246252088418426</v>
      </c>
      <c r="FC28">
        <f t="shared" si="21"/>
        <v>2040</v>
      </c>
      <c r="FD28" s="68"/>
      <c r="FE28" s="86">
        <f t="shared" si="25"/>
        <v>0</v>
      </c>
    </row>
    <row r="29" spans="2:161">
      <c r="B29" s="237">
        <f t="shared" si="22"/>
        <v>2041</v>
      </c>
      <c r="C29" s="8">
        <f t="shared" si="7"/>
        <v>112.71252542706206</v>
      </c>
      <c r="D29" s="238"/>
      <c r="E29" s="8">
        <f t="shared" ca="1" si="23"/>
        <v>2.2378207446167027</v>
      </c>
      <c r="F29" s="33"/>
      <c r="G29" s="8">
        <f t="shared" ca="1" si="24"/>
        <v>44.671521791934715</v>
      </c>
      <c r="H29" s="33"/>
      <c r="I29" s="8"/>
      <c r="J29" s="8"/>
      <c r="K29" s="8"/>
      <c r="M29" s="86"/>
      <c r="O29">
        <f t="shared" si="8"/>
        <v>2041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X29">
        <f t="shared" si="9"/>
        <v>0</v>
      </c>
      <c r="AY29">
        <f t="shared" si="10"/>
        <v>0</v>
      </c>
      <c r="AZ29">
        <f t="shared" si="11"/>
        <v>0</v>
      </c>
      <c r="BA29">
        <f t="shared" si="12"/>
        <v>0</v>
      </c>
      <c r="BB29">
        <f t="shared" si="13"/>
        <v>0</v>
      </c>
      <c r="BC29">
        <f t="shared" si="14"/>
        <v>0</v>
      </c>
      <c r="BD29">
        <f t="shared" si="15"/>
        <v>0</v>
      </c>
      <c r="BE29">
        <f t="shared" si="16"/>
        <v>0</v>
      </c>
      <c r="BF29">
        <f t="shared" si="17"/>
        <v>0</v>
      </c>
      <c r="BG29">
        <f t="shared" si="18"/>
        <v>0</v>
      </c>
      <c r="CG29" s="145">
        <f t="shared" si="19"/>
        <v>2041</v>
      </c>
      <c r="CH29" s="69">
        <f>INDEX(Table3Compare!$B$6:$K$32,MATCH($CG29,Table3Compare!$A$6:$A$32,0),MATCH(CH$9,Table3Compare!$B$5:$K$5,0))</f>
        <v>159.72984793229006</v>
      </c>
      <c r="CI29" s="69">
        <f>INDEX(Table3Compare!$B$6:$K$32,MATCH($CG29,Table3Compare!$A$6:$A$32,0),MATCH(CI$9,Table3Compare!$B$5:$K$5,0))</f>
        <v>157.17726872458636</v>
      </c>
      <c r="CJ29" s="69">
        <f>INDEX(Table3Compare!$B$6:$K$32,MATCH($CG29,Table3Compare!$A$6:$A$32,0),MATCH(CJ$9,Table3Compare!$B$5:$K$5,0))</f>
        <v>156.0167972299769</v>
      </c>
      <c r="CK29" s="69">
        <f>INDEX(Table3Compare!$B$6:$K$32,MATCH($CG29,Table3Compare!$A$6:$A$32,0),MATCH(CK$9,Table3Compare!$B$5:$K$5,0))</f>
        <v>159.72984793229006</v>
      </c>
      <c r="CL29" s="69">
        <f>INDEX(Table3Compare!$B$6:$K$32,MATCH($CG29,Table3Compare!$A$6:$A$32,0),MATCH(CL$9,Table3Compare!$B$5:$K$5,0))</f>
        <v>157.17726872458636</v>
      </c>
      <c r="CM29" s="69">
        <f>INDEX(Table3Compare!$B$6:$K$32,MATCH($CG29,Table3Compare!$A$6:$A$32,0),MATCH(CM$9,Table3Compare!$B$5:$K$5,0))</f>
        <v>156.0167972299769</v>
      </c>
      <c r="CN29" s="69">
        <f>INDEX(Table3Compare!$B$6:$K$32,MATCH($CG29,Table3Compare!$A$6:$A$32,0),MATCH(CN$9,Table3Compare!$B$5:$K$5,0))</f>
        <v>125.02931497641799</v>
      </c>
      <c r="CO29" s="69">
        <f>INDEX(Table3Compare!$B$6:$K$32,MATCH($CG29,Table3Compare!$A$6:$A$32,0),MATCH(CO$9,Table3Compare!$B$5:$K$5,0))</f>
        <v>125.02931497641799</v>
      </c>
      <c r="CP29" s="69">
        <f>INDEX(Table3Compare!$B$6:$K$32,MATCH($CG29,Table3Compare!$A$6:$A$32,0),MATCH(CP$9,Table3Compare!$B$5:$K$5,0))</f>
        <v>125.02931497641799</v>
      </c>
      <c r="CQ29" s="69">
        <f>INDEX(Table3Compare!$B$6:$K$32,MATCH($CG29,Table3Compare!$A$6:$A$32,0),MATCH(CQ$9,Table3Compare!$B$5:$K$5,0))</f>
        <v>125.02931497641799</v>
      </c>
      <c r="CR29" s="69"/>
      <c r="CS29" s="69"/>
      <c r="CT29" s="69"/>
      <c r="CU29" s="69"/>
      <c r="CV29" s="69"/>
      <c r="CW29" s="69"/>
      <c r="CX29" s="69"/>
      <c r="CY29" s="69"/>
      <c r="CZ29" s="69"/>
      <c r="DA29" s="69"/>
      <c r="DB29" s="69"/>
      <c r="DC29" s="69"/>
      <c r="DD29" s="69"/>
      <c r="DE29" s="69"/>
      <c r="DF29" s="152"/>
      <c r="DG29" s="152"/>
      <c r="DH29" s="69"/>
      <c r="DI29" s="152"/>
      <c r="DJ29" s="152"/>
      <c r="DK29" s="152"/>
      <c r="DL29" s="152"/>
      <c r="DM29" s="152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9.0170020341649657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9.0170020341649657</v>
      </c>
      <c r="FC29">
        <f t="shared" si="21"/>
        <v>2041</v>
      </c>
      <c r="FD29" s="68"/>
      <c r="FE29" s="86">
        <f t="shared" si="25"/>
        <v>0</v>
      </c>
    </row>
    <row r="30" spans="2:161">
      <c r="B30" s="237">
        <f t="shared" si="22"/>
        <v>2042</v>
      </c>
      <c r="C30" s="8">
        <f t="shared" si="7"/>
        <v>115.16965848559042</v>
      </c>
      <c r="D30" s="238"/>
      <c r="E30" s="8">
        <f t="shared" ca="1" si="23"/>
        <v>3.7161989411590213</v>
      </c>
      <c r="F30" s="33"/>
      <c r="G30" s="8">
        <f t="shared" ca="1" si="24"/>
        <v>47.050617260672631</v>
      </c>
      <c r="H30" s="33"/>
      <c r="I30" s="8"/>
      <c r="J30" s="8"/>
      <c r="K30" s="8"/>
      <c r="M30" s="86"/>
      <c r="O30">
        <f t="shared" si="8"/>
        <v>2042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X30">
        <f t="shared" si="9"/>
        <v>0</v>
      </c>
      <c r="AY30">
        <f t="shared" si="10"/>
        <v>0</v>
      </c>
      <c r="AZ30">
        <f t="shared" si="11"/>
        <v>0</v>
      </c>
      <c r="BA30">
        <f t="shared" si="12"/>
        <v>0</v>
      </c>
      <c r="BB30">
        <f t="shared" si="13"/>
        <v>0</v>
      </c>
      <c r="BC30">
        <f t="shared" si="14"/>
        <v>0</v>
      </c>
      <c r="BD30">
        <f t="shared" si="15"/>
        <v>0</v>
      </c>
      <c r="BE30">
        <f t="shared" si="16"/>
        <v>0</v>
      </c>
      <c r="BF30">
        <f t="shared" si="17"/>
        <v>0</v>
      </c>
      <c r="BG30">
        <f t="shared" si="18"/>
        <v>0</v>
      </c>
      <c r="CG30" s="145">
        <f t="shared" si="19"/>
        <v>2042</v>
      </c>
      <c r="CH30" s="69">
        <f>INDEX(Table3Compare!$B$6:$K$32,MATCH($CG30,Table3Compare!$A$6:$A$32,0),MATCH(CH$9,Table3Compare!$B$5:$K$5,0))</f>
        <v>163.21195862319203</v>
      </c>
      <c r="CI30" s="69">
        <f>INDEX(Table3Compare!$B$6:$K$32,MATCH($CG30,Table3Compare!$A$6:$A$32,0),MATCH(CI$9,Table3Compare!$B$5:$K$5,0))</f>
        <v>160.60373318866488</v>
      </c>
      <c r="CJ30" s="69">
        <f>INDEX(Table3Compare!$B$6:$K$32,MATCH($CG30,Table3Compare!$A$6:$A$32,0),MATCH(CJ$9,Table3Compare!$B$5:$K$5,0))</f>
        <v>159.41796341542948</v>
      </c>
      <c r="CK30" s="69">
        <f>INDEX(Table3Compare!$B$6:$K$32,MATCH($CG30,Table3Compare!$A$6:$A$32,0),MATCH(CK$9,Table3Compare!$B$5:$K$5,0))</f>
        <v>163.21195862319203</v>
      </c>
      <c r="CL30" s="69">
        <f>INDEX(Table3Compare!$B$6:$K$32,MATCH($CG30,Table3Compare!$A$6:$A$32,0),MATCH(CL$9,Table3Compare!$B$5:$K$5,0))</f>
        <v>160.60373318866488</v>
      </c>
      <c r="CM30" s="69">
        <f>INDEX(Table3Compare!$B$6:$K$32,MATCH($CG30,Table3Compare!$A$6:$A$32,0),MATCH(CM$9,Table3Compare!$B$5:$K$5,0))</f>
        <v>159.41796341542948</v>
      </c>
      <c r="CN30" s="69">
        <f>INDEX(Table3Compare!$B$6:$K$32,MATCH($CG30,Table3Compare!$A$6:$A$32,0),MATCH(CN$9,Table3Compare!$B$5:$K$5,0))</f>
        <v>127.75495404758324</v>
      </c>
      <c r="CO30" s="69">
        <f>INDEX(Table3Compare!$B$6:$K$32,MATCH($CG30,Table3Compare!$A$6:$A$32,0),MATCH(CO$9,Table3Compare!$B$5:$K$5,0))</f>
        <v>127.75495404758324</v>
      </c>
      <c r="CP30" s="69">
        <f>INDEX(Table3Compare!$B$6:$K$32,MATCH($CG30,Table3Compare!$A$6:$A$32,0),MATCH(CP$9,Table3Compare!$B$5:$K$5,0))</f>
        <v>127.75495404758324</v>
      </c>
      <c r="CQ30" s="69">
        <f>INDEX(Table3Compare!$B$6:$K$32,MATCH($CG30,Table3Compare!$A$6:$A$32,0),MATCH(CQ$9,Table3Compare!$B$5:$K$5,0))</f>
        <v>127.75495404758324</v>
      </c>
      <c r="CR30" s="69"/>
      <c r="CS30" s="69"/>
      <c r="CT30" s="69"/>
      <c r="CU30" s="69"/>
      <c r="CV30" s="69"/>
      <c r="CW30" s="69"/>
      <c r="CX30" s="69"/>
      <c r="CY30" s="69"/>
      <c r="CZ30" s="69"/>
      <c r="DA30" s="69"/>
      <c r="DB30" s="69"/>
      <c r="DC30" s="69"/>
      <c r="DD30" s="69"/>
      <c r="DE30" s="69"/>
      <c r="DF30" s="152"/>
      <c r="DG30" s="152"/>
      <c r="DH30" s="69"/>
      <c r="DI30" s="152"/>
      <c r="DJ30" s="152"/>
      <c r="DK30" s="152"/>
      <c r="DL30" s="152"/>
      <c r="DM30" s="152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9.2135726788472336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9.2135726788472336</v>
      </c>
      <c r="FC30">
        <f t="shared" si="21"/>
        <v>2042</v>
      </c>
      <c r="FD30" s="68"/>
      <c r="FE30" s="86">
        <f t="shared" si="25"/>
        <v>0</v>
      </c>
    </row>
    <row r="31" spans="2:161">
      <c r="B31" s="237">
        <f t="shared" si="22"/>
        <v>2043</v>
      </c>
      <c r="C31" s="8">
        <f t="shared" si="7"/>
        <v>117.68035707641688</v>
      </c>
      <c r="D31" s="238"/>
      <c r="E31" s="8">
        <f t="shared" ca="1" si="23"/>
        <v>4.723102264346462</v>
      </c>
      <c r="F31" s="33"/>
      <c r="G31" s="8">
        <f t="shared" ca="1" si="24"/>
        <v>49.011044845858642</v>
      </c>
      <c r="H31" s="33"/>
      <c r="I31" s="8"/>
      <c r="J31" s="8"/>
      <c r="K31" s="8"/>
      <c r="M31" s="86"/>
      <c r="O31">
        <f t="shared" si="8"/>
        <v>2043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X31">
        <f t="shared" si="9"/>
        <v>0</v>
      </c>
      <c r="AY31">
        <f t="shared" si="10"/>
        <v>0</v>
      </c>
      <c r="AZ31">
        <f t="shared" si="11"/>
        <v>0</v>
      </c>
      <c r="BA31">
        <f t="shared" si="12"/>
        <v>0</v>
      </c>
      <c r="BB31">
        <f t="shared" si="13"/>
        <v>0</v>
      </c>
      <c r="BC31">
        <f t="shared" si="14"/>
        <v>0</v>
      </c>
      <c r="BD31">
        <f t="shared" si="15"/>
        <v>0</v>
      </c>
      <c r="BE31">
        <f t="shared" si="16"/>
        <v>0</v>
      </c>
      <c r="BF31">
        <f t="shared" si="17"/>
        <v>0</v>
      </c>
      <c r="BG31">
        <f t="shared" si="18"/>
        <v>0</v>
      </c>
      <c r="CG31" s="145">
        <f t="shared" si="19"/>
        <v>2043</v>
      </c>
      <c r="CH31" s="69">
        <f>INDEX(Table3Compare!$B$6:$K$32,MATCH($CG31,Table3Compare!$A$6:$A$32,0),MATCH(CH$9,Table3Compare!$B$5:$K$5,0))</f>
        <v>166.7699793719689</v>
      </c>
      <c r="CI31" s="69">
        <f>INDEX(Table3Compare!$B$6:$K$32,MATCH($CG31,Table3Compare!$A$6:$A$32,0),MATCH(CI$9,Table3Compare!$B$5:$K$5,0))</f>
        <v>164.10489462215736</v>
      </c>
      <c r="CJ31" s="69">
        <f>INDEX(Table3Compare!$B$6:$K$32,MATCH($CG31,Table3Compare!$A$6:$A$32,0),MATCH(CJ$9,Table3Compare!$B$5:$K$5,0))</f>
        <v>162.89327506749646</v>
      </c>
      <c r="CK31" s="69">
        <f>INDEX(Table3Compare!$B$6:$K$32,MATCH($CG31,Table3Compare!$A$6:$A$32,0),MATCH(CK$9,Table3Compare!$B$5:$K$5,0))</f>
        <v>166.7699793719689</v>
      </c>
      <c r="CL31" s="69">
        <f>INDEX(Table3Compare!$B$6:$K$32,MATCH($CG31,Table3Compare!$A$6:$A$32,0),MATCH(CL$9,Table3Compare!$B$5:$K$5,0))</f>
        <v>164.10489462215736</v>
      </c>
      <c r="CM31" s="69">
        <f>INDEX(Table3Compare!$B$6:$K$32,MATCH($CG31,Table3Compare!$A$6:$A$32,0),MATCH(CM$9,Table3Compare!$B$5:$K$5,0))</f>
        <v>162.89327506749646</v>
      </c>
      <c r="CN31" s="69">
        <f>INDEX(Table3Compare!$B$6:$K$32,MATCH($CG31,Table3Compare!$A$6:$A$32,0),MATCH(CN$9,Table3Compare!$B$5:$K$5,0))</f>
        <v>130.5400120855777</v>
      </c>
      <c r="CO31" s="69">
        <f>INDEX(Table3Compare!$B$6:$K$32,MATCH($CG31,Table3Compare!$A$6:$A$32,0),MATCH(CO$9,Table3Compare!$B$5:$K$5,0))</f>
        <v>130.5400120855777</v>
      </c>
      <c r="CP31" s="69">
        <f>INDEX(Table3Compare!$B$6:$K$32,MATCH($CG31,Table3Compare!$A$6:$A$32,0),MATCH(CP$9,Table3Compare!$B$5:$K$5,0))</f>
        <v>130.5400120855777</v>
      </c>
      <c r="CQ31" s="69">
        <f>INDEX(Table3Compare!$B$6:$K$32,MATCH($CG31,Table3Compare!$A$6:$A$32,0),MATCH(CQ$9,Table3Compare!$B$5:$K$5,0))</f>
        <v>130.5400120855777</v>
      </c>
      <c r="CR31" s="69"/>
      <c r="CS31" s="69"/>
      <c r="CT31" s="69"/>
      <c r="CU31" s="69"/>
      <c r="CV31" s="69"/>
      <c r="CW31" s="69"/>
      <c r="CX31" s="69"/>
      <c r="CY31" s="69"/>
      <c r="CZ31" s="69"/>
      <c r="DA31" s="69"/>
      <c r="DB31" s="69"/>
      <c r="DC31" s="69"/>
      <c r="DD31" s="69"/>
      <c r="DE31" s="69"/>
      <c r="DF31" s="152"/>
      <c r="DG31" s="152"/>
      <c r="DH31" s="69"/>
      <c r="DI31" s="152"/>
      <c r="DJ31" s="152"/>
      <c r="DK31" s="152"/>
      <c r="DL31" s="152"/>
      <c r="DM31" s="152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9.4144285661133509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9.4144285661133509</v>
      </c>
      <c r="FC31">
        <f t="shared" si="21"/>
        <v>2043</v>
      </c>
      <c r="FD31" s="68"/>
      <c r="FE31" s="86">
        <f t="shared" si="25"/>
        <v>0</v>
      </c>
    </row>
    <row r="32" spans="2:161">
      <c r="B32" s="237">
        <f t="shared" si="22"/>
        <v>2044</v>
      </c>
      <c r="C32" s="8">
        <f t="shared" si="7"/>
        <v>120.24578883141972</v>
      </c>
      <c r="D32" s="238"/>
      <c r="E32" s="8">
        <f t="shared" ca="1" si="23"/>
        <v>2.1742257090984149</v>
      </c>
      <c r="F32" s="33"/>
      <c r="G32" s="8">
        <f t="shared" ca="1" si="24"/>
        <v>47.498609827866822</v>
      </c>
      <c r="H32" s="33"/>
      <c r="I32" s="8"/>
      <c r="J32" s="8"/>
      <c r="K32" s="8"/>
      <c r="M32" s="86"/>
      <c r="O32">
        <f t="shared" si="8"/>
        <v>2044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X32">
        <f t="shared" si="9"/>
        <v>0</v>
      </c>
      <c r="AY32">
        <f t="shared" si="10"/>
        <v>0</v>
      </c>
      <c r="AZ32">
        <f t="shared" si="11"/>
        <v>0</v>
      </c>
      <c r="BA32">
        <f t="shared" si="12"/>
        <v>0</v>
      </c>
      <c r="BB32">
        <f t="shared" si="13"/>
        <v>0</v>
      </c>
      <c r="BC32">
        <f t="shared" si="14"/>
        <v>0</v>
      </c>
      <c r="BD32">
        <f t="shared" si="15"/>
        <v>0</v>
      </c>
      <c r="BE32">
        <f t="shared" si="16"/>
        <v>0</v>
      </c>
      <c r="BF32">
        <f t="shared" si="17"/>
        <v>0</v>
      </c>
      <c r="BG32">
        <f t="shared" si="18"/>
        <v>0</v>
      </c>
      <c r="CG32" s="145">
        <f t="shared" si="19"/>
        <v>2044</v>
      </c>
      <c r="CH32" s="69">
        <f>INDEX(Table3Compare!$B$6:$K$32,MATCH($CG32,Table3Compare!$A$6:$A$32,0),MATCH(CH$9,Table3Compare!$B$5:$K$5,0))</f>
        <v>170.40556488080787</v>
      </c>
      <c r="CI32" s="69">
        <f>INDEX(Table3Compare!$B$6:$K$32,MATCH($CG32,Table3Compare!$A$6:$A$32,0),MATCH(CI$9,Table3Compare!$B$5:$K$5,0))</f>
        <v>167.68238128411315</v>
      </c>
      <c r="CJ32" s="69">
        <f>INDEX(Table3Compare!$B$6:$K$32,MATCH($CG32,Table3Compare!$A$6:$A$32,0),MATCH(CJ$9,Table3Compare!$B$5:$K$5,0))</f>
        <v>166.44434842346192</v>
      </c>
      <c r="CK32" s="69">
        <f>INDEX(Table3Compare!$B$6:$K$32,MATCH($CG32,Table3Compare!$A$6:$A$32,0),MATCH(CK$9,Table3Compare!$B$5:$K$5,0))</f>
        <v>170.40556488080787</v>
      </c>
      <c r="CL32" s="69">
        <f>INDEX(Table3Compare!$B$6:$K$32,MATCH($CG32,Table3Compare!$A$6:$A$32,0),MATCH(CL$9,Table3Compare!$B$5:$K$5,0))</f>
        <v>167.68238128411315</v>
      </c>
      <c r="CM32" s="69">
        <f>INDEX(Table3Compare!$B$6:$K$32,MATCH($CG32,Table3Compare!$A$6:$A$32,0),MATCH(CM$9,Table3Compare!$B$5:$K$5,0))</f>
        <v>166.44434842346192</v>
      </c>
      <c r="CN32" s="69">
        <f>INDEX(Table3Compare!$B$6:$K$32,MATCH($CG32,Table3Compare!$A$6:$A$32,0),MATCH(CN$9,Table3Compare!$B$5:$K$5,0))</f>
        <v>133.38578431658249</v>
      </c>
      <c r="CO32" s="69">
        <f>INDEX(Table3Compare!$B$6:$K$32,MATCH($CG32,Table3Compare!$A$6:$A$32,0),MATCH(CO$9,Table3Compare!$B$5:$K$5,0))</f>
        <v>133.38578431658249</v>
      </c>
      <c r="CP32" s="69">
        <f>INDEX(Table3Compare!$B$6:$K$32,MATCH($CG32,Table3Compare!$A$6:$A$32,0),MATCH(CP$9,Table3Compare!$B$5:$K$5,0))</f>
        <v>133.38578431658249</v>
      </c>
      <c r="CQ32" s="69">
        <f>INDEX(Table3Compare!$B$6:$K$32,MATCH($CG32,Table3Compare!$A$6:$A$32,0),MATCH(CQ$9,Table3Compare!$B$5:$K$5,0))</f>
        <v>133.38578431658249</v>
      </c>
      <c r="CR32" s="69"/>
      <c r="CS32" s="69"/>
      <c r="CT32" s="69"/>
      <c r="CU32" s="69"/>
      <c r="CV32" s="69"/>
      <c r="CW32" s="69"/>
      <c r="CX32" s="69"/>
      <c r="CY32" s="69"/>
      <c r="CZ32" s="69"/>
      <c r="DA32" s="69"/>
      <c r="DB32" s="69"/>
      <c r="DC32" s="69"/>
      <c r="DD32" s="69"/>
      <c r="DE32" s="69"/>
      <c r="DF32" s="152"/>
      <c r="DG32" s="152"/>
      <c r="DH32" s="69"/>
      <c r="DI32" s="152"/>
      <c r="DJ32" s="152"/>
      <c r="DK32" s="152"/>
      <c r="DL32" s="152"/>
      <c r="DM32" s="152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9.6196631065135776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9.6196631065135776</v>
      </c>
      <c r="FC32">
        <f t="shared" si="21"/>
        <v>2044</v>
      </c>
      <c r="FD32" s="68"/>
      <c r="FE32" s="86">
        <f t="shared" si="25"/>
        <v>0</v>
      </c>
    </row>
    <row r="33" spans="1:161">
      <c r="B33" s="237">
        <f t="shared" si="22"/>
        <v>2045</v>
      </c>
      <c r="C33" s="8">
        <f t="shared" ref="C33" si="26">(INDEX($FA:$FA,MATCH(B33,$O:$O,0),1)+INDEX($FE:$FE,MATCH(B33,$O:$O,0),1))*1000/Study_MW</f>
        <v>122.86714708334605</v>
      </c>
      <c r="D33" s="238"/>
      <c r="E33" s="8">
        <f t="shared" ref="E33" ca="1" si="27">SUMIF(INDIRECT("'Table 5'!$J$"&amp;$K$3&amp;":$J$"&amp;$K$4),B33,INDIRECT("'Table 5'!$c$"&amp;$K$3&amp;":$c$"&amp;$K$4))/SUMIF(INDIRECT("'Table 5'!$J$"&amp;$K$3&amp;":$J$"&amp;$K$4),B33,INDIRECT("'Table 5'!$f$"&amp;$K$3&amp;":$f$"&amp;$K$4))</f>
        <v>2.2216238295567621</v>
      </c>
      <c r="F33" s="33"/>
      <c r="G33" s="8">
        <f t="shared" ref="G33" ca="1" si="28">SUMIF(INDIRECT("'Table 5'!$J$"&amp;$K$3&amp;":$J$"&amp;$K$4),B33,INDIRECT("'Table 5'!$e$"&amp;$K$3&amp;":$e$"&amp;$K$4))/SUMIF(INDIRECT("'Table 5'!$J$"&amp;$K$3&amp;":$J$"&amp;$K$4),B33,INDIRECT("'Table 5'!$f$"&amp;$K$3&amp;":$f$"&amp;$K$4))</f>
        <v>48.534079522114318</v>
      </c>
      <c r="H33" s="33"/>
      <c r="I33" s="8"/>
      <c r="J33" s="8"/>
      <c r="K33" s="8"/>
      <c r="M33" s="86"/>
      <c r="O33">
        <f t="shared" ref="O33" si="29">B33</f>
        <v>2045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X33">
        <f t="shared" ref="AX33" si="30">P33/P$5</f>
        <v>0</v>
      </c>
      <c r="AY33">
        <f t="shared" ref="AY33" si="31">Q33/Q$5</f>
        <v>0</v>
      </c>
      <c r="AZ33">
        <f t="shared" ref="AZ33" si="32">R33/R$5</f>
        <v>0</v>
      </c>
      <c r="BA33">
        <f t="shared" ref="BA33" si="33">S33/S$5</f>
        <v>0</v>
      </c>
      <c r="BB33">
        <f t="shared" ref="BB33" si="34">T33/T$5</f>
        <v>0</v>
      </c>
      <c r="BC33">
        <f t="shared" ref="BC33" si="35">U33/U$5</f>
        <v>0</v>
      </c>
      <c r="BD33">
        <f t="shared" ref="BD33" si="36">V33/V$5</f>
        <v>0</v>
      </c>
      <c r="BE33">
        <f t="shared" ref="BE33" si="37">W33/W$5</f>
        <v>0</v>
      </c>
      <c r="BF33">
        <f t="shared" ref="BF33" si="38">X33/X$5</f>
        <v>0</v>
      </c>
      <c r="BG33">
        <f t="shared" ref="BG33" si="39">Y33/Y$5</f>
        <v>0</v>
      </c>
      <c r="CG33" s="145">
        <f t="shared" ref="CG33" si="40">O33</f>
        <v>2045</v>
      </c>
      <c r="CH33" s="69">
        <f>INDEX(Table3Compare!$B$6:$K$32,MATCH($CG33,Table3Compare!$A$6:$A$32,0),MATCH(CH$9,Table3Compare!$B$5:$K$5,0))</f>
        <v>174.12040627372122</v>
      </c>
      <c r="CI33" s="69">
        <f>INDEX(Table3Compare!$B$6:$K$32,MATCH($CG33,Table3Compare!$A$6:$A$32,0),MATCH(CI$9,Table3Compare!$B$5:$K$5,0))</f>
        <v>171.33785727336391</v>
      </c>
      <c r="CJ33" s="69">
        <f>INDEX(Table3Compare!$B$6:$K$32,MATCH($CG33,Table3Compare!$A$6:$A$32,0),MATCH(CJ$9,Table3Compare!$B$5:$K$5,0))</f>
        <v>170.07283529578007</v>
      </c>
      <c r="CK33" s="69">
        <f>INDEX(Table3Compare!$B$6:$K$32,MATCH($CG33,Table3Compare!$A$6:$A$32,0),MATCH(CK$9,Table3Compare!$B$5:$K$5,0))</f>
        <v>174.12040627372122</v>
      </c>
      <c r="CL33" s="69">
        <f>INDEX(Table3Compare!$B$6:$K$32,MATCH($CG33,Table3Compare!$A$6:$A$32,0),MATCH(CL$9,Table3Compare!$B$5:$K$5,0))</f>
        <v>171.33785727336391</v>
      </c>
      <c r="CM33" s="69">
        <f>INDEX(Table3Compare!$B$6:$K$32,MATCH($CG33,Table3Compare!$A$6:$A$32,0),MATCH(CM$9,Table3Compare!$B$5:$K$5,0))</f>
        <v>170.07283529578007</v>
      </c>
      <c r="CN33" s="69">
        <f>INDEX(Table3Compare!$B$6:$K$32,MATCH($CG33,Table3Compare!$A$6:$A$32,0),MATCH(CN$9,Table3Compare!$B$5:$K$5,0))</f>
        <v>136.29359447613942</v>
      </c>
      <c r="CO33" s="69">
        <f>INDEX(Table3Compare!$B$6:$K$32,MATCH($CG33,Table3Compare!$A$6:$A$32,0),MATCH(CO$9,Table3Compare!$B$5:$K$5,0))</f>
        <v>136.29359447613942</v>
      </c>
      <c r="CP33" s="69">
        <f>INDEX(Table3Compare!$B$6:$K$32,MATCH($CG33,Table3Compare!$A$6:$A$32,0),MATCH(CP$9,Table3Compare!$B$5:$K$5,0))</f>
        <v>136.29359447613942</v>
      </c>
      <c r="CQ33" s="69">
        <f>INDEX(Table3Compare!$B$6:$K$32,MATCH($CG33,Table3Compare!$A$6:$A$32,0),MATCH(CQ$9,Table3Compare!$B$5:$K$5,0))</f>
        <v>136.29359447613942</v>
      </c>
      <c r="CR33" s="69"/>
      <c r="CS33" s="69"/>
      <c r="CT33" s="69"/>
      <c r="CU33" s="69"/>
      <c r="CV33" s="69"/>
      <c r="CW33" s="69"/>
      <c r="CX33" s="69"/>
      <c r="CY33" s="69"/>
      <c r="CZ33" s="69"/>
      <c r="DA33" s="69"/>
      <c r="DB33" s="69"/>
      <c r="DC33" s="69"/>
      <c r="DD33" s="69"/>
      <c r="DE33" s="69"/>
      <c r="DF33" s="152"/>
      <c r="DG33" s="152"/>
      <c r="DH33" s="69"/>
      <c r="DI33" s="152"/>
      <c r="DJ33" s="152"/>
      <c r="DK33" s="152"/>
      <c r="DL33" s="152"/>
      <c r="DM33" s="152"/>
      <c r="DR33">
        <f>SUM(AX$13:AX33)*CH33/1000</f>
        <v>0</v>
      </c>
      <c r="DS33">
        <f>SUM(AY$13:AY33)*CI33/1000</f>
        <v>0</v>
      </c>
      <c r="DT33">
        <f>SUM(AZ$13:AZ33)*CJ33/1000</f>
        <v>0</v>
      </c>
      <c r="DU33">
        <f>SUM(BA$13:BA33)*CK33/1000</f>
        <v>9.8293717666676841</v>
      </c>
      <c r="DV33">
        <f>SUM(BB$13:BB33)*CL33/1000</f>
        <v>0</v>
      </c>
      <c r="DW33">
        <f>SUM(BC$13:BC33)*CM33/1000</f>
        <v>0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>
        <f>SUM(BN$13:BN33)*CX33/1000</f>
        <v>0</v>
      </c>
      <c r="EI33">
        <f>SUM(BO$13:BO33)*CY33/1000</f>
        <v>0</v>
      </c>
      <c r="EJ33">
        <f>SUM(BP$13:BP33)*CZ33/1000</f>
        <v>0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>
        <f t="shared" ref="FA33" si="41">SUM(DR33:EZ33)</f>
        <v>9.8293717666676841</v>
      </c>
      <c r="FC33">
        <f t="shared" ref="FC33" si="42">O33</f>
        <v>2045</v>
      </c>
      <c r="FD33" s="68"/>
      <c r="FE33" s="86">
        <f t="shared" ref="FE33" si="43">$FD$5*FD33/1000</f>
        <v>0</v>
      </c>
    </row>
    <row r="34" spans="1:161">
      <c r="A34" s="8"/>
      <c r="B34" s="8"/>
      <c r="C34" s="8"/>
      <c r="D34" s="8"/>
      <c r="E34" s="8"/>
      <c r="F34" s="8"/>
      <c r="G34" s="8"/>
      <c r="H34" s="8"/>
      <c r="I34" s="8"/>
      <c r="J34" s="8"/>
      <c r="M34" s="86"/>
      <c r="O34">
        <f t="shared" ref="O34" si="44">B34</f>
        <v>0</v>
      </c>
      <c r="Z34"/>
      <c r="AX34">
        <f t="shared" si="9"/>
        <v>0</v>
      </c>
      <c r="AY34">
        <f>Q34/Q$5</f>
        <v>0</v>
      </c>
      <c r="BC34">
        <f>U34/U$5</f>
        <v>0</v>
      </c>
      <c r="CG34" s="145">
        <f t="shared" si="19"/>
        <v>0</v>
      </c>
      <c r="CH34" s="69" t="e">
        <f>INDEX(Table3Compare!$B$6:$K$32,MATCH($CG34,Table3Compare!$A$6:$A$32,0),MATCH(CH$9,Table3Compare!$B$5:$K$5,0))</f>
        <v>#N/A</v>
      </c>
      <c r="CI34" s="69" t="e">
        <f>INDEX(Table3Compare!$B$6:$K$32,MATCH($CG34,Table3Compare!$A$6:$A$32,0),MATCH(CI$9,Table3Compare!$B$5:$K$5,0))</f>
        <v>#N/A</v>
      </c>
      <c r="CJ34" s="69" t="e">
        <f>INDEX(Table3Compare!$B$6:$K$32,MATCH($CG34,Table3Compare!$A$6:$A$32,0),MATCH(CJ$9,Table3Compare!$B$5:$K$5,0))</f>
        <v>#N/A</v>
      </c>
      <c r="CK34" s="69" t="e">
        <f>INDEX(Table3Compare!$B$6:$K$32,MATCH($CG34,Table3Compare!$A$6:$A$32,0),MATCH(CK$9,Table3Compare!$B$5:$K$5,0))</f>
        <v>#N/A</v>
      </c>
      <c r="CL34" s="69" t="e">
        <f>INDEX(Table3Compare!$B$6:$K$32,MATCH($CG34,Table3Compare!$A$6:$A$32,0),MATCH(CL$9,Table3Compare!$B$5:$K$5,0))</f>
        <v>#N/A</v>
      </c>
      <c r="CM34" s="69" t="e">
        <f>INDEX(Table3Compare!$B$6:$K$32,MATCH($CG34,Table3Compare!$A$6:$A$32,0),MATCH(CM$9,Table3Compare!$B$5:$K$5,0))</f>
        <v>#N/A</v>
      </c>
      <c r="CN34" s="69" t="e">
        <f>INDEX(Table3Compare!$B$6:$K$32,MATCH($CG34,Table3Compare!$A$6:$A$32,0),MATCH(CN$9,Table3Compare!$B$5:$K$5,0))</f>
        <v>#N/A</v>
      </c>
      <c r="CO34" s="69" t="e">
        <f>INDEX(Table3Compare!$B$6:$K$32,MATCH($CG34,Table3Compare!$A$6:$A$32,0),MATCH(CO$9,Table3Compare!$B$5:$K$5,0))</f>
        <v>#N/A</v>
      </c>
      <c r="CP34" s="69" t="e">
        <f>INDEX(Table3Compare!$B$6:$K$32,MATCH($CG34,Table3Compare!$A$6:$A$32,0),MATCH(CP$9,Table3Compare!$B$5:$K$5,0))</f>
        <v>#N/A</v>
      </c>
      <c r="CQ34" s="69" t="e">
        <f>INDEX(Table3Compare!$B$6:$K$32,MATCH($CG34,Table3Compare!$A$6:$A$32,0),MATCH(CQ$9,Table3Compare!$B$5:$K$5,0))</f>
        <v>#N/A</v>
      </c>
      <c r="CR34" s="69"/>
      <c r="CS34" s="69"/>
      <c r="CT34" s="69"/>
      <c r="CU34" s="69"/>
      <c r="CV34" s="69"/>
      <c r="CW34" s="69"/>
      <c r="CX34" s="69"/>
      <c r="CY34" s="69"/>
      <c r="CZ34" s="69"/>
      <c r="DA34" s="69"/>
      <c r="DB34" s="69"/>
      <c r="DC34" s="69"/>
      <c r="DD34" s="69"/>
      <c r="DE34" s="69"/>
      <c r="DF34" s="152"/>
      <c r="DG34" s="152"/>
      <c r="DH34" s="69"/>
      <c r="DI34" s="152"/>
      <c r="DJ34" s="152"/>
      <c r="DK34" s="152"/>
      <c r="DL34" s="152"/>
      <c r="DM34" s="152"/>
      <c r="DR34" t="e">
        <f>SUM(AX$13:AX34)*CH34/1000</f>
        <v>#N/A</v>
      </c>
      <c r="DS34" t="e">
        <f>SUM(AY$13:AY34)*CI34/1000</f>
        <v>#N/A</v>
      </c>
      <c r="DT34" t="e">
        <f>SUM(AZ$13:AZ34)*CJ34/1000</f>
        <v>#N/A</v>
      </c>
      <c r="DU34" t="e">
        <f>SUM(BA$13:BA34)*CK34/1000</f>
        <v>#N/A</v>
      </c>
      <c r="DV34" t="e">
        <f>SUM(BB$13:BB34)*CL34/1000</f>
        <v>#N/A</v>
      </c>
      <c r="DW34" t="e">
        <f>SUM(BC$13:BC34)*CM34/1000</f>
        <v>#N/A</v>
      </c>
      <c r="DX34" t="e">
        <f>SUM(BD$13:BD34)*CN34/1000</f>
        <v>#N/A</v>
      </c>
      <c r="DY34" t="e">
        <f>SUM(BE$13:BE34)*CO34/1000</f>
        <v>#N/A</v>
      </c>
      <c r="DZ34" t="e">
        <f>SUM(BF$13:BF34)*CP34/1000</f>
        <v>#N/A</v>
      </c>
      <c r="EA34" t="e">
        <f>SUM(BG$13:BG34)*CQ34/1000</f>
        <v>#N/A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>
        <f>SUM(BN$13:BN34)*CX34/1000</f>
        <v>0</v>
      </c>
      <c r="EI34">
        <f>SUM(BO$13:BO34)*CY34/1000</f>
        <v>0</v>
      </c>
      <c r="EJ34">
        <f>SUM(BP$13:BP34)*CZ34/1000</f>
        <v>0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 t="e">
        <f t="shared" si="20"/>
        <v>#N/A</v>
      </c>
      <c r="FC34">
        <f t="shared" si="21"/>
        <v>0</v>
      </c>
      <c r="FD34" s="68"/>
      <c r="FE34" s="86"/>
    </row>
    <row r="35" spans="1:161">
      <c r="B35" s="237"/>
      <c r="C35" s="8"/>
      <c r="D35" s="238"/>
      <c r="E35" s="8"/>
      <c r="F35" s="33"/>
      <c r="G35" s="8"/>
      <c r="H35" s="33"/>
      <c r="I35" s="8"/>
      <c r="J35" s="86"/>
      <c r="M35" s="86"/>
      <c r="Z35"/>
      <c r="CG35" s="145"/>
      <c r="CH35" s="69"/>
      <c r="CI35" s="69"/>
      <c r="CJ35" s="69"/>
      <c r="CK35" s="69"/>
      <c r="CL35" s="69"/>
      <c r="CM35" s="69"/>
      <c r="CN35" s="69"/>
      <c r="CO35" s="69"/>
      <c r="CP35" s="69"/>
      <c r="CQ35" s="69"/>
      <c r="CR35" s="69"/>
      <c r="CS35" s="69"/>
      <c r="CT35" s="69"/>
      <c r="CU35" s="69"/>
      <c r="CV35" s="69"/>
      <c r="CW35" s="69"/>
      <c r="CX35" s="69"/>
      <c r="CY35" s="69"/>
      <c r="CZ35" s="69"/>
      <c r="DA35" s="69"/>
      <c r="DB35" s="69"/>
      <c r="DC35" s="69"/>
      <c r="DD35" s="69"/>
      <c r="DE35" s="69"/>
      <c r="DF35" s="152"/>
      <c r="DG35" s="152"/>
      <c r="DH35" s="69"/>
      <c r="DI35" s="152"/>
      <c r="DJ35" s="152"/>
      <c r="DK35" s="152"/>
      <c r="DL35" s="152"/>
      <c r="DM35" s="152"/>
      <c r="FD35" s="68"/>
      <c r="FE35" s="86"/>
    </row>
    <row r="36" spans="1:161">
      <c r="B36" s="237"/>
      <c r="C36" s="8"/>
      <c r="D36" s="238"/>
      <c r="E36" s="8"/>
      <c r="F36" s="33"/>
      <c r="G36" s="8"/>
      <c r="H36" s="33"/>
      <c r="J36" s="86"/>
      <c r="K36" s="86"/>
      <c r="Z36"/>
      <c r="CG36" s="145"/>
      <c r="CH36" s="69"/>
      <c r="CI36" s="69"/>
      <c r="CJ36" s="69"/>
      <c r="CK36" s="69"/>
      <c r="CL36" s="69"/>
      <c r="CM36" s="69"/>
      <c r="CN36" s="69"/>
      <c r="CO36" s="69"/>
      <c r="CP36" s="69"/>
      <c r="CQ36" s="69"/>
      <c r="CR36" s="69"/>
      <c r="CS36" s="69"/>
      <c r="CT36" s="69"/>
      <c r="CU36" s="69"/>
      <c r="CV36" s="69"/>
      <c r="CW36" s="69"/>
      <c r="CX36" s="69"/>
      <c r="CY36" s="69"/>
      <c r="CZ36" s="69"/>
      <c r="DA36" s="69"/>
      <c r="DB36" s="69"/>
      <c r="DC36" s="69"/>
      <c r="DD36" s="69"/>
      <c r="DE36" s="69"/>
      <c r="DF36" s="69"/>
      <c r="DG36" s="69"/>
      <c r="DH36" s="69"/>
      <c r="DI36" s="69"/>
      <c r="DJ36" s="69"/>
      <c r="DK36" s="69"/>
      <c r="DL36" s="69"/>
      <c r="DM36" s="69"/>
      <c r="FD36" s="45"/>
      <c r="FE36" s="86"/>
    </row>
    <row r="37" spans="1:161">
      <c r="B37" s="237"/>
      <c r="C37" s="8"/>
      <c r="D37" s="238"/>
      <c r="E37" s="8"/>
      <c r="F37" s="33"/>
      <c r="G37" s="8"/>
      <c r="H37" s="33"/>
      <c r="J37" s="86"/>
      <c r="K37" s="86"/>
      <c r="Z37"/>
      <c r="CG37" s="145"/>
      <c r="CH37" s="69"/>
      <c r="CI37" s="69"/>
      <c r="CJ37" s="69"/>
      <c r="CK37" s="69"/>
      <c r="CL37" s="69"/>
      <c r="CM37" s="69"/>
      <c r="CN37" s="69"/>
      <c r="CO37" s="69"/>
      <c r="CP37" s="69"/>
      <c r="CQ37" s="69"/>
      <c r="CR37" s="69"/>
      <c r="CS37" s="69"/>
      <c r="CT37" s="69"/>
      <c r="CU37" s="69"/>
      <c r="CV37" s="69"/>
      <c r="CW37" s="69"/>
      <c r="CX37" s="69"/>
      <c r="CY37" s="69"/>
      <c r="CZ37" s="69"/>
      <c r="DA37" s="69"/>
      <c r="DB37" s="69"/>
      <c r="DC37" s="69"/>
      <c r="DD37" s="69"/>
      <c r="DE37" s="69"/>
      <c r="DF37" s="69"/>
      <c r="DG37" s="69"/>
      <c r="DH37" s="69"/>
      <c r="DI37" s="69"/>
      <c r="DJ37" s="69"/>
      <c r="DK37" s="69"/>
      <c r="DL37" s="69"/>
      <c r="DM37" s="69"/>
      <c r="FD37" s="45"/>
      <c r="FE37" s="86"/>
    </row>
    <row r="38" spans="1:161">
      <c r="B38" s="237"/>
      <c r="C38" s="8"/>
      <c r="D38" s="238"/>
      <c r="E38" s="8"/>
      <c r="F38" s="33"/>
      <c r="G38" s="8"/>
      <c r="H38" s="33"/>
      <c r="J38" s="86"/>
      <c r="K38" s="86"/>
      <c r="Z38"/>
      <c r="CG38" s="145"/>
      <c r="CH38" s="69"/>
      <c r="CI38" s="69"/>
      <c r="CJ38" s="69"/>
      <c r="CK38" s="69"/>
      <c r="CL38" s="69"/>
      <c r="CM38" s="69"/>
      <c r="CN38" s="69"/>
      <c r="CO38" s="69"/>
      <c r="CP38" s="69"/>
      <c r="CQ38" s="69"/>
      <c r="CR38" s="69"/>
      <c r="CS38" s="69"/>
      <c r="CT38" s="69"/>
      <c r="CU38" s="69"/>
      <c r="CV38" s="69"/>
      <c r="CW38" s="69"/>
      <c r="CX38" s="69"/>
      <c r="CY38" s="69"/>
      <c r="CZ38" s="69"/>
      <c r="DA38" s="69"/>
      <c r="DB38" s="69"/>
      <c r="DC38" s="69"/>
      <c r="DD38" s="69"/>
      <c r="DE38" s="69"/>
      <c r="DF38" s="69"/>
      <c r="DG38" s="69"/>
      <c r="DH38" s="69"/>
      <c r="DI38" s="69"/>
      <c r="DJ38" s="69"/>
      <c r="DK38" s="69"/>
      <c r="DL38" s="69"/>
      <c r="DM38" s="69"/>
      <c r="FD38" s="45"/>
      <c r="FE38" s="86"/>
    </row>
    <row r="39" spans="1:161">
      <c r="B39" s="237"/>
      <c r="C39" s="8"/>
      <c r="D39" s="238"/>
      <c r="E39" s="8"/>
      <c r="F39" s="33"/>
      <c r="G39" s="8"/>
      <c r="H39" s="8"/>
      <c r="I39" s="8"/>
      <c r="J39" s="8"/>
      <c r="K39" s="8"/>
      <c r="Z39"/>
      <c r="CG39" s="145"/>
      <c r="CH39" s="69"/>
      <c r="CI39" s="69"/>
      <c r="CJ39" s="69"/>
      <c r="CK39" s="69"/>
      <c r="CL39" s="69"/>
      <c r="CM39" s="69"/>
      <c r="CN39" s="69"/>
      <c r="CO39" s="69"/>
      <c r="CP39" s="69"/>
      <c r="CQ39" s="69"/>
      <c r="CR39" s="69"/>
      <c r="CS39" s="69"/>
      <c r="CT39" s="69"/>
      <c r="CU39" s="69"/>
      <c r="CV39" s="69"/>
      <c r="CW39" s="69"/>
      <c r="CX39" s="69"/>
      <c r="CY39" s="69"/>
      <c r="CZ39" s="69"/>
      <c r="DA39" s="69"/>
      <c r="DB39" s="69"/>
      <c r="DC39" s="69"/>
      <c r="DD39" s="69"/>
      <c r="DE39" s="69"/>
      <c r="FD39" s="45"/>
      <c r="FE39" s="86"/>
    </row>
    <row r="40" spans="1:161" ht="12" customHeight="1">
      <c r="B40" s="237"/>
      <c r="C40" s="8"/>
      <c r="D40" s="238"/>
      <c r="E40" s="8"/>
      <c r="F40" s="8"/>
      <c r="G40" s="8"/>
      <c r="H40" s="8"/>
      <c r="I40" s="8"/>
      <c r="J40" s="8"/>
      <c r="K40" s="8"/>
      <c r="N40" t="s">
        <v>76</v>
      </c>
      <c r="P40">
        <v>2029</v>
      </c>
      <c r="Q40">
        <v>2030</v>
      </c>
      <c r="R40">
        <v>2031</v>
      </c>
      <c r="S40">
        <v>2029</v>
      </c>
      <c r="T40">
        <v>2030</v>
      </c>
      <c r="U40">
        <v>2031</v>
      </c>
      <c r="V40">
        <v>2031</v>
      </c>
      <c r="W40">
        <v>2031</v>
      </c>
      <c r="X40">
        <v>2031</v>
      </c>
      <c r="Y40">
        <v>2031</v>
      </c>
      <c r="Z40"/>
    </row>
    <row r="41" spans="1:161">
      <c r="A41" s="416"/>
      <c r="B41" s="416"/>
      <c r="D41" s="8"/>
      <c r="F41" s="33"/>
      <c r="H41" s="33"/>
      <c r="I41"/>
      <c r="N41" t="s">
        <v>87</v>
      </c>
      <c r="P41" s="97">
        <v>0</v>
      </c>
      <c r="Q41" s="97">
        <v>0</v>
      </c>
      <c r="R41" s="97">
        <v>0</v>
      </c>
      <c r="S41" s="97">
        <v>1</v>
      </c>
      <c r="T41" s="97">
        <v>0</v>
      </c>
      <c r="U41" s="97">
        <v>0</v>
      </c>
      <c r="V41" s="97">
        <v>0</v>
      </c>
      <c r="W41" s="97">
        <v>0</v>
      </c>
      <c r="X41" s="97">
        <v>0</v>
      </c>
      <c r="Y41" s="97">
        <v>0</v>
      </c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</row>
    <row r="42" spans="1:161">
      <c r="A42" s="89"/>
      <c r="B42" s="44"/>
      <c r="I42" t="s">
        <v>190</v>
      </c>
      <c r="P42" s="83"/>
      <c r="Q42" s="83"/>
      <c r="R42" s="83"/>
      <c r="W42" s="97"/>
      <c r="X42" s="97"/>
      <c r="Y42" s="97"/>
      <c r="Z42" s="234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</row>
    <row r="43" spans="1:161">
      <c r="B43" s="40"/>
      <c r="C43" s="8"/>
      <c r="D43" s="8"/>
      <c r="G43" s="346">
        <f ca="1">-PMT(Discount_Rate,15,NPV(Discount_Rate,G16:G30))</f>
        <v>4.6691081327715693</v>
      </c>
      <c r="H43" s="33"/>
      <c r="I43" s="57">
        <f>'2025 IRP Assumptions'!$C$283</f>
        <v>6.3799999999999996E-2</v>
      </c>
    </row>
    <row r="44" spans="1:161">
      <c r="B44" s="40"/>
      <c r="E44" s="8"/>
      <c r="G44" s="90"/>
      <c r="H44" s="33"/>
    </row>
    <row r="45" spans="1:161">
      <c r="A45" s="417"/>
      <c r="B45" s="417"/>
      <c r="E45" s="8"/>
      <c r="G45" s="90"/>
      <c r="H45" s="33"/>
      <c r="I45" s="3" t="s">
        <v>191</v>
      </c>
      <c r="J45" s="262">
        <v>2.18E-2</v>
      </c>
    </row>
    <row r="46" spans="1:161" ht="13.7" customHeight="1">
      <c r="A46" s="44"/>
      <c r="B46" s="44"/>
      <c r="H46" s="33"/>
      <c r="I46"/>
    </row>
    <row r="47" spans="1:161" ht="21" customHeight="1">
      <c r="A47" s="417" t="str">
        <f>'Table 5'!A10</f>
        <v>15 Year Starting 2025</v>
      </c>
      <c r="B47" s="417"/>
      <c r="E47" s="8"/>
      <c r="G47" s="56"/>
      <c r="H47" s="33"/>
      <c r="I47" t="s">
        <v>304</v>
      </c>
      <c r="J47" s="290">
        <f>(1+Discount_Rate)/(1+Inflation)-1</f>
        <v>4.1103934233705175E-2</v>
      </c>
    </row>
    <row r="48" spans="1:161">
      <c r="B48" s="44" t="str">
        <f>" Levelized Prices (Nominal) @ "&amp;TEXT($I$43,"0.00%")&amp;" Discount Rate (1) (3) "</f>
        <v xml:space="preserve"> Levelized Prices (Nominal) @ 6.38% Discount Rate (1) (3) </v>
      </c>
      <c r="H48" s="33"/>
      <c r="I48"/>
      <c r="M48" s="365"/>
    </row>
    <row r="49" spans="1:13">
      <c r="B49" s="40" t="s">
        <v>8</v>
      </c>
      <c r="C49" s="8">
        <f ca="1">'Table 5'!$D$10*(Study_CF*8.76)/'Table 5'!$F$10</f>
        <v>61.067159355410077</v>
      </c>
      <c r="D49" s="8"/>
      <c r="H49" s="33"/>
      <c r="I49" s="8"/>
    </row>
    <row r="50" spans="1:13">
      <c r="B50" s="40" t="s">
        <v>31</v>
      </c>
      <c r="E50" s="8">
        <f ca="1">'Table 5'!$C$10/'Table 5'!$F$10</f>
        <v>-17.508256428040063</v>
      </c>
      <c r="G50" s="90">
        <f ca="1">'Table 5'!$G$10</f>
        <v>5.4684637852692486</v>
      </c>
      <c r="H50" s="8"/>
      <c r="I50" s="8"/>
      <c r="J50" s="8"/>
      <c r="K50" s="8"/>
    </row>
    <row r="51" spans="1:13" ht="8.25" customHeight="1">
      <c r="A51" s="417"/>
      <c r="B51" s="417"/>
      <c r="E51" s="8"/>
      <c r="G51" s="56"/>
      <c r="H51" s="33"/>
    </row>
    <row r="52" spans="1:13">
      <c r="A52" s="417" t="str">
        <f>'Table 5'!A8</f>
        <v>15 Year Starting 2026</v>
      </c>
      <c r="B52" s="417"/>
      <c r="E52" s="8"/>
      <c r="G52" s="8"/>
      <c r="H52" s="33"/>
      <c r="I52"/>
      <c r="M52" s="365"/>
    </row>
    <row r="53" spans="1:13">
      <c r="B53" s="44" t="str">
        <f>" Levelized Prices (Nominal) @ "&amp;TEXT($I$43,"0.00%")&amp;" Discount Rate (1) (3) "</f>
        <v xml:space="preserve"> Levelized Prices (Nominal) @ 6.38% Discount Rate (1) (3) </v>
      </c>
      <c r="C53" s="8"/>
      <c r="E53" s="8"/>
      <c r="G53" s="90"/>
      <c r="H53" s="33"/>
      <c r="I53"/>
    </row>
    <row r="54" spans="1:13">
      <c r="B54" s="40" t="s">
        <v>8</v>
      </c>
      <c r="C54" s="8">
        <f ca="1">'Table 5'!$D$8*(Study_CF*8.76)/'Table 5'!$F$8</f>
        <v>69.569954416577033</v>
      </c>
      <c r="D54" s="8"/>
      <c r="E54" s="8">
        <f ca="1">'Table 5'!$C$8/'Table 5'!$F$8</f>
        <v>-20.65836723152055</v>
      </c>
      <c r="H54" s="33"/>
      <c r="I54" s="8"/>
    </row>
    <row r="55" spans="1:13">
      <c r="B55" s="40" t="s">
        <v>31</v>
      </c>
      <c r="E55" s="8"/>
      <c r="G55" s="90">
        <f ca="1">'Table 5'!$G$8</f>
        <v>5.5175576805780384</v>
      </c>
      <c r="H55" s="33"/>
      <c r="I55" s="8"/>
      <c r="J55" s="8"/>
      <c r="K55" s="8"/>
    </row>
    <row r="56" spans="1:13">
      <c r="A56" s="417"/>
      <c r="B56" s="417"/>
      <c r="E56" s="8"/>
      <c r="G56" s="56"/>
      <c r="H56" s="33"/>
    </row>
    <row r="57" spans="1:13">
      <c r="A57" s="417" t="str">
        <f>'Table 5'!A7</f>
        <v>15 Year Starting 2027</v>
      </c>
      <c r="B57" s="417"/>
      <c r="E57" s="8"/>
      <c r="G57" s="8"/>
      <c r="H57" s="33"/>
      <c r="I57"/>
      <c r="M57" s="365"/>
    </row>
    <row r="58" spans="1:13">
      <c r="B58" s="44" t="str">
        <f>" Levelized Prices (Nominal) @ "&amp;TEXT($I$43,"0.00%")&amp;" Discount Rate (1) (3) "</f>
        <v xml:space="preserve"> Levelized Prices (Nominal) @ 6.38% Discount Rate (1) (3) </v>
      </c>
      <c r="C58" s="8"/>
      <c r="E58" s="8"/>
      <c r="G58" s="90"/>
      <c r="H58" s="33"/>
      <c r="I58"/>
    </row>
    <row r="59" spans="1:13">
      <c r="B59" s="40" t="s">
        <v>8</v>
      </c>
      <c r="C59" s="8">
        <f ca="1">'Table 5'!$D$7*(Study_CF*8.76)/'Table 5'!$F$7</f>
        <v>78.71344412607931</v>
      </c>
      <c r="D59" s="8"/>
      <c r="H59" s="33"/>
      <c r="I59" s="8"/>
    </row>
    <row r="60" spans="1:13">
      <c r="B60" s="40" t="s">
        <v>31</v>
      </c>
      <c r="E60" s="8">
        <f ca="1">'Table 5'!$C$7/'Table 5'!$F$7</f>
        <v>-24.428403379527008</v>
      </c>
      <c r="G60" s="90">
        <f ca="1">'Table 5'!$G$7</f>
        <v>5.1877897069236987</v>
      </c>
      <c r="H60" s="33"/>
      <c r="I60" s="8"/>
      <c r="J60" s="8"/>
      <c r="K60" s="8"/>
    </row>
    <row r="61" spans="1:13">
      <c r="B61" s="40"/>
      <c r="C61" s="8"/>
      <c r="E61" s="8"/>
      <c r="G61" s="90"/>
      <c r="H61" s="33"/>
    </row>
    <row r="62" spans="1:13">
      <c r="B62" s="40"/>
      <c r="C62" s="8"/>
      <c r="D62" s="8"/>
      <c r="H62" s="33"/>
    </row>
    <row r="63" spans="1:13">
      <c r="B63" s="44"/>
      <c r="H63" s="33"/>
    </row>
    <row r="64" spans="1:13">
      <c r="B64" s="40"/>
      <c r="C64" s="8"/>
      <c r="D64" s="8"/>
      <c r="H64" s="33"/>
    </row>
    <row r="65" spans="1:26">
      <c r="A65" s="417"/>
      <c r="B65" s="417"/>
      <c r="E65" s="8"/>
      <c r="G65" s="56"/>
      <c r="H65" s="33"/>
    </row>
    <row r="66" spans="1:26">
      <c r="B66" s="44"/>
      <c r="H66" s="33"/>
    </row>
    <row r="67" spans="1:26">
      <c r="B67" s="40"/>
      <c r="C67" s="8"/>
      <c r="D67" s="8"/>
      <c r="H67" s="33"/>
    </row>
    <row r="68" spans="1:26">
      <c r="B68" s="40"/>
      <c r="E68" s="8"/>
      <c r="G68" s="90"/>
      <c r="H68" s="33"/>
    </row>
    <row r="69" spans="1:26">
      <c r="E69" s="34"/>
      <c r="G69" s="34"/>
      <c r="H69" s="33"/>
      <c r="I69" s="56"/>
    </row>
    <row r="70" spans="1:26">
      <c r="B70" s="41"/>
      <c r="E70" s="33"/>
      <c r="F70" s="34"/>
      <c r="G70" s="33"/>
      <c r="H70" s="33"/>
      <c r="I70" s="56"/>
    </row>
    <row r="71" spans="1:26">
      <c r="F71" s="34"/>
      <c r="H71" s="33"/>
      <c r="I71" s="56"/>
    </row>
    <row r="74" spans="1:26">
      <c r="B74" s="46"/>
    </row>
    <row r="75" spans="1:26" ht="12.75" customHeight="1">
      <c r="B75" s="46"/>
    </row>
    <row r="76" spans="1:26" ht="12.75" customHeight="1">
      <c r="B76" s="46"/>
    </row>
    <row r="77" spans="1:26">
      <c r="B77" s="9"/>
      <c r="C77" s="6"/>
      <c r="D77" s="6"/>
      <c r="E77" s="6"/>
      <c r="G77" s="6"/>
    </row>
    <row r="78" spans="1:26">
      <c r="A78"/>
      <c r="I78"/>
    </row>
    <row r="79" spans="1:26" s="43" customFormat="1">
      <c r="B79" s="9"/>
      <c r="I79"/>
      <c r="J79"/>
      <c r="K79"/>
      <c r="L79"/>
      <c r="M79"/>
      <c r="Z79" s="235"/>
    </row>
    <row r="80" spans="1:26" s="43" customFormat="1">
      <c r="B80" s="9"/>
      <c r="I80" s="9"/>
      <c r="J80"/>
      <c r="K80"/>
      <c r="Z80" s="235"/>
    </row>
    <row r="81" spans="1:13">
      <c r="A81"/>
      <c r="B81" s="42"/>
      <c r="I81" s="43"/>
      <c r="L81" s="43"/>
      <c r="M81" s="43"/>
    </row>
    <row r="82" spans="1:13">
      <c r="A82"/>
      <c r="F82" s="6"/>
    </row>
    <row r="85" spans="1:13">
      <c r="A85"/>
      <c r="J85" s="43"/>
      <c r="K85" s="43"/>
    </row>
    <row r="86" spans="1:13">
      <c r="A86"/>
      <c r="J86" s="43"/>
      <c r="K86" s="43"/>
    </row>
  </sheetData>
  <mergeCells count="8">
    <mergeCell ref="A41:B41"/>
    <mergeCell ref="A51:B51"/>
    <mergeCell ref="A65:B65"/>
    <mergeCell ref="A47:B47"/>
    <mergeCell ref="A45:B45"/>
    <mergeCell ref="A52:B52"/>
    <mergeCell ref="A56:B56"/>
    <mergeCell ref="A57:B57"/>
  </mergeCells>
  <phoneticPr fontId="10" type="noConversion"/>
  <printOptions horizontalCentered="1"/>
  <pageMargins left="0.25" right="0.25" top="0.75" bottom="0.75" header="0.3" footer="0.3"/>
  <pageSetup scale="7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2" zoomScale="60" zoomScaleNormal="100" workbookViewId="0"/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04" customFormat="1" ht="15.75" hidden="1">
      <c r="B1" s="1" t="s">
        <v>34</v>
      </c>
      <c r="C1" s="1"/>
      <c r="D1" s="1"/>
      <c r="E1" s="1"/>
      <c r="F1" s="1"/>
      <c r="G1" s="102"/>
      <c r="H1" s="1"/>
      <c r="I1" s="1"/>
      <c r="J1" s="1"/>
      <c r="K1" s="1"/>
      <c r="L1" s="103"/>
      <c r="M1" s="1"/>
      <c r="N1" s="1"/>
      <c r="O1" s="1"/>
      <c r="P1" s="1"/>
    </row>
    <row r="2" spans="2:16" s="104" customFormat="1" ht="5.25" customHeight="1">
      <c r="B2" s="1"/>
      <c r="C2" s="1"/>
      <c r="D2" s="1"/>
      <c r="E2" s="1"/>
      <c r="F2" s="1"/>
      <c r="G2" s="102"/>
      <c r="H2" s="1"/>
      <c r="I2" s="1"/>
      <c r="J2" s="1"/>
      <c r="K2" s="1"/>
      <c r="L2" s="103"/>
      <c r="M2" s="1"/>
      <c r="N2" s="1"/>
      <c r="O2" s="1"/>
      <c r="P2" s="1"/>
    </row>
    <row r="3" spans="2:16" s="104" customFormat="1" ht="15.75">
      <c r="B3" s="1" t="s">
        <v>77</v>
      </c>
      <c r="C3" s="1"/>
      <c r="D3" s="1"/>
      <c r="E3" s="1"/>
      <c r="F3" s="1"/>
      <c r="G3" s="102"/>
      <c r="H3" s="1"/>
      <c r="I3" s="1"/>
      <c r="J3" s="1"/>
      <c r="K3" s="1"/>
      <c r="L3" s="103"/>
      <c r="M3" s="1"/>
      <c r="N3" s="1"/>
      <c r="O3" s="1"/>
      <c r="P3" s="1"/>
    </row>
    <row r="4" spans="2:16" s="105" customFormat="1" ht="15">
      <c r="B4" s="4" t="s">
        <v>78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05" customFormat="1" ht="15">
      <c r="B5" s="4" t="str">
        <f ca="1">'Table 1'!B5</f>
        <v>QF - Sch38 - UT - Wind - 80.0 MW and 30.3%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05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06"/>
      <c r="E7" s="106"/>
      <c r="F7" s="106"/>
      <c r="G7" s="107"/>
      <c r="H7" s="107"/>
      <c r="I7" s="107"/>
      <c r="J7" s="107"/>
      <c r="K7" s="107"/>
      <c r="L7" s="107"/>
      <c r="M7" s="108"/>
    </row>
    <row r="8" spans="2:16">
      <c r="B8" s="109"/>
      <c r="C8" s="109"/>
      <c r="D8" s="110" t="s">
        <v>79</v>
      </c>
      <c r="E8" s="111"/>
      <c r="F8" s="111"/>
      <c r="G8" s="110"/>
      <c r="H8" s="110"/>
      <c r="I8" s="112" t="s">
        <v>80</v>
      </c>
      <c r="J8" s="113"/>
      <c r="K8" s="113"/>
      <c r="L8" s="114"/>
      <c r="M8" s="115" t="s">
        <v>79</v>
      </c>
      <c r="N8" s="116"/>
      <c r="O8" s="117"/>
    </row>
    <row r="9" spans="2:16">
      <c r="B9" s="118" t="s">
        <v>0</v>
      </c>
      <c r="C9" s="118" t="s">
        <v>115</v>
      </c>
      <c r="D9" s="119" t="s">
        <v>118</v>
      </c>
      <c r="E9" s="120" t="s">
        <v>119</v>
      </c>
      <c r="F9" s="120" t="s">
        <v>120</v>
      </c>
      <c r="G9" s="120" t="s">
        <v>121</v>
      </c>
      <c r="H9" s="121" t="s">
        <v>122</v>
      </c>
      <c r="I9" s="84" t="s">
        <v>123</v>
      </c>
      <c r="J9" s="84" t="s">
        <v>124</v>
      </c>
      <c r="K9" s="84" t="s">
        <v>125</v>
      </c>
      <c r="L9" s="84" t="s">
        <v>126</v>
      </c>
      <c r="M9" s="119" t="s">
        <v>127</v>
      </c>
      <c r="N9" s="120" t="s">
        <v>128</v>
      </c>
      <c r="O9" s="121" t="s">
        <v>129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82" t="s">
        <v>81</v>
      </c>
      <c r="C11" s="82"/>
      <c r="E11" s="106"/>
      <c r="F11" s="106"/>
      <c r="G11" s="106"/>
      <c r="H11" s="106"/>
      <c r="I11" s="106"/>
      <c r="J11" s="106"/>
      <c r="K11" s="106"/>
      <c r="L11" s="106"/>
      <c r="M11" s="106"/>
      <c r="N11" s="106"/>
    </row>
    <row r="12" spans="2:16" ht="12.75" hidden="1" customHeight="1">
      <c r="B12" s="122"/>
      <c r="C12" s="123"/>
      <c r="D12" s="7"/>
      <c r="E12" s="7"/>
      <c r="F12" s="7"/>
      <c r="G12" s="7"/>
      <c r="H12" s="11"/>
      <c r="I12" s="124"/>
      <c r="J12" s="125"/>
      <c r="K12" s="125"/>
      <c r="L12" s="126"/>
      <c r="M12" s="124"/>
      <c r="N12" s="125"/>
      <c r="O12" s="126"/>
    </row>
    <row r="13" spans="2:16" ht="12.75" customHeight="1">
      <c r="B13" s="127">
        <v>2026</v>
      </c>
      <c r="C13" s="181">
        <v>24.182230658481739</v>
      </c>
      <c r="D13" s="182">
        <v>32.451900839159407</v>
      </c>
      <c r="E13" s="182">
        <v>30.161151748230449</v>
      </c>
      <c r="F13" s="182">
        <v>13.61624278024583</v>
      </c>
      <c r="G13" s="182">
        <v>7.9707893581340565</v>
      </c>
      <c r="H13" s="183">
        <v>16.376732144187386</v>
      </c>
      <c r="I13" s="184">
        <v>21.898333252620638</v>
      </c>
      <c r="J13" s="182">
        <v>30.532192273403759</v>
      </c>
      <c r="K13" s="182">
        <v>36.69128419958561</v>
      </c>
      <c r="L13" s="183">
        <v>23.632232387917803</v>
      </c>
      <c r="M13" s="184">
        <v>20.494597377431571</v>
      </c>
      <c r="N13" s="182">
        <v>31.656727326862256</v>
      </c>
      <c r="O13" s="183">
        <v>38.915920856170203</v>
      </c>
    </row>
    <row r="14" spans="2:16" ht="12.75" customHeight="1">
      <c r="B14" s="140">
        <v>2027</v>
      </c>
      <c r="C14" s="185">
        <v>25.802800927234124</v>
      </c>
      <c r="D14" s="186">
        <v>36.594549160740137</v>
      </c>
      <c r="E14" s="186">
        <v>35.930720941152678</v>
      </c>
      <c r="F14" s="186">
        <v>17.057978766260231</v>
      </c>
      <c r="G14" s="186">
        <v>12.737774440678537</v>
      </c>
      <c r="H14" s="187">
        <v>16.59106257067009</v>
      </c>
      <c r="I14" s="188">
        <v>19.040095538357267</v>
      </c>
      <c r="J14" s="186">
        <v>32.811629048937029</v>
      </c>
      <c r="K14" s="186">
        <v>39.797045013987955</v>
      </c>
      <c r="L14" s="187">
        <v>23.167587546977117</v>
      </c>
      <c r="M14" s="188">
        <v>21.322159711970578</v>
      </c>
      <c r="N14" s="186">
        <v>30.353467839600434</v>
      </c>
      <c r="O14" s="187">
        <v>39.542729264938174</v>
      </c>
    </row>
    <row r="15" spans="2:16" ht="12.75" customHeight="1">
      <c r="B15" s="140">
        <v>2028</v>
      </c>
      <c r="C15" s="185">
        <v>27.983716877377557</v>
      </c>
      <c r="D15" s="186">
        <v>37.136213917472894</v>
      </c>
      <c r="E15" s="186">
        <v>33.921733911494563</v>
      </c>
      <c r="F15" s="186">
        <v>16.846285364517151</v>
      </c>
      <c r="G15" s="186">
        <v>15.117897653067249</v>
      </c>
      <c r="H15" s="187">
        <v>15.859812328240928</v>
      </c>
      <c r="I15" s="188">
        <v>18.734937763428029</v>
      </c>
      <c r="J15" s="186">
        <v>31.744690057481897</v>
      </c>
      <c r="K15" s="186">
        <v>40.868979101027065</v>
      </c>
      <c r="L15" s="187">
        <v>33.36698760060743</v>
      </c>
      <c r="M15" s="188">
        <v>28.158039377724016</v>
      </c>
      <c r="N15" s="186">
        <v>38.218959756562931</v>
      </c>
      <c r="O15" s="187">
        <v>45.88439086243293</v>
      </c>
    </row>
    <row r="16" spans="2:16" ht="12.75" customHeight="1">
      <c r="B16" s="140">
        <v>2029</v>
      </c>
      <c r="C16" s="185">
        <v>-37.486043701353601</v>
      </c>
      <c r="D16" s="186">
        <v>-44.859514313668733</v>
      </c>
      <c r="E16" s="186">
        <v>-24.62781043488663</v>
      </c>
      <c r="F16" s="186">
        <v>-42.049628902604745</v>
      </c>
      <c r="G16" s="186">
        <v>-27.397166746275651</v>
      </c>
      <c r="H16" s="187">
        <v>-19.43867081410664</v>
      </c>
      <c r="I16" s="188">
        <v>-14.158496332019089</v>
      </c>
      <c r="J16" s="186">
        <v>-20.95675015570875</v>
      </c>
      <c r="K16" s="186">
        <v>-29.576031820482761</v>
      </c>
      <c r="L16" s="187">
        <v>-26.059330342606344</v>
      </c>
      <c r="M16" s="188">
        <v>-32.458979083920049</v>
      </c>
      <c r="N16" s="186">
        <v>-67.093611310006509</v>
      </c>
      <c r="O16" s="187">
        <v>-131.87889054596684</v>
      </c>
    </row>
    <row r="17" spans="2:15" ht="12.75" customHeight="1">
      <c r="B17" s="140">
        <v>2030</v>
      </c>
      <c r="C17" s="185">
        <v>-40.145707484738239</v>
      </c>
      <c r="D17" s="186">
        <v>-38.754903124824857</v>
      </c>
      <c r="E17" s="186">
        <v>-25.647155764685895</v>
      </c>
      <c r="F17" s="186">
        <v>-39.55626280409728</v>
      </c>
      <c r="G17" s="186">
        <v>-35.615551057014798</v>
      </c>
      <c r="H17" s="187">
        <v>-25.773383276348813</v>
      </c>
      <c r="I17" s="188">
        <v>-12.941282039136398</v>
      </c>
      <c r="J17" s="186">
        <v>-27.356000997270112</v>
      </c>
      <c r="K17" s="186">
        <v>-31.443887200490948</v>
      </c>
      <c r="L17" s="187">
        <v>-29.80142486891328</v>
      </c>
      <c r="M17" s="188">
        <v>-33.790046451956776</v>
      </c>
      <c r="N17" s="186">
        <v>-63.781741742991393</v>
      </c>
      <c r="O17" s="187">
        <v>-157.20415266657415</v>
      </c>
    </row>
    <row r="18" spans="2:15" ht="12.75" customHeight="1">
      <c r="B18" s="140">
        <v>2031</v>
      </c>
      <c r="C18" s="185">
        <v>-42.443799367810037</v>
      </c>
      <c r="D18" s="186">
        <v>-71.142512519061285</v>
      </c>
      <c r="E18" s="186">
        <v>-27.884139938952831</v>
      </c>
      <c r="F18" s="186">
        <v>-40.251285373574355</v>
      </c>
      <c r="G18" s="186">
        <v>-38.409084082351455</v>
      </c>
      <c r="H18" s="187">
        <v>-24.311443178389343</v>
      </c>
      <c r="I18" s="188">
        <v>-24.229229505825934</v>
      </c>
      <c r="J18" s="186">
        <v>-17.278756460405653</v>
      </c>
      <c r="K18" s="186">
        <v>-36.785704558442177</v>
      </c>
      <c r="L18" s="187">
        <v>-21.740161484810532</v>
      </c>
      <c r="M18" s="188">
        <v>-40.851787473329459</v>
      </c>
      <c r="N18" s="186">
        <v>-73.660778187009257</v>
      </c>
      <c r="O18" s="187">
        <v>-112.83929906582217</v>
      </c>
    </row>
    <row r="19" spans="2:15" ht="12.75" customHeight="1">
      <c r="B19" s="140">
        <v>2032</v>
      </c>
      <c r="C19" s="185">
        <v>-45.89101856664147</v>
      </c>
      <c r="D19" s="186">
        <v>-72.737894555325056</v>
      </c>
      <c r="E19" s="186">
        <v>-26.818716423243352</v>
      </c>
      <c r="F19" s="186">
        <v>-46.455917325360581</v>
      </c>
      <c r="G19" s="186">
        <v>-40.151876270403761</v>
      </c>
      <c r="H19" s="187">
        <v>-24.607851243778548</v>
      </c>
      <c r="I19" s="188">
        <v>-26.654151128185635</v>
      </c>
      <c r="J19" s="186">
        <v>-25.839217271875121</v>
      </c>
      <c r="K19" s="186">
        <v>-34.016995575371361</v>
      </c>
      <c r="L19" s="187">
        <v>-30.281132321117799</v>
      </c>
      <c r="M19" s="188">
        <v>-44.330704017132057</v>
      </c>
      <c r="N19" s="186">
        <v>-81.351542911552727</v>
      </c>
      <c r="O19" s="187">
        <v>-121.42698254032703</v>
      </c>
    </row>
    <row r="20" spans="2:15" ht="12.75" customHeight="1">
      <c r="B20" s="140">
        <v>2033</v>
      </c>
      <c r="C20" s="185">
        <v>-44.755692982952887</v>
      </c>
      <c r="D20" s="186">
        <v>-63.005002141450007</v>
      </c>
      <c r="E20" s="186">
        <v>-26.295299829488506</v>
      </c>
      <c r="F20" s="186">
        <v>-48.793118387515207</v>
      </c>
      <c r="G20" s="186">
        <v>-37.161492124908733</v>
      </c>
      <c r="H20" s="187">
        <v>-26.334667043597328</v>
      </c>
      <c r="I20" s="188">
        <v>-27.007889370842207</v>
      </c>
      <c r="J20" s="186">
        <v>-26.454290939129201</v>
      </c>
      <c r="K20" s="186">
        <v>-36.349651339467989</v>
      </c>
      <c r="L20" s="187">
        <v>-26.004403141767639</v>
      </c>
      <c r="M20" s="188">
        <v>-44.518312651962844</v>
      </c>
      <c r="N20" s="186">
        <v>-76.221013957115659</v>
      </c>
      <c r="O20" s="187">
        <v>-120.01349386227641</v>
      </c>
    </row>
    <row r="21" spans="2:15" ht="12.75" customHeight="1">
      <c r="B21" s="140">
        <v>2034</v>
      </c>
      <c r="C21" s="185">
        <v>-46.605341015239574</v>
      </c>
      <c r="D21" s="186">
        <v>-53.688413228797053</v>
      </c>
      <c r="E21" s="186">
        <v>-30.643354360544585</v>
      </c>
      <c r="F21" s="186">
        <v>-52.197275408034521</v>
      </c>
      <c r="G21" s="186">
        <v>-38.334721418214258</v>
      </c>
      <c r="H21" s="187">
        <v>-28.697945332543682</v>
      </c>
      <c r="I21" s="188">
        <v>-27.772532870804291</v>
      </c>
      <c r="J21" s="186">
        <v>-29.712487508589973</v>
      </c>
      <c r="K21" s="186">
        <v>-34.802797204219964</v>
      </c>
      <c r="L21" s="187">
        <v>-33.084803351667155</v>
      </c>
      <c r="M21" s="188">
        <v>-44.737364802502796</v>
      </c>
      <c r="N21" s="186">
        <v>-82.305922531072426</v>
      </c>
      <c r="O21" s="187">
        <v>-127.62032812591855</v>
      </c>
    </row>
    <row r="22" spans="2:15" ht="12.75" customHeight="1">
      <c r="B22" s="140">
        <v>2035</v>
      </c>
      <c r="C22" s="185">
        <v>-47.581921260641892</v>
      </c>
      <c r="D22" s="186">
        <v>-52.906415909137145</v>
      </c>
      <c r="E22" s="186">
        <v>-36.588243267983927</v>
      </c>
      <c r="F22" s="186">
        <v>-49.733707850827031</v>
      </c>
      <c r="G22" s="186">
        <v>-36.868394785876852</v>
      </c>
      <c r="H22" s="187">
        <v>-30.186614687163967</v>
      </c>
      <c r="I22" s="188">
        <v>-24.962421722896984</v>
      </c>
      <c r="J22" s="186">
        <v>-19.749518928922637</v>
      </c>
      <c r="K22" s="186">
        <v>-41.910469833432686</v>
      </c>
      <c r="L22" s="187">
        <v>-35.578407713353592</v>
      </c>
      <c r="M22" s="188">
        <v>-48.284367817801254</v>
      </c>
      <c r="N22" s="186">
        <v>-79.811933617820245</v>
      </c>
      <c r="O22" s="187">
        <v>-140.75877652029899</v>
      </c>
    </row>
    <row r="23" spans="2:15" ht="12.75" customHeight="1">
      <c r="B23" s="140">
        <v>2036</v>
      </c>
      <c r="C23" s="185">
        <v>-49.883979139991446</v>
      </c>
      <c r="D23" s="186">
        <v>-55.320735510774767</v>
      </c>
      <c r="E23" s="186">
        <v>-40.23232060089753</v>
      </c>
      <c r="F23" s="186">
        <v>-49.361818791842886</v>
      </c>
      <c r="G23" s="186">
        <v>-37.409421745128355</v>
      </c>
      <c r="H23" s="187">
        <v>-33.903945091973668</v>
      </c>
      <c r="I23" s="188">
        <v>-22.715823300669133</v>
      </c>
      <c r="J23" s="186">
        <v>-31.058140503383367</v>
      </c>
      <c r="K23" s="186">
        <v>-40.410630040517525</v>
      </c>
      <c r="L23" s="187">
        <v>-38.351104650835907</v>
      </c>
      <c r="M23" s="188">
        <v>-47.307612396701082</v>
      </c>
      <c r="N23" s="186">
        <v>-78.583144526297673</v>
      </c>
      <c r="O23" s="187">
        <v>-163.82956342259632</v>
      </c>
    </row>
    <row r="24" spans="2:15" ht="12.75" customHeight="1">
      <c r="B24" s="140">
        <v>2037</v>
      </c>
      <c r="C24" s="185">
        <v>-50.079040336565605</v>
      </c>
      <c r="D24" s="186">
        <v>-84.529520593483468</v>
      </c>
      <c r="E24" s="186">
        <v>-25.68390780283892</v>
      </c>
      <c r="F24" s="186">
        <v>-50.488999861675879</v>
      </c>
      <c r="G24" s="186">
        <v>-44.031335040790289</v>
      </c>
      <c r="H24" s="187">
        <v>-26.495844425559461</v>
      </c>
      <c r="I24" s="188">
        <v>-31.343179202843057</v>
      </c>
      <c r="J24" s="186">
        <v>-25.252114608090086</v>
      </c>
      <c r="K24" s="186">
        <v>-41.174695569334283</v>
      </c>
      <c r="L24" s="187">
        <v>-31.3503021884219</v>
      </c>
      <c r="M24" s="188">
        <v>-52.855622692040235</v>
      </c>
      <c r="N24" s="186">
        <v>-83.295559762885873</v>
      </c>
      <c r="O24" s="187">
        <v>-125.43721633203334</v>
      </c>
    </row>
    <row r="25" spans="2:15" ht="12.75" customHeight="1">
      <c r="B25" s="140">
        <v>2038</v>
      </c>
      <c r="C25" s="185">
        <v>-49.721779795238248</v>
      </c>
      <c r="D25" s="186">
        <v>-70.185302366505326</v>
      </c>
      <c r="E25" s="186">
        <v>-30.000782795231562</v>
      </c>
      <c r="F25" s="186">
        <v>-53.901617372084281</v>
      </c>
      <c r="G25" s="186">
        <v>-41.956119261543535</v>
      </c>
      <c r="H25" s="187">
        <v>-26.923374704108777</v>
      </c>
      <c r="I25" s="188">
        <v>-29.51908247620845</v>
      </c>
      <c r="J25" s="186">
        <v>-26.751045754166267</v>
      </c>
      <c r="K25" s="186">
        <v>-41.304431002823506</v>
      </c>
      <c r="L25" s="187">
        <v>-33.137578390076783</v>
      </c>
      <c r="M25" s="188">
        <v>-51.359057008726253</v>
      </c>
      <c r="N25" s="186">
        <v>-82.215197848326056</v>
      </c>
      <c r="O25" s="187">
        <v>-131.41057414262451</v>
      </c>
    </row>
    <row r="26" spans="2:15" ht="12.75" customHeight="1">
      <c r="B26" s="140">
        <v>2039</v>
      </c>
      <c r="C26" s="185">
        <v>3.33627163477601</v>
      </c>
      <c r="D26" s="186">
        <v>3.4062493038534067</v>
      </c>
      <c r="E26" s="186">
        <v>17.905183955828022</v>
      </c>
      <c r="F26" s="186">
        <v>-1.4062294772090236</v>
      </c>
      <c r="G26" s="186">
        <v>1.1602517775619592</v>
      </c>
      <c r="H26" s="187">
        <v>4.1198177333948207</v>
      </c>
      <c r="I26" s="188">
        <v>7.9150203739234888</v>
      </c>
      <c r="J26" s="186">
        <v>7.8375330547463147</v>
      </c>
      <c r="K26" s="186">
        <v>3.3975443208943208</v>
      </c>
      <c r="L26" s="187">
        <v>9.5007361292277466</v>
      </c>
      <c r="M26" s="188">
        <v>5.0691020507540312</v>
      </c>
      <c r="N26" s="186">
        <v>-4.3437504636054305</v>
      </c>
      <c r="O26" s="187">
        <v>-20.250316974576631</v>
      </c>
    </row>
    <row r="27" spans="2:15" ht="12.75" customHeight="1">
      <c r="B27" s="140">
        <v>2040</v>
      </c>
      <c r="C27" s="185">
        <v>4.2323054813811929</v>
      </c>
      <c r="D27" s="186">
        <v>5.7928567121408507</v>
      </c>
      <c r="E27" s="186">
        <v>16.813033665571211</v>
      </c>
      <c r="F27" s="186">
        <v>3.7191782006740781</v>
      </c>
      <c r="G27" s="186">
        <v>3.4270033362970005</v>
      </c>
      <c r="H27" s="187">
        <v>3.7108731605921643</v>
      </c>
      <c r="I27" s="188">
        <v>7.1606450379316353</v>
      </c>
      <c r="J27" s="186">
        <v>14.819649510603044</v>
      </c>
      <c r="K27" s="186">
        <v>7.8294209260049428</v>
      </c>
      <c r="L27" s="187">
        <v>10.351813008827502</v>
      </c>
      <c r="M27" s="188">
        <v>9.5901088214068562</v>
      </c>
      <c r="N27" s="186">
        <v>8.3656442854923557E-3</v>
      </c>
      <c r="O27" s="187">
        <v>-42.07142157824353</v>
      </c>
    </row>
    <row r="28" spans="2:15" ht="12.75" customHeight="1">
      <c r="B28" s="140">
        <v>2041</v>
      </c>
      <c r="C28" s="185">
        <v>2.2378207446162945</v>
      </c>
      <c r="D28" s="186">
        <v>6.3523049515595966</v>
      </c>
      <c r="E28" s="186">
        <v>10.786604476764268</v>
      </c>
      <c r="F28" s="186">
        <v>4.9604071337122546</v>
      </c>
      <c r="G28" s="186">
        <v>1.8960469065411607</v>
      </c>
      <c r="H28" s="187">
        <v>1.7680633959703642</v>
      </c>
      <c r="I28" s="188">
        <v>9.9862205892647999</v>
      </c>
      <c r="J28" s="186">
        <v>1.0037347093136482</v>
      </c>
      <c r="K28" s="186">
        <v>9.22307295910168</v>
      </c>
      <c r="L28" s="187">
        <v>6.140470991120095</v>
      </c>
      <c r="M28" s="188">
        <v>12.20636408157057</v>
      </c>
      <c r="N28" s="186">
        <v>-2.8799599698745273</v>
      </c>
      <c r="O28" s="187">
        <v>-54.269194015562604</v>
      </c>
    </row>
    <row r="29" spans="2:15" ht="12.75" customHeight="1">
      <c r="B29" s="140">
        <v>2042</v>
      </c>
      <c r="C29" s="185">
        <v>3.7161989411584058</v>
      </c>
      <c r="D29" s="186">
        <v>-12.658774018555029</v>
      </c>
      <c r="E29" s="186">
        <v>23.413427951666648</v>
      </c>
      <c r="F29" s="186">
        <v>7.9670765792559282</v>
      </c>
      <c r="G29" s="186">
        <v>4.1192232548399659</v>
      </c>
      <c r="H29" s="187">
        <v>6.0439703064679549</v>
      </c>
      <c r="I29" s="188">
        <v>9.3260932008086073</v>
      </c>
      <c r="J29" s="186">
        <v>12.919824416602701</v>
      </c>
      <c r="K29" s="186">
        <v>2.3661856561524814</v>
      </c>
      <c r="L29" s="187">
        <v>17.156308616082129</v>
      </c>
      <c r="M29" s="188">
        <v>10.321336910730444</v>
      </c>
      <c r="N29" s="186">
        <v>-12.557878579030499</v>
      </c>
      <c r="O29" s="187">
        <v>-37.097376335083375</v>
      </c>
    </row>
    <row r="30" spans="2:15" ht="12.75" customHeight="1">
      <c r="B30" s="141">
        <v>2043</v>
      </c>
      <c r="C30" s="189">
        <v>4.7231022643478298</v>
      </c>
      <c r="D30" s="190">
        <v>-23.178701662854049</v>
      </c>
      <c r="E30" s="190">
        <v>31.736601306228295</v>
      </c>
      <c r="F30" s="190">
        <v>4.1511542765232212</v>
      </c>
      <c r="G30" s="190">
        <v>4.4158403058765483</v>
      </c>
      <c r="H30" s="191">
        <v>8.4744615809199857</v>
      </c>
      <c r="I30" s="192">
        <v>10.41615610430139</v>
      </c>
      <c r="J30" s="190">
        <v>16.349896808700475</v>
      </c>
      <c r="K30" s="190">
        <v>7.6062816328250262</v>
      </c>
      <c r="L30" s="191">
        <v>12.454917479701033</v>
      </c>
      <c r="M30" s="192">
        <v>6.8313825052822157</v>
      </c>
      <c r="N30" s="190">
        <v>-36.591694321279888</v>
      </c>
      <c r="O30" s="191">
        <v>3.7404179488683083</v>
      </c>
    </row>
    <row r="31" spans="2:15" ht="12.75" hidden="1" customHeight="1">
      <c r="B31" s="12"/>
      <c r="C31" s="128"/>
      <c r="D31" s="129"/>
      <c r="E31" s="129"/>
      <c r="F31" s="129"/>
      <c r="G31" s="129"/>
      <c r="H31" s="130"/>
      <c r="I31" s="131"/>
      <c r="J31" s="129"/>
      <c r="K31" s="129"/>
      <c r="L31" s="130"/>
      <c r="M31" s="131"/>
      <c r="N31" s="129"/>
      <c r="O31" s="130"/>
    </row>
    <row r="32" spans="2:15" ht="12.75" hidden="1" customHeight="1">
      <c r="B32" s="132"/>
      <c r="C32" s="133"/>
      <c r="D32" s="134"/>
      <c r="E32" s="134"/>
      <c r="F32" s="134"/>
      <c r="G32" s="134"/>
      <c r="H32" s="135"/>
      <c r="I32" s="136"/>
      <c r="J32" s="134"/>
      <c r="K32" s="134"/>
      <c r="L32" s="135"/>
      <c r="M32" s="136"/>
      <c r="N32" s="134"/>
      <c r="O32" s="135"/>
    </row>
    <row r="33" spans="2:16" ht="12.75" customHeight="1">
      <c r="D33" s="9"/>
      <c r="E33" s="9"/>
      <c r="F33" s="9"/>
      <c r="M33" s="137"/>
    </row>
    <row r="34" spans="2:16">
      <c r="B34" s="138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</row>
    <row r="38" spans="2:16" hidden="1">
      <c r="C38" s="139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39"/>
    </row>
    <row r="40" spans="2:16">
      <c r="C40" s="139"/>
    </row>
    <row r="41" spans="2:16">
      <c r="C41" s="139"/>
    </row>
  </sheetData>
  <conditionalFormatting sqref="C29:O31">
    <cfRule type="cellIs" dxfId="2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2" zoomScale="80" zoomScaleNormal="100" zoomScaleSheetLayoutView="80" workbookViewId="0">
      <selection activeCell="Y23" sqref="Y23:Y24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6" hidden="1" customWidth="1"/>
    <col min="14" max="14" width="10.33203125" style="46" hidden="1" customWidth="1"/>
    <col min="15" max="15" width="13.83203125" style="46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7" t="s">
        <v>29</v>
      </c>
    </row>
    <row r="5" spans="2:18" ht="15.75">
      <c r="B5" s="1" t="str">
        <f ca="1">'Table 1'!$B$5</f>
        <v>QF - Sch38 - UT - Wind - 80.0 MW and 30.3% CF</v>
      </c>
      <c r="C5" s="1"/>
      <c r="D5" s="1"/>
      <c r="H5" s="48">
        <v>45838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6"/>
      <c r="J10" s="46"/>
    </row>
    <row r="11" spans="2:18" hidden="1">
      <c r="C11" s="5"/>
      <c r="D11" s="5"/>
      <c r="H11" s="27"/>
      <c r="I11" s="46"/>
      <c r="J11" s="46"/>
    </row>
    <row r="12" spans="2:18" hidden="1">
      <c r="C12" s="22"/>
      <c r="D12" s="22"/>
      <c r="H12" s="27"/>
      <c r="I12" s="46"/>
      <c r="J12" s="46"/>
    </row>
    <row r="13" spans="2:18" ht="6" customHeight="1">
      <c r="H13" s="49"/>
      <c r="I13" s="50"/>
      <c r="J13" s="50"/>
    </row>
    <row r="14" spans="2:18">
      <c r="B14" s="23"/>
      <c r="C14" s="24"/>
      <c r="D14" s="24"/>
      <c r="E14" s="24"/>
      <c r="F14" s="24"/>
      <c r="H14" s="51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55</v>
      </c>
      <c r="J15" s="31"/>
      <c r="K15" s="3" t="s">
        <v>56</v>
      </c>
      <c r="L15" s="3" t="s">
        <v>57</v>
      </c>
      <c r="P15" s="3" t="s">
        <v>56</v>
      </c>
      <c r="R15" s="3" t="s">
        <v>84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83</v>
      </c>
      <c r="K16" s="31" t="s">
        <v>27</v>
      </c>
      <c r="L16" s="31" t="s">
        <v>27</v>
      </c>
      <c r="M16" s="50" t="s">
        <v>0</v>
      </c>
      <c r="O16" s="52" t="s">
        <v>55</v>
      </c>
      <c r="P16" s="52" t="s">
        <v>74</v>
      </c>
      <c r="Q16" s="52" t="s">
        <v>57</v>
      </c>
      <c r="R16" s="3" t="s">
        <v>83</v>
      </c>
    </row>
    <row r="17" spans="2:18" ht="13.5" thickBot="1">
      <c r="B17" s="23">
        <v>2025</v>
      </c>
      <c r="C17" s="24">
        <f>ROUND(SUMIF($M$17:$M$379,$B17,$I$17:$I$379)/COUNTIF($M$17:$M$379,$B17),2)</f>
        <v>3.22</v>
      </c>
      <c r="D17" s="24">
        <f>ROUND(SUMIF($M$17:$M$379,$B17,$J$17:$J$379)/COUNTIF($M$17:$M$379,$B17),2)</f>
        <v>3.19</v>
      </c>
      <c r="E17" s="24">
        <f>ROUND(SUMIF($M$17:$M$379,$B17,$K$17:$K$379)/COUNTIF($M$17:$M$379,$B17),2)</f>
        <v>2.72</v>
      </c>
      <c r="F17" s="24">
        <f>ROUND(SUMIF($M$17:$M$379,$B17,$L$17:$L$379)/COUNTIF($M$17:$M$379,$B17),2)</f>
        <v>3.03</v>
      </c>
      <c r="H17" s="28">
        <v>45658</v>
      </c>
      <c r="I17" s="32">
        <v>4.1297460368663588</v>
      </c>
      <c r="J17" s="32">
        <v>4.10123008624997</v>
      </c>
      <c r="K17" s="32">
        <v>3.6555262667644213</v>
      </c>
      <c r="L17" s="32">
        <v>4.1513385689718074</v>
      </c>
      <c r="M17" s="53">
        <f t="shared" ref="M17:M64" si="0">YEAR(H17)</f>
        <v>2025</v>
      </c>
      <c r="O17" s="54">
        <v>47</v>
      </c>
      <c r="P17" s="54">
        <v>43</v>
      </c>
      <c r="Q17" s="54">
        <v>46</v>
      </c>
      <c r="R17" s="54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4.38</v>
      </c>
      <c r="D18" s="24">
        <f t="shared" ref="D18:D37" si="3">ROUND(SUMIF($M$17:$M$379,$B18,$J$17:$J$379)/COUNTIF($M$17:$M$379,$B18),2)</f>
        <v>4.3499999999999996</v>
      </c>
      <c r="E18" s="24">
        <f t="shared" ref="E18:E37" si="4">ROUND(SUMIF($M$17:$M$379,$B18,$K$17:$K$379)/COUNTIF($M$17:$M$379,$B18),2)</f>
        <v>4.09</v>
      </c>
      <c r="F18" s="24">
        <f t="shared" ref="F18:F37" si="5">ROUND(SUMIF($M$17:$M$379,$B18,$L$17:$L$379)/COUNTIF($M$17:$M$379,$B18),2)</f>
        <v>3.86</v>
      </c>
      <c r="H18" s="28">
        <v>45689</v>
      </c>
      <c r="I18" s="32">
        <v>3.443492157434402</v>
      </c>
      <c r="J18" s="32">
        <v>3.4192469869653501</v>
      </c>
      <c r="K18" s="32">
        <v>3.2233611708638574</v>
      </c>
      <c r="L18" s="32">
        <v>3.4533184514193396</v>
      </c>
      <c r="M18" s="53">
        <f t="shared" si="0"/>
        <v>2025</v>
      </c>
    </row>
    <row r="19" spans="2:18">
      <c r="B19" s="23">
        <f t="shared" si="1"/>
        <v>2027</v>
      </c>
      <c r="C19" s="24">
        <f t="shared" si="2"/>
        <v>4.2</v>
      </c>
      <c r="D19" s="24">
        <f t="shared" si="3"/>
        <v>4.17</v>
      </c>
      <c r="E19" s="24">
        <f t="shared" si="4"/>
        <v>4.07</v>
      </c>
      <c r="F19" s="24">
        <f t="shared" si="5"/>
        <v>3.69</v>
      </c>
      <c r="H19" s="28">
        <v>45717</v>
      </c>
      <c r="I19" s="32">
        <v>2.6847822448979595</v>
      </c>
      <c r="J19" s="32">
        <v>2.6654832161574844</v>
      </c>
      <c r="K19" s="32">
        <v>2.0474585311048807</v>
      </c>
      <c r="L19" s="32">
        <v>2.7393968315180586</v>
      </c>
      <c r="M19" s="53">
        <f t="shared" si="0"/>
        <v>2025</v>
      </c>
    </row>
    <row r="20" spans="2:18">
      <c r="B20" s="23">
        <f t="shared" si="1"/>
        <v>2028</v>
      </c>
      <c r="C20" s="24">
        <f t="shared" si="2"/>
        <v>4.4800000000000004</v>
      </c>
      <c r="D20" s="24">
        <f t="shared" si="3"/>
        <v>4.45</v>
      </c>
      <c r="E20" s="24">
        <f t="shared" si="4"/>
        <v>4.43</v>
      </c>
      <c r="F20" s="24">
        <f t="shared" si="5"/>
        <v>3.96</v>
      </c>
      <c r="H20" s="28">
        <v>45748</v>
      </c>
      <c r="I20" s="32">
        <v>1.9317602668759815</v>
      </c>
      <c r="J20" s="32">
        <v>1.9170211999819962</v>
      </c>
      <c r="K20" s="32">
        <v>1.5118890383309136</v>
      </c>
      <c r="L20" s="32">
        <v>1.9525419493807223</v>
      </c>
      <c r="M20" s="53">
        <f t="shared" si="0"/>
        <v>2025</v>
      </c>
    </row>
    <row r="21" spans="2:18">
      <c r="B21" s="23">
        <f t="shared" si="1"/>
        <v>2029</v>
      </c>
      <c r="C21" s="24">
        <f t="shared" si="2"/>
        <v>5.46</v>
      </c>
      <c r="D21" s="24">
        <f t="shared" si="3"/>
        <v>5.4</v>
      </c>
      <c r="E21" s="24">
        <f t="shared" si="4"/>
        <v>5.31</v>
      </c>
      <c r="F21" s="24">
        <f t="shared" si="5"/>
        <v>4.92</v>
      </c>
      <c r="H21" s="28">
        <v>45778</v>
      </c>
      <c r="I21" s="32">
        <v>2.1744269916855625</v>
      </c>
      <c r="J21" s="32">
        <v>2.1585423036028977</v>
      </c>
      <c r="K21" s="32">
        <v>1.6552630602698668</v>
      </c>
      <c r="L21" s="32">
        <v>2.1321153160664972</v>
      </c>
      <c r="M21" s="53">
        <f t="shared" si="0"/>
        <v>2025</v>
      </c>
    </row>
    <row r="22" spans="2:18">
      <c r="B22" s="23">
        <f t="shared" si="1"/>
        <v>2030</v>
      </c>
      <c r="C22" s="24">
        <f t="shared" si="2"/>
        <v>5.97</v>
      </c>
      <c r="D22" s="24">
        <f t="shared" si="3"/>
        <v>5.91</v>
      </c>
      <c r="E22" s="24">
        <f t="shared" si="4"/>
        <v>5.75</v>
      </c>
      <c r="F22" s="24">
        <f t="shared" si="5"/>
        <v>5.43</v>
      </c>
      <c r="H22" s="28">
        <v>45809</v>
      </c>
      <c r="I22" s="32">
        <v>2.5624036382828996</v>
      </c>
      <c r="J22" s="32">
        <v>2.5442136000511963</v>
      </c>
      <c r="K22" s="32">
        <v>1.5088914891208824</v>
      </c>
      <c r="L22" s="32">
        <v>2.5501119547657516</v>
      </c>
      <c r="M22" s="53">
        <f t="shared" si="0"/>
        <v>2025</v>
      </c>
    </row>
    <row r="23" spans="2:18">
      <c r="B23" s="23">
        <f t="shared" si="1"/>
        <v>2031</v>
      </c>
      <c r="C23" s="24">
        <f t="shared" si="2"/>
        <v>5.91</v>
      </c>
      <c r="D23" s="24">
        <f t="shared" si="3"/>
        <v>5.85</v>
      </c>
      <c r="E23" s="24">
        <f t="shared" si="4"/>
        <v>5.71</v>
      </c>
      <c r="F23" s="24">
        <f t="shared" si="5"/>
        <v>5.37</v>
      </c>
      <c r="H23" s="28">
        <v>45839</v>
      </c>
      <c r="I23" s="32">
        <v>2.9327414285714286</v>
      </c>
      <c r="J23" s="32">
        <v>2.7898000000000001</v>
      </c>
      <c r="K23" s="32">
        <v>1.6708447907256958</v>
      </c>
      <c r="L23" s="32">
        <v>2.7535651050080783</v>
      </c>
      <c r="M23" s="53">
        <f t="shared" si="0"/>
        <v>2025</v>
      </c>
    </row>
    <row r="24" spans="2:18">
      <c r="B24" s="23">
        <f t="shared" si="1"/>
        <v>2032</v>
      </c>
      <c r="C24" s="24">
        <f t="shared" si="2"/>
        <v>5.85</v>
      </c>
      <c r="D24" s="24">
        <f t="shared" si="3"/>
        <v>5.79</v>
      </c>
      <c r="E24" s="24">
        <f t="shared" si="4"/>
        <v>5.64</v>
      </c>
      <c r="F24" s="24">
        <f t="shared" si="5"/>
        <v>5.31</v>
      </c>
      <c r="H24" s="28">
        <v>45870</v>
      </c>
      <c r="I24" s="32">
        <v>3.179578163265306</v>
      </c>
      <c r="J24" s="32">
        <v>3.1581000000000001</v>
      </c>
      <c r="K24" s="32">
        <v>2.3033619317474789</v>
      </c>
      <c r="L24" s="32">
        <v>2.8722040387722139</v>
      </c>
      <c r="M24" s="53">
        <f t="shared" si="0"/>
        <v>2025</v>
      </c>
    </row>
    <row r="25" spans="2:18">
      <c r="B25" s="23">
        <f t="shared" si="1"/>
        <v>2033</v>
      </c>
      <c r="C25" s="24">
        <f t="shared" si="2"/>
        <v>5.99</v>
      </c>
      <c r="D25" s="24">
        <f t="shared" si="3"/>
        <v>5.92</v>
      </c>
      <c r="E25" s="24">
        <f t="shared" si="4"/>
        <v>5.77</v>
      </c>
      <c r="F25" s="24">
        <f t="shared" si="5"/>
        <v>5.44</v>
      </c>
      <c r="H25" s="28">
        <v>45901</v>
      </c>
      <c r="I25" s="32">
        <v>2.8482516326530609</v>
      </c>
      <c r="J25" s="32">
        <v>2.8289</v>
      </c>
      <c r="K25" s="32">
        <v>2.275202098025817</v>
      </c>
      <c r="L25" s="32">
        <v>2.6604714054927308</v>
      </c>
      <c r="M25" s="53">
        <f t="shared" si="0"/>
        <v>2025</v>
      </c>
    </row>
    <row r="26" spans="2:18">
      <c r="B26" s="23">
        <f t="shared" si="1"/>
        <v>2034</v>
      </c>
      <c r="C26" s="24">
        <f t="shared" si="2"/>
        <v>6.05</v>
      </c>
      <c r="D26" s="24">
        <f t="shared" si="3"/>
        <v>5.98</v>
      </c>
      <c r="E26" s="24">
        <f t="shared" si="4"/>
        <v>5.83</v>
      </c>
      <c r="F26" s="24">
        <f t="shared" si="5"/>
        <v>5.51</v>
      </c>
      <c r="H26" s="28">
        <v>45931</v>
      </c>
      <c r="I26" s="32">
        <v>2.8216189795918365</v>
      </c>
      <c r="J26" s="32">
        <v>2.8025000000000002</v>
      </c>
      <c r="K26" s="32">
        <v>2.4856814391278741</v>
      </c>
      <c r="L26" s="32">
        <v>2.7418526655896613</v>
      </c>
      <c r="M26" s="53">
        <f t="shared" si="0"/>
        <v>2025</v>
      </c>
    </row>
    <row r="27" spans="2:18">
      <c r="B27" s="23">
        <f t="shared" si="1"/>
        <v>2035</v>
      </c>
      <c r="C27" s="24">
        <f t="shared" si="2"/>
        <v>6.22</v>
      </c>
      <c r="D27" s="24">
        <f t="shared" si="3"/>
        <v>6.15</v>
      </c>
      <c r="E27" s="24">
        <f t="shared" si="4"/>
        <v>5.99</v>
      </c>
      <c r="F27" s="24">
        <f t="shared" si="5"/>
        <v>5.67</v>
      </c>
      <c r="H27" s="28">
        <v>45962</v>
      </c>
      <c r="I27" s="32">
        <v>4.2161087755102047</v>
      </c>
      <c r="J27" s="32">
        <v>4.1881000000000004</v>
      </c>
      <c r="K27" s="32">
        <v>4.1664329744711575</v>
      </c>
      <c r="L27" s="32">
        <v>3.501848626817448</v>
      </c>
      <c r="M27" s="53">
        <f t="shared" si="0"/>
        <v>2025</v>
      </c>
    </row>
    <row r="28" spans="2:18">
      <c r="B28" s="23">
        <f t="shared" si="1"/>
        <v>2036</v>
      </c>
      <c r="C28" s="24">
        <f t="shared" si="2"/>
        <v>6.39</v>
      </c>
      <c r="D28" s="24">
        <f t="shared" si="3"/>
        <v>6.31</v>
      </c>
      <c r="E28" s="24">
        <f t="shared" si="4"/>
        <v>6.15</v>
      </c>
      <c r="F28" s="24">
        <f t="shared" si="5"/>
        <v>5.84</v>
      </c>
      <c r="H28" s="28">
        <v>45992</v>
      </c>
      <c r="I28" s="32">
        <v>5.7493740816326531</v>
      </c>
      <c r="J28" s="32">
        <v>5.7115</v>
      </c>
      <c r="K28" s="32">
        <v>6.0845390206910039</v>
      </c>
      <c r="L28" s="32">
        <v>4.7999100161550894</v>
      </c>
      <c r="M28" s="53">
        <f t="shared" si="0"/>
        <v>2025</v>
      </c>
    </row>
    <row r="29" spans="2:18">
      <c r="B29" s="23">
        <f t="shared" si="1"/>
        <v>2037</v>
      </c>
      <c r="C29" s="24">
        <f t="shared" si="2"/>
        <v>6.59</v>
      </c>
      <c r="D29" s="24">
        <f t="shared" si="3"/>
        <v>6.51</v>
      </c>
      <c r="E29" s="24">
        <f t="shared" si="4"/>
        <v>6.34</v>
      </c>
      <c r="F29" s="24">
        <f t="shared" si="5"/>
        <v>6.04</v>
      </c>
      <c r="H29" s="28">
        <v>46023</v>
      </c>
      <c r="I29" s="32">
        <v>6.2312108163265307</v>
      </c>
      <c r="J29" s="32">
        <v>6.1902999999999997</v>
      </c>
      <c r="K29" s="32">
        <v>6.3131578167269069</v>
      </c>
      <c r="L29" s="32">
        <v>5.3510004846526673</v>
      </c>
      <c r="M29" s="53">
        <f t="shared" si="0"/>
        <v>2026</v>
      </c>
    </row>
    <row r="30" spans="2:18">
      <c r="B30" s="23">
        <f t="shared" si="1"/>
        <v>2038</v>
      </c>
      <c r="C30" s="24">
        <f t="shared" si="2"/>
        <v>6.87</v>
      </c>
      <c r="D30" s="24">
        <f t="shared" si="3"/>
        <v>6.79</v>
      </c>
      <c r="E30" s="24">
        <f t="shared" si="4"/>
        <v>6.59</v>
      </c>
      <c r="F30" s="24">
        <f t="shared" si="5"/>
        <v>6.32</v>
      </c>
      <c r="H30" s="28">
        <v>46054</v>
      </c>
      <c r="I30" s="32">
        <v>5.7115169387755111</v>
      </c>
      <c r="J30" s="32">
        <v>5.6738999999999997</v>
      </c>
      <c r="K30" s="32">
        <v>5.8007310614852754</v>
      </c>
      <c r="L30" s="32">
        <v>5.0511216478190635</v>
      </c>
      <c r="M30" s="53">
        <f t="shared" si="0"/>
        <v>2026</v>
      </c>
    </row>
    <row r="31" spans="2:18">
      <c r="B31" s="23">
        <f t="shared" si="1"/>
        <v>2039</v>
      </c>
      <c r="C31" s="24">
        <f t="shared" si="2"/>
        <v>7.15</v>
      </c>
      <c r="D31" s="24">
        <f t="shared" si="3"/>
        <v>7.06</v>
      </c>
      <c r="E31" s="24">
        <f t="shared" si="4"/>
        <v>6.83</v>
      </c>
      <c r="F31" s="24">
        <f t="shared" si="5"/>
        <v>6.59</v>
      </c>
      <c r="H31" s="28">
        <v>46082</v>
      </c>
      <c r="I31" s="32">
        <v>3.8648842857142856</v>
      </c>
      <c r="J31" s="32">
        <v>3.8391000000000002</v>
      </c>
      <c r="K31" s="32">
        <v>3.6888976920342884</v>
      </c>
      <c r="L31" s="32">
        <v>3.5580885298869149</v>
      </c>
      <c r="M31" s="53">
        <f t="shared" si="0"/>
        <v>2026</v>
      </c>
    </row>
    <row r="32" spans="2:18">
      <c r="B32" s="23">
        <f t="shared" si="1"/>
        <v>2040</v>
      </c>
      <c r="C32" s="24">
        <f t="shared" si="2"/>
        <v>7.42</v>
      </c>
      <c r="D32" s="24">
        <f t="shared" si="3"/>
        <v>7.33</v>
      </c>
      <c r="E32" s="24">
        <f t="shared" si="4"/>
        <v>7.06</v>
      </c>
      <c r="F32" s="24">
        <f t="shared" si="5"/>
        <v>6.87</v>
      </c>
      <c r="H32" s="28">
        <v>46113</v>
      </c>
      <c r="I32" s="32">
        <v>3.3175373469387757</v>
      </c>
      <c r="J32" s="32">
        <v>3.2951999999999999</v>
      </c>
      <c r="K32" s="32">
        <v>2.9131148276256558</v>
      </c>
      <c r="L32" s="32">
        <v>3.0462751211631671</v>
      </c>
      <c r="M32" s="53">
        <f t="shared" si="0"/>
        <v>2026</v>
      </c>
    </row>
    <row r="33" spans="2:13">
      <c r="B33" s="23">
        <f t="shared" si="1"/>
        <v>2041</v>
      </c>
      <c r="C33" s="24">
        <f t="shared" si="2"/>
        <v>7.79</v>
      </c>
      <c r="D33" s="24">
        <f t="shared" si="3"/>
        <v>7.69</v>
      </c>
      <c r="E33" s="24">
        <f t="shared" si="4"/>
        <v>7.37</v>
      </c>
      <c r="F33" s="24">
        <f t="shared" si="5"/>
        <v>7.23</v>
      </c>
      <c r="H33" s="28">
        <v>46143</v>
      </c>
      <c r="I33" s="32">
        <v>3.0859046938775507</v>
      </c>
      <c r="J33" s="32">
        <v>3.0651000000000002</v>
      </c>
      <c r="K33" s="32">
        <v>2.5695956881561117</v>
      </c>
      <c r="L33" s="32">
        <v>2.9687306946688214</v>
      </c>
      <c r="M33" s="53">
        <f t="shared" si="0"/>
        <v>2026</v>
      </c>
    </row>
    <row r="34" spans="2:13">
      <c r="B34" s="23">
        <f t="shared" si="1"/>
        <v>2042</v>
      </c>
      <c r="C34" s="24">
        <f t="shared" si="2"/>
        <v>8.14</v>
      </c>
      <c r="D34" s="24">
        <f t="shared" si="3"/>
        <v>8.0299999999999994</v>
      </c>
      <c r="E34" s="24">
        <f t="shared" si="4"/>
        <v>7.68</v>
      </c>
      <c r="F34" s="24">
        <f t="shared" si="5"/>
        <v>7.57</v>
      </c>
      <c r="H34" s="28">
        <v>46174</v>
      </c>
      <c r="I34" s="32">
        <v>3.3031495918367346</v>
      </c>
      <c r="J34" s="32">
        <v>3.2808999999999999</v>
      </c>
      <c r="K34" s="32">
        <v>2.8398889826377571</v>
      </c>
      <c r="L34" s="32">
        <v>3.0920142164781912</v>
      </c>
      <c r="M34" s="53">
        <f t="shared" si="0"/>
        <v>2026</v>
      </c>
    </row>
    <row r="35" spans="2:13">
      <c r="B35" s="23">
        <f t="shared" si="1"/>
        <v>2043</v>
      </c>
      <c r="C35" s="24">
        <f t="shared" si="2"/>
        <v>8.5299999999999994</v>
      </c>
      <c r="D35" s="24">
        <f t="shared" si="3"/>
        <v>8.41</v>
      </c>
      <c r="E35" s="24">
        <f t="shared" si="4"/>
        <v>8.0500000000000007</v>
      </c>
      <c r="F35" s="24">
        <f t="shared" si="5"/>
        <v>7.96</v>
      </c>
      <c r="H35" s="28">
        <v>46204</v>
      </c>
      <c r="I35" s="32">
        <v>3.9811087755102044</v>
      </c>
      <c r="J35" s="32">
        <v>3.9546000000000001</v>
      </c>
      <c r="K35" s="32">
        <v>3.4074021279334414</v>
      </c>
      <c r="L35" s="32">
        <v>3.5747484652665595</v>
      </c>
      <c r="M35" s="53">
        <f t="shared" si="0"/>
        <v>2026</v>
      </c>
    </row>
    <row r="36" spans="2:13">
      <c r="B36" s="23">
        <f t="shared" si="1"/>
        <v>2044</v>
      </c>
      <c r="C36" s="24">
        <f t="shared" si="2"/>
        <v>8.83</v>
      </c>
      <c r="D36" s="24">
        <f t="shared" si="3"/>
        <v>8.6999999999999993</v>
      </c>
      <c r="E36" s="24">
        <f t="shared" si="4"/>
        <v>8.32</v>
      </c>
      <c r="F36" s="24">
        <f t="shared" si="5"/>
        <v>8.25</v>
      </c>
      <c r="H36" s="28">
        <v>46235</v>
      </c>
      <c r="I36" s="32">
        <v>4.0801904081632658</v>
      </c>
      <c r="J36" s="32">
        <v>4.0529999999999999</v>
      </c>
      <c r="K36" s="32">
        <v>3.5086850335272288</v>
      </c>
      <c r="L36" s="32">
        <v>3.6744051696284337</v>
      </c>
      <c r="M36" s="53">
        <f t="shared" si="0"/>
        <v>2026</v>
      </c>
    </row>
    <row r="37" spans="2:13">
      <c r="B37" s="23">
        <f t="shared" si="1"/>
        <v>2045</v>
      </c>
      <c r="C37" s="24">
        <f t="shared" si="2"/>
        <v>9.27</v>
      </c>
      <c r="D37" s="24">
        <f t="shared" si="3"/>
        <v>9.14</v>
      </c>
      <c r="E37" s="24">
        <f t="shared" si="4"/>
        <v>8.74</v>
      </c>
      <c r="F37" s="24">
        <f t="shared" si="5"/>
        <v>8.6999999999999993</v>
      </c>
      <c r="H37" s="28">
        <v>46266</v>
      </c>
      <c r="I37" s="32">
        <v>3.9888638775510201</v>
      </c>
      <c r="J37" s="32">
        <v>3.9622999999999999</v>
      </c>
      <c r="K37" s="32">
        <v>3.4642356609556275</v>
      </c>
      <c r="L37" s="32">
        <v>3.5032621970920848</v>
      </c>
      <c r="M37" s="53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3.8210067346938774</v>
      </c>
      <c r="J38" s="32">
        <v>3.7955000000000001</v>
      </c>
      <c r="K38" s="32">
        <v>3.4217389775837028</v>
      </c>
      <c r="L38" s="32">
        <v>3.496194345718902</v>
      </c>
      <c r="M38" s="53">
        <f t="shared" si="0"/>
        <v>2026</v>
      </c>
    </row>
    <row r="39" spans="2:13">
      <c r="B39" s="23"/>
      <c r="C39" s="24"/>
      <c r="D39" s="24"/>
      <c r="E39" s="24"/>
      <c r="F39" s="24"/>
      <c r="H39" s="28">
        <v>46327</v>
      </c>
      <c r="I39" s="32">
        <v>4.8128434693877562</v>
      </c>
      <c r="J39" s="32">
        <v>4.7809999999999997</v>
      </c>
      <c r="K39" s="32">
        <v>4.772023559160548</v>
      </c>
      <c r="L39" s="32">
        <v>3.9879148626817456</v>
      </c>
      <c r="M39" s="53">
        <f t="shared" si="0"/>
        <v>2026</v>
      </c>
    </row>
    <row r="40" spans="2:13">
      <c r="B40" s="23"/>
      <c r="C40" s="24"/>
      <c r="D40" s="24"/>
      <c r="E40" s="24"/>
      <c r="F40" s="24"/>
      <c r="H40" s="28">
        <v>46357</v>
      </c>
      <c r="I40" s="32">
        <v>6.3618230612244906</v>
      </c>
      <c r="J40" s="32">
        <v>6.3201000000000001</v>
      </c>
      <c r="K40" s="32">
        <v>6.3713274002541338</v>
      </c>
      <c r="L40" s="32">
        <v>5.0082096930533133</v>
      </c>
      <c r="M40" s="53">
        <f t="shared" si="0"/>
        <v>2026</v>
      </c>
    </row>
    <row r="41" spans="2:13">
      <c r="B41" s="23"/>
      <c r="C41" s="24"/>
      <c r="D41" s="24"/>
      <c r="E41" s="24"/>
      <c r="F41" s="24"/>
      <c r="H41" s="28">
        <v>46388</v>
      </c>
      <c r="I41" s="32">
        <v>6.5439659183673475</v>
      </c>
      <c r="J41" s="32">
        <v>6.5010000000000003</v>
      </c>
      <c r="K41" s="32">
        <v>6.5445001003307777</v>
      </c>
      <c r="L41" s="32">
        <v>5.5670747980613902</v>
      </c>
      <c r="M41" s="53">
        <f t="shared" si="0"/>
        <v>2027</v>
      </c>
    </row>
    <row r="42" spans="2:13">
      <c r="B42" s="23"/>
      <c r="C42" s="24"/>
      <c r="D42" s="24"/>
      <c r="E42" s="24"/>
      <c r="F42" s="24"/>
      <c r="H42" s="28">
        <v>46419</v>
      </c>
      <c r="I42" s="32">
        <v>5.7755985714285716</v>
      </c>
      <c r="J42" s="32">
        <v>5.7375999999999996</v>
      </c>
      <c r="K42" s="32">
        <v>5.6562834472670431</v>
      </c>
      <c r="L42" s="32">
        <v>5.1071596122778686</v>
      </c>
      <c r="M42" s="53">
        <f t="shared" si="0"/>
        <v>2027</v>
      </c>
    </row>
    <row r="43" spans="2:13">
      <c r="B43" s="23"/>
      <c r="C43" s="24"/>
      <c r="D43" s="24"/>
      <c r="E43" s="24"/>
      <c r="F43" s="24"/>
      <c r="H43" s="28">
        <v>46447</v>
      </c>
      <c r="I43" s="32">
        <v>3.9210067346938771</v>
      </c>
      <c r="J43" s="32">
        <v>3.8948</v>
      </c>
      <c r="K43" s="32">
        <v>3.9129944709761997</v>
      </c>
      <c r="L43" s="32">
        <v>3.6607743134087243</v>
      </c>
      <c r="M43" s="53">
        <f t="shared" si="0"/>
        <v>2027</v>
      </c>
    </row>
    <row r="44" spans="2:13">
      <c r="B44" s="23"/>
      <c r="C44" s="24"/>
      <c r="D44" s="24"/>
      <c r="E44" s="24"/>
      <c r="F44" s="24"/>
      <c r="H44" s="28">
        <v>46478</v>
      </c>
      <c r="I44" s="32">
        <v>3.0220271428571426</v>
      </c>
      <c r="J44" s="32">
        <v>3.0015999999999998</v>
      </c>
      <c r="K44" s="32">
        <v>2.8084404092113759</v>
      </c>
      <c r="L44" s="32">
        <v>2.8823009693053319</v>
      </c>
      <c r="M44" s="53">
        <f t="shared" si="0"/>
        <v>2027</v>
      </c>
    </row>
    <row r="45" spans="2:13">
      <c r="B45" s="23"/>
      <c r="C45" s="24"/>
      <c r="D45" s="24"/>
      <c r="E45" s="24"/>
      <c r="F45" s="24"/>
      <c r="H45" s="28">
        <v>46508</v>
      </c>
      <c r="I45" s="32">
        <v>2.9276393877551019</v>
      </c>
      <c r="J45" s="32">
        <v>2.9077999999999999</v>
      </c>
      <c r="K45" s="32">
        <v>2.6793059892432436</v>
      </c>
      <c r="L45" s="32">
        <v>2.7586135702746373</v>
      </c>
      <c r="M45" s="53">
        <f t="shared" si="0"/>
        <v>2027</v>
      </c>
    </row>
    <row r="46" spans="2:13">
      <c r="B46" s="23"/>
      <c r="C46" s="24"/>
      <c r="D46" s="24"/>
      <c r="E46" s="24"/>
      <c r="F46" s="24"/>
      <c r="H46" s="28">
        <v>46539</v>
      </c>
      <c r="I46" s="32">
        <v>3.0710067346938774</v>
      </c>
      <c r="J46" s="32">
        <v>3.0503</v>
      </c>
      <c r="K46" s="32">
        <v>2.8159942332206538</v>
      </c>
      <c r="L46" s="32">
        <v>2.9358147011308571</v>
      </c>
      <c r="M46" s="53">
        <f t="shared" si="0"/>
        <v>2027</v>
      </c>
    </row>
    <row r="47" spans="2:13">
      <c r="B47" s="23"/>
      <c r="C47" s="24"/>
      <c r="D47" s="24"/>
      <c r="E47" s="24"/>
      <c r="F47" s="24"/>
      <c r="H47" s="28">
        <v>46569</v>
      </c>
      <c r="I47" s="32">
        <v>3.7460067346938772</v>
      </c>
      <c r="J47" s="32">
        <v>3.7210000000000001</v>
      </c>
      <c r="K47" s="32">
        <v>3.3198394332952805</v>
      </c>
      <c r="L47" s="32">
        <v>3.2730521809369959</v>
      </c>
      <c r="M47" s="53">
        <f t="shared" si="0"/>
        <v>2027</v>
      </c>
    </row>
    <row r="48" spans="2:13">
      <c r="B48" s="23"/>
      <c r="C48" s="24"/>
      <c r="D48" s="24"/>
      <c r="E48" s="24"/>
      <c r="F48" s="24"/>
      <c r="H48" s="28">
        <v>46600</v>
      </c>
      <c r="I48" s="32">
        <v>3.7995781632653061</v>
      </c>
      <c r="J48" s="32">
        <v>3.7742</v>
      </c>
      <c r="K48" s="32">
        <v>3.4142879266901978</v>
      </c>
      <c r="L48" s="32">
        <v>3.3311095315024235</v>
      </c>
      <c r="M48" s="53">
        <f t="shared" si="0"/>
        <v>2027</v>
      </c>
    </row>
    <row r="49" spans="2:15">
      <c r="H49" s="28">
        <v>46631</v>
      </c>
      <c r="I49" s="32">
        <v>3.736312857142857</v>
      </c>
      <c r="J49" s="32">
        <v>3.7113</v>
      </c>
      <c r="K49" s="32">
        <v>3.3524698975530458</v>
      </c>
      <c r="L49" s="32">
        <v>3.2659843295638131</v>
      </c>
      <c r="M49" s="53">
        <f t="shared" si="0"/>
        <v>2027</v>
      </c>
      <c r="N49" s="3"/>
      <c r="O49" s="3"/>
    </row>
    <row r="50" spans="2:15">
      <c r="H50" s="28">
        <v>46661</v>
      </c>
      <c r="I50" s="32">
        <v>3.4143740816326531</v>
      </c>
      <c r="J50" s="32">
        <v>3.3914</v>
      </c>
      <c r="K50" s="32">
        <v>3.2286282930471968</v>
      </c>
      <c r="L50" s="32">
        <v>3.1316951534733448</v>
      </c>
      <c r="M50" s="53">
        <f t="shared" si="0"/>
        <v>2027</v>
      </c>
      <c r="N50" s="3"/>
      <c r="O50" s="3"/>
    </row>
    <row r="51" spans="2:15">
      <c r="H51" s="28">
        <v>46692</v>
      </c>
      <c r="I51" s="32">
        <v>4.5011087755102048</v>
      </c>
      <c r="J51" s="32">
        <v>4.4711999999999996</v>
      </c>
      <c r="K51" s="32">
        <v>4.7156525051593388</v>
      </c>
      <c r="L51" s="32">
        <v>3.6693567043618747</v>
      </c>
      <c r="M51" s="53">
        <f t="shared" si="0"/>
        <v>2027</v>
      </c>
      <c r="N51" s="3"/>
      <c r="O51" s="3"/>
    </row>
    <row r="52" spans="2:15">
      <c r="H52" s="28">
        <v>46722</v>
      </c>
      <c r="I52" s="32">
        <v>5.9500883673469387</v>
      </c>
      <c r="J52" s="32">
        <v>5.9109999999999996</v>
      </c>
      <c r="K52" s="32">
        <v>6.4017482425227907</v>
      </c>
      <c r="L52" s="32">
        <v>4.6487589660743147</v>
      </c>
      <c r="M52" s="53">
        <f t="shared" si="0"/>
        <v>2027</v>
      </c>
      <c r="N52" s="3"/>
      <c r="O52" s="3"/>
    </row>
    <row r="53" spans="2:15">
      <c r="B53" s="55" t="str">
        <f>"Official Forward Price Curve Forecast dated   "&amp;TEXT(H5,"MMM dd, YYYY")</f>
        <v>Official Forward Price Curve Forecast dated   Jun 30, 2025</v>
      </c>
      <c r="H53" s="28">
        <v>46753</v>
      </c>
      <c r="I53" s="32">
        <v>6.3215169387755106</v>
      </c>
      <c r="J53" s="32">
        <v>6.28</v>
      </c>
      <c r="K53" s="32">
        <v>6.7482478023497379</v>
      </c>
      <c r="L53" s="32">
        <v>5.2889043618739908</v>
      </c>
      <c r="M53" s="53">
        <f t="shared" si="0"/>
        <v>2028</v>
      </c>
      <c r="N53" s="3"/>
      <c r="O53" s="3"/>
    </row>
    <row r="54" spans="2:15">
      <c r="H54" s="28">
        <v>46784</v>
      </c>
      <c r="I54" s="32">
        <v>5.6347822448979592</v>
      </c>
      <c r="J54" s="32">
        <v>5.5976999999999997</v>
      </c>
      <c r="K54" s="32">
        <v>5.9428662805986283</v>
      </c>
      <c r="L54" s="32">
        <v>4.9577250403877224</v>
      </c>
      <c r="M54" s="53">
        <f t="shared" si="0"/>
        <v>2028</v>
      </c>
      <c r="N54" s="3"/>
      <c r="O54" s="3"/>
    </row>
    <row r="55" spans="2:15">
      <c r="H55" s="28">
        <v>46813</v>
      </c>
      <c r="I55" s="32">
        <v>3.7587618367346938</v>
      </c>
      <c r="J55" s="32">
        <v>3.7336</v>
      </c>
      <c r="K55" s="32">
        <v>3.940332119771683</v>
      </c>
      <c r="L55" s="32">
        <v>3.482563489499193</v>
      </c>
      <c r="M55" s="53">
        <f t="shared" si="0"/>
        <v>2028</v>
      </c>
      <c r="N55" s="3"/>
      <c r="O55" s="3"/>
    </row>
    <row r="56" spans="2:15">
      <c r="H56" s="28">
        <v>46844</v>
      </c>
      <c r="I56" s="32">
        <v>2.7898842857142854</v>
      </c>
      <c r="J56" s="32">
        <v>2.7709000000000001</v>
      </c>
      <c r="K56" s="32">
        <v>2.6722660308128283</v>
      </c>
      <c r="L56" s="32">
        <v>2.6929835218093707</v>
      </c>
      <c r="M56" s="53">
        <f t="shared" si="0"/>
        <v>2028</v>
      </c>
      <c r="N56" s="3"/>
      <c r="O56" s="3"/>
    </row>
    <row r="57" spans="2:15">
      <c r="H57" s="28">
        <v>46874</v>
      </c>
      <c r="I57" s="32">
        <v>2.76386387755102</v>
      </c>
      <c r="J57" s="32">
        <v>2.7450999999999999</v>
      </c>
      <c r="K57" s="32">
        <v>2.5304391310467933</v>
      </c>
      <c r="L57" s="32">
        <v>2.5738397415185785</v>
      </c>
      <c r="M57" s="53">
        <f t="shared" si="0"/>
        <v>2028</v>
      </c>
      <c r="N57" s="3"/>
      <c r="O57" s="3"/>
    </row>
    <row r="58" spans="2:15">
      <c r="H58" s="28">
        <v>46905</v>
      </c>
      <c r="I58" s="32">
        <v>2.8960067346938776</v>
      </c>
      <c r="J58" s="32">
        <v>2.8763999999999998</v>
      </c>
      <c r="K58" s="32">
        <v>2.6705702744025817</v>
      </c>
      <c r="L58" s="32">
        <v>2.7298373182552509</v>
      </c>
      <c r="M58" s="53">
        <f t="shared" si="0"/>
        <v>2028</v>
      </c>
      <c r="N58" s="3"/>
      <c r="O58" s="3"/>
    </row>
    <row r="59" spans="2:15">
      <c r="H59" s="28">
        <v>46935</v>
      </c>
      <c r="I59" s="32">
        <v>3.4893740816326533</v>
      </c>
      <c r="J59" s="32">
        <v>3.4660000000000002</v>
      </c>
      <c r="K59" s="32">
        <v>3.125598244485277</v>
      </c>
      <c r="L59" s="32">
        <v>3.0039689822294027</v>
      </c>
      <c r="M59" s="53">
        <f t="shared" si="0"/>
        <v>2028</v>
      </c>
      <c r="N59" s="3"/>
      <c r="O59" s="3"/>
    </row>
    <row r="60" spans="2:15">
      <c r="H60" s="28">
        <v>46966</v>
      </c>
      <c r="I60" s="32">
        <v>4.8218230612244906</v>
      </c>
      <c r="J60" s="32">
        <v>4.7759999999999998</v>
      </c>
      <c r="K60" s="32">
        <v>4.4681748423791845</v>
      </c>
      <c r="L60" s="32">
        <v>4.3426200323101787</v>
      </c>
      <c r="M60" s="53">
        <f t="shared" si="0"/>
        <v>2028</v>
      </c>
      <c r="N60" s="3"/>
      <c r="O60" s="3"/>
    </row>
    <row r="61" spans="2:15">
      <c r="H61" s="28">
        <v>46997</v>
      </c>
      <c r="I61" s="32">
        <v>4.8626393877551024</v>
      </c>
      <c r="J61" s="32">
        <v>4.8151000000000002</v>
      </c>
      <c r="K61" s="32">
        <v>4.4826658517031053</v>
      </c>
      <c r="L61" s="32">
        <v>4.3804835218093707</v>
      </c>
      <c r="M61" s="53">
        <f t="shared" si="0"/>
        <v>2028</v>
      </c>
      <c r="N61" s="3"/>
      <c r="O61" s="3"/>
    </row>
    <row r="62" spans="2:15">
      <c r="H62" s="28">
        <v>47027</v>
      </c>
      <c r="I62" s="32">
        <v>4.7343740816326534</v>
      </c>
      <c r="J62" s="32">
        <v>4.6849999999999996</v>
      </c>
      <c r="K62" s="32">
        <v>4.5817905218656705</v>
      </c>
      <c r="L62" s="32">
        <v>4.43783408723748</v>
      </c>
      <c r="M62" s="53">
        <f t="shared" si="0"/>
        <v>2028</v>
      </c>
      <c r="N62" s="3"/>
      <c r="O62" s="3"/>
    </row>
    <row r="63" spans="2:15">
      <c r="H63" s="28">
        <v>47058</v>
      </c>
      <c r="I63" s="32">
        <v>5.4391699999999998</v>
      </c>
      <c r="J63" s="32">
        <v>5.3905000000000003</v>
      </c>
      <c r="K63" s="32">
        <v>5.5374777254340461</v>
      </c>
      <c r="L63" s="32">
        <v>4.5975675282714059</v>
      </c>
      <c r="M63" s="53">
        <f t="shared" si="0"/>
        <v>2028</v>
      </c>
      <c r="N63" s="3"/>
      <c r="O63" s="3"/>
    </row>
    <row r="64" spans="2:15">
      <c r="H64" s="28">
        <v>47088</v>
      </c>
      <c r="I64" s="32">
        <v>6.2831495918367359</v>
      </c>
      <c r="J64" s="32">
        <v>6.2374000000000001</v>
      </c>
      <c r="K64" s="32">
        <v>6.4732783311004436</v>
      </c>
      <c r="L64" s="32">
        <v>4.9783227786752837</v>
      </c>
      <c r="M64" s="53">
        <f t="shared" si="0"/>
        <v>2028</v>
      </c>
      <c r="N64" s="3"/>
      <c r="O64" s="3"/>
    </row>
    <row r="65" spans="8:15">
      <c r="H65" s="28">
        <v>47119</v>
      </c>
      <c r="I65" s="32">
        <v>6.8418230612244901</v>
      </c>
      <c r="J65" s="32">
        <v>6.7899000000000003</v>
      </c>
      <c r="K65" s="32">
        <v>7.0306683244925372</v>
      </c>
      <c r="L65" s="32">
        <v>5.8037468497576743</v>
      </c>
      <c r="M65" s="53">
        <f t="shared" ref="M65:M112" si="6">YEAR(H65)</f>
        <v>2029</v>
      </c>
      <c r="N65" s="3"/>
      <c r="O65" s="3"/>
    </row>
    <row r="66" spans="8:15">
      <c r="H66" s="28">
        <v>47150</v>
      </c>
      <c r="I66" s="32">
        <v>6.2231495918367346</v>
      </c>
      <c r="J66" s="32">
        <v>6.1742999999999997</v>
      </c>
      <c r="K66" s="32">
        <v>6.37112185402259</v>
      </c>
      <c r="L66" s="32">
        <v>5.5399140549273023</v>
      </c>
      <c r="M66" s="53">
        <f t="shared" si="6"/>
        <v>2029</v>
      </c>
      <c r="N66" s="3"/>
      <c r="O66" s="3"/>
    </row>
    <row r="67" spans="8:15">
      <c r="H67" s="28">
        <v>47178</v>
      </c>
      <c r="I67" s="32">
        <v>4.7110067346938784</v>
      </c>
      <c r="J67" s="32">
        <v>4.6668000000000003</v>
      </c>
      <c r="K67" s="32">
        <v>4.7418596496813228</v>
      </c>
      <c r="L67" s="32">
        <v>4.4248090468497585</v>
      </c>
      <c r="M67" s="53">
        <f t="shared" si="6"/>
        <v>2029</v>
      </c>
      <c r="N67" s="3"/>
      <c r="O67" s="3"/>
    </row>
    <row r="68" spans="8:15">
      <c r="H68" s="28">
        <v>47209</v>
      </c>
      <c r="I68" s="32">
        <v>4.0721291836734697</v>
      </c>
      <c r="J68" s="32">
        <v>4.0274999999999999</v>
      </c>
      <c r="K68" s="32">
        <v>3.9164373703545783</v>
      </c>
      <c r="L68" s="32">
        <v>3.96176381260097</v>
      </c>
      <c r="M68" s="53">
        <f t="shared" si="6"/>
        <v>2029</v>
      </c>
      <c r="N68" s="3"/>
      <c r="O68" s="3"/>
    </row>
    <row r="69" spans="8:15">
      <c r="H69" s="28">
        <v>47239</v>
      </c>
      <c r="I69" s="32">
        <v>4.0668230612244898</v>
      </c>
      <c r="J69" s="32">
        <v>4.0220000000000002</v>
      </c>
      <c r="K69" s="32">
        <v>3.7604277806119404</v>
      </c>
      <c r="L69" s="32">
        <v>3.8631168012924082</v>
      </c>
      <c r="M69" s="53">
        <f t="shared" si="6"/>
        <v>2029</v>
      </c>
      <c r="N69" s="3"/>
      <c r="O69" s="3"/>
    </row>
    <row r="70" spans="8:15">
      <c r="H70" s="28">
        <v>47270</v>
      </c>
      <c r="I70" s="32">
        <v>4.1571291836734696</v>
      </c>
      <c r="J70" s="32">
        <v>4.1123000000000003</v>
      </c>
      <c r="K70" s="32">
        <v>3.8396658528725292</v>
      </c>
      <c r="L70" s="32">
        <v>3.9777169628432962</v>
      </c>
      <c r="M70" s="53">
        <f t="shared" si="6"/>
        <v>2029</v>
      </c>
      <c r="N70" s="3"/>
      <c r="O70" s="3"/>
    </row>
    <row r="71" spans="8:15">
      <c r="H71" s="28">
        <v>47300</v>
      </c>
      <c r="I71" s="32">
        <v>4.5243740816326534</v>
      </c>
      <c r="J71" s="32">
        <v>4.4802999999999997</v>
      </c>
      <c r="K71" s="32">
        <v>4.1082120043860426</v>
      </c>
      <c r="L71" s="32">
        <v>4.0281006462035549</v>
      </c>
      <c r="M71" s="53">
        <f t="shared" si="6"/>
        <v>2029</v>
      </c>
      <c r="N71" s="3"/>
      <c r="O71" s="3"/>
    </row>
    <row r="72" spans="8:15">
      <c r="H72" s="28">
        <v>47331</v>
      </c>
      <c r="I72" s="32">
        <v>5.8440679591836737</v>
      </c>
      <c r="J72" s="32">
        <v>5.7778</v>
      </c>
      <c r="K72" s="32">
        <v>5.5221131446260587</v>
      </c>
      <c r="L72" s="32">
        <v>5.3541305331179334</v>
      </c>
      <c r="M72" s="53">
        <f t="shared" si="6"/>
        <v>2029</v>
      </c>
      <c r="N72" s="3"/>
      <c r="O72" s="3"/>
    </row>
    <row r="73" spans="8:15">
      <c r="H73" s="28">
        <v>47362</v>
      </c>
      <c r="I73" s="32">
        <v>5.9888638775510206</v>
      </c>
      <c r="J73" s="32">
        <v>5.9188000000000001</v>
      </c>
      <c r="K73" s="32">
        <v>5.6128618058531661</v>
      </c>
      <c r="L73" s="32">
        <v>5.4948817447495966</v>
      </c>
      <c r="M73" s="53">
        <f t="shared" si="6"/>
        <v>2029</v>
      </c>
      <c r="N73" s="3"/>
      <c r="O73" s="3"/>
    </row>
    <row r="74" spans="8:15">
      <c r="H74" s="28">
        <v>47392</v>
      </c>
      <c r="I74" s="32">
        <v>6.0543740816326528</v>
      </c>
      <c r="J74" s="32">
        <v>5.9786000000000001</v>
      </c>
      <c r="K74" s="32">
        <v>5.9350041372420321</v>
      </c>
      <c r="L74" s="32">
        <v>5.7439730210016169</v>
      </c>
      <c r="M74" s="53">
        <f t="shared" si="6"/>
        <v>2029</v>
      </c>
      <c r="N74" s="3"/>
      <c r="O74" s="3"/>
    </row>
    <row r="75" spans="8:15">
      <c r="H75" s="28">
        <v>47423</v>
      </c>
      <c r="I75" s="32">
        <v>6.3772312244897957</v>
      </c>
      <c r="J75" s="32">
        <v>6.3098999999999998</v>
      </c>
      <c r="K75" s="32">
        <v>6.3593543322666388</v>
      </c>
      <c r="L75" s="32">
        <v>5.5257783521809385</v>
      </c>
      <c r="M75" s="53">
        <f t="shared" si="6"/>
        <v>2029</v>
      </c>
      <c r="N75" s="3"/>
      <c r="O75" s="3"/>
    </row>
    <row r="76" spans="8:15">
      <c r="H76" s="28">
        <v>47453</v>
      </c>
      <c r="I76" s="32">
        <v>6.6163128571428569</v>
      </c>
      <c r="J76" s="32">
        <v>6.5637999999999996</v>
      </c>
      <c r="K76" s="32">
        <v>6.5448084196780956</v>
      </c>
      <c r="L76" s="32">
        <v>5.3079875605815845</v>
      </c>
      <c r="M76" s="53">
        <f t="shared" si="6"/>
        <v>2029</v>
      </c>
      <c r="N76" s="3"/>
      <c r="O76" s="3"/>
    </row>
    <row r="77" spans="8:15">
      <c r="H77" s="28">
        <v>47484</v>
      </c>
      <c r="I77" s="32">
        <v>7.3621291836734697</v>
      </c>
      <c r="J77" s="32">
        <v>7.2998000000000003</v>
      </c>
      <c r="K77" s="32">
        <v>7.3131402331932227</v>
      </c>
      <c r="L77" s="32">
        <v>6.3185893376413578</v>
      </c>
      <c r="M77" s="53">
        <f t="shared" si="6"/>
        <v>2030</v>
      </c>
      <c r="N77" s="3"/>
      <c r="O77" s="3"/>
    </row>
    <row r="78" spans="8:15">
      <c r="H78" s="28">
        <v>47515</v>
      </c>
      <c r="I78" s="32">
        <v>6.8116189795918363</v>
      </c>
      <c r="J78" s="32">
        <v>6.7508999999999997</v>
      </c>
      <c r="K78" s="32">
        <v>6.7993774274465508</v>
      </c>
      <c r="L78" s="32">
        <v>6.1222040387722148</v>
      </c>
      <c r="M78" s="53">
        <f t="shared" si="6"/>
        <v>2030</v>
      </c>
      <c r="N78" s="3"/>
      <c r="O78" s="3"/>
    </row>
    <row r="79" spans="8:15">
      <c r="H79" s="28">
        <v>47543</v>
      </c>
      <c r="I79" s="32">
        <v>5.6632516326530613</v>
      </c>
      <c r="J79" s="32">
        <v>5.6</v>
      </c>
      <c r="K79" s="32">
        <v>5.5433357930330773</v>
      </c>
      <c r="L79" s="32">
        <v>5.367054604200324</v>
      </c>
      <c r="M79" s="53">
        <f t="shared" si="6"/>
        <v>2030</v>
      </c>
      <c r="N79" s="3"/>
      <c r="O79" s="3"/>
    </row>
    <row r="80" spans="8:15">
      <c r="H80" s="28">
        <v>47574</v>
      </c>
      <c r="I80" s="32">
        <v>5.3543740816326535</v>
      </c>
      <c r="J80" s="32">
        <v>5.2842000000000002</v>
      </c>
      <c r="K80" s="32">
        <v>5.1607114830121015</v>
      </c>
      <c r="L80" s="32">
        <v>5.2305441033925693</v>
      </c>
      <c r="M80" s="53">
        <f t="shared" si="6"/>
        <v>2030</v>
      </c>
      <c r="N80" s="3"/>
      <c r="O80" s="3"/>
    </row>
    <row r="81" spans="8:15">
      <c r="H81" s="28">
        <v>47604</v>
      </c>
      <c r="I81" s="32">
        <v>5.3698842857142859</v>
      </c>
      <c r="J81" s="32">
        <v>5.2990000000000004</v>
      </c>
      <c r="K81" s="32">
        <v>4.9905192032928598</v>
      </c>
      <c r="L81" s="32">
        <v>5.1524948303715679</v>
      </c>
      <c r="M81" s="53">
        <f t="shared" si="6"/>
        <v>2030</v>
      </c>
      <c r="N81" s="3"/>
      <c r="O81" s="3"/>
    </row>
    <row r="82" spans="8:15">
      <c r="H82" s="28">
        <v>47635</v>
      </c>
      <c r="I82" s="32">
        <v>5.4183536734693885</v>
      </c>
      <c r="J82" s="32">
        <v>5.3483000000000001</v>
      </c>
      <c r="K82" s="32">
        <v>5.0087614313424762</v>
      </c>
      <c r="L82" s="32">
        <v>5.2256975767366729</v>
      </c>
      <c r="M82" s="53">
        <f t="shared" si="6"/>
        <v>2030</v>
      </c>
      <c r="N82" s="3"/>
      <c r="O82" s="3"/>
    </row>
    <row r="83" spans="8:15">
      <c r="H83" s="28">
        <v>47665</v>
      </c>
      <c r="I83" s="32">
        <v>5.5593740816326536</v>
      </c>
      <c r="J83" s="32">
        <v>5.4946000000000002</v>
      </c>
      <c r="K83" s="32">
        <v>5.0908257642868087</v>
      </c>
      <c r="L83" s="32">
        <v>5.0522323101777067</v>
      </c>
      <c r="M83" s="53">
        <f t="shared" si="6"/>
        <v>2030</v>
      </c>
      <c r="N83" s="3"/>
      <c r="O83" s="3"/>
    </row>
    <row r="84" spans="8:15">
      <c r="H84" s="28">
        <v>47696</v>
      </c>
      <c r="I84" s="32">
        <v>5.6999863265306123</v>
      </c>
      <c r="J84" s="32">
        <v>5.6365999999999996</v>
      </c>
      <c r="K84" s="32">
        <v>5.3818278415966114</v>
      </c>
      <c r="L84" s="32">
        <v>5.2115618739903073</v>
      </c>
      <c r="M84" s="53">
        <f t="shared" si="6"/>
        <v>2030</v>
      </c>
      <c r="N84" s="3"/>
      <c r="O84" s="3"/>
    </row>
    <row r="85" spans="8:15">
      <c r="H85" s="28">
        <v>47727</v>
      </c>
      <c r="I85" s="32">
        <v>5.8174353061224497</v>
      </c>
      <c r="J85" s="32">
        <v>5.7507999999999999</v>
      </c>
      <c r="K85" s="32">
        <v>5.4204191465691807</v>
      </c>
      <c r="L85" s="32">
        <v>5.3252533117932161</v>
      </c>
      <c r="M85" s="53">
        <f t="shared" si="6"/>
        <v>2030</v>
      </c>
      <c r="N85" s="3"/>
      <c r="O85" s="3"/>
    </row>
    <row r="86" spans="8:15">
      <c r="H86" s="28">
        <v>47757</v>
      </c>
      <c r="I86" s="32">
        <v>5.9223332653061229</v>
      </c>
      <c r="J86" s="32">
        <v>5.8491999999999997</v>
      </c>
      <c r="K86" s="32">
        <v>5.7374742087273098</v>
      </c>
      <c r="L86" s="32">
        <v>5.61331873990307</v>
      </c>
      <c r="M86" s="53">
        <f t="shared" si="6"/>
        <v>2030</v>
      </c>
      <c r="N86" s="3"/>
      <c r="O86" s="3"/>
    </row>
    <row r="87" spans="8:15">
      <c r="H87" s="28">
        <v>47788</v>
      </c>
      <c r="I87" s="32">
        <v>6.2171291836734701</v>
      </c>
      <c r="J87" s="32">
        <v>6.1529999999999996</v>
      </c>
      <c r="K87" s="32">
        <v>6.2063765494392893</v>
      </c>
      <c r="L87" s="32">
        <v>5.3673575121163175</v>
      </c>
      <c r="M87" s="53">
        <f t="shared" si="6"/>
        <v>2030</v>
      </c>
      <c r="N87" s="3"/>
      <c r="O87" s="3"/>
    </row>
    <row r="88" spans="8:15">
      <c r="H88" s="28">
        <v>47818</v>
      </c>
      <c r="I88" s="32">
        <v>6.4722312244897964</v>
      </c>
      <c r="J88" s="32">
        <v>6.4226000000000001</v>
      </c>
      <c r="K88" s="32">
        <v>6.4046772763223077</v>
      </c>
      <c r="L88" s="32">
        <v>5.1654189014539584</v>
      </c>
      <c r="M88" s="53">
        <f t="shared" si="6"/>
        <v>2030</v>
      </c>
      <c r="N88" s="3"/>
      <c r="O88" s="3"/>
    </row>
    <row r="89" spans="8:15">
      <c r="H89" s="28">
        <v>47849</v>
      </c>
      <c r="I89" s="32">
        <v>6.926516938775511</v>
      </c>
      <c r="J89" s="32">
        <v>6.8728999999999996</v>
      </c>
      <c r="K89" s="32">
        <v>6.8658716333513512</v>
      </c>
      <c r="L89" s="32">
        <v>5.8875513731825535</v>
      </c>
      <c r="M89" s="53">
        <f t="shared" si="6"/>
        <v>2031</v>
      </c>
      <c r="N89" s="3"/>
      <c r="O89" s="3"/>
    </row>
    <row r="90" spans="8:15">
      <c r="H90" s="28">
        <v>47880</v>
      </c>
      <c r="I90" s="32">
        <v>6.6702924489795921</v>
      </c>
      <c r="J90" s="32">
        <v>6.6124999999999998</v>
      </c>
      <c r="K90" s="32">
        <v>6.6463996446192004</v>
      </c>
      <c r="L90" s="32">
        <v>5.9823615508885304</v>
      </c>
      <c r="M90" s="53">
        <f t="shared" si="6"/>
        <v>2031</v>
      </c>
      <c r="N90" s="3"/>
      <c r="O90" s="3"/>
    </row>
    <row r="91" spans="8:15">
      <c r="H91" s="28">
        <v>47908</v>
      </c>
      <c r="I91" s="32">
        <v>5.6469251020408162</v>
      </c>
      <c r="J91" s="32">
        <v>5.5839999999999996</v>
      </c>
      <c r="K91" s="32">
        <v>5.5740649546490513</v>
      </c>
      <c r="L91" s="32">
        <v>5.3508995153473355</v>
      </c>
      <c r="M91" s="53">
        <f t="shared" si="6"/>
        <v>2031</v>
      </c>
      <c r="N91" s="3"/>
      <c r="O91" s="3"/>
    </row>
    <row r="92" spans="8:15">
      <c r="H92" s="28">
        <v>47939</v>
      </c>
      <c r="I92" s="32">
        <v>5.3630475510204079</v>
      </c>
      <c r="J92" s="32">
        <v>5.2927</v>
      </c>
      <c r="K92" s="32">
        <v>5.148892574698265</v>
      </c>
      <c r="L92" s="32">
        <v>5.2391264943457196</v>
      </c>
      <c r="M92" s="53">
        <f t="shared" si="6"/>
        <v>2031</v>
      </c>
      <c r="N92" s="3"/>
      <c r="O92" s="3"/>
    </row>
    <row r="93" spans="8:15">
      <c r="H93" s="28">
        <v>47969</v>
      </c>
      <c r="I93" s="32">
        <v>5.3765169387755103</v>
      </c>
      <c r="J93" s="32">
        <v>5.3055000000000003</v>
      </c>
      <c r="K93" s="32">
        <v>4.9939621026712375</v>
      </c>
      <c r="L93" s="32">
        <v>5.1590578352180945</v>
      </c>
      <c r="M93" s="53">
        <f t="shared" si="6"/>
        <v>2031</v>
      </c>
      <c r="N93" s="3"/>
      <c r="O93" s="3"/>
    </row>
    <row r="94" spans="8:15">
      <c r="H94" s="28">
        <v>48000</v>
      </c>
      <c r="I94" s="32">
        <v>5.4174353061224494</v>
      </c>
      <c r="J94" s="32">
        <v>5.3474000000000004</v>
      </c>
      <c r="K94" s="32">
        <v>5.0106113474263809</v>
      </c>
      <c r="L94" s="32">
        <v>5.2247888529886932</v>
      </c>
      <c r="M94" s="53">
        <f t="shared" si="6"/>
        <v>2031</v>
      </c>
      <c r="N94" s="3"/>
      <c r="O94" s="3"/>
    </row>
    <row r="95" spans="8:15">
      <c r="H95" s="28">
        <v>48030</v>
      </c>
      <c r="I95" s="32">
        <v>5.507333265306122</v>
      </c>
      <c r="J95" s="32">
        <v>5.4436</v>
      </c>
      <c r="K95" s="32">
        <v>5.0564995436187976</v>
      </c>
      <c r="L95" s="32">
        <v>5.0007379644588053</v>
      </c>
      <c r="M95" s="53">
        <f t="shared" si="6"/>
        <v>2031</v>
      </c>
      <c r="N95" s="3"/>
      <c r="O95" s="3"/>
    </row>
    <row r="96" spans="8:15">
      <c r="H96" s="28">
        <v>48061</v>
      </c>
      <c r="I96" s="32">
        <v>5.6458026530612253</v>
      </c>
      <c r="J96" s="32">
        <v>5.5834999999999999</v>
      </c>
      <c r="K96" s="32">
        <v>5.3679020844094385</v>
      </c>
      <c r="L96" s="32">
        <v>5.1579471728594521</v>
      </c>
      <c r="M96" s="53">
        <f t="shared" si="6"/>
        <v>2031</v>
      </c>
      <c r="N96" s="3"/>
      <c r="O96" s="3"/>
    </row>
    <row r="97" spans="8:15">
      <c r="H97" s="28">
        <v>48092</v>
      </c>
      <c r="I97" s="32">
        <v>5.7852924489795923</v>
      </c>
      <c r="J97" s="32">
        <v>5.7194000000000003</v>
      </c>
      <c r="K97" s="32">
        <v>5.4615797794360628</v>
      </c>
      <c r="L97" s="32">
        <v>5.2934479806138945</v>
      </c>
      <c r="M97" s="53">
        <f t="shared" si="6"/>
        <v>2031</v>
      </c>
      <c r="N97" s="3"/>
      <c r="O97" s="3"/>
    </row>
    <row r="98" spans="8:15">
      <c r="H98" s="28">
        <v>48122</v>
      </c>
      <c r="I98" s="32">
        <v>5.9019251020408161</v>
      </c>
      <c r="J98" s="32">
        <v>5.8292999999999999</v>
      </c>
      <c r="K98" s="32">
        <v>5.7474432009572407</v>
      </c>
      <c r="L98" s="32">
        <v>5.5931248788368348</v>
      </c>
      <c r="M98" s="53">
        <f t="shared" si="6"/>
        <v>2031</v>
      </c>
      <c r="N98" s="3"/>
      <c r="O98" s="3"/>
    </row>
    <row r="99" spans="8:15">
      <c r="H99" s="28">
        <v>48153</v>
      </c>
      <c r="I99" s="32">
        <v>6.2509046938775521</v>
      </c>
      <c r="J99" s="32">
        <v>6.1859999999999999</v>
      </c>
      <c r="K99" s="32">
        <v>6.2211244915526418</v>
      </c>
      <c r="L99" s="32">
        <v>5.4007783521809385</v>
      </c>
      <c r="M99" s="53">
        <f t="shared" si="6"/>
        <v>2031</v>
      </c>
      <c r="N99" s="3"/>
      <c r="O99" s="3"/>
    </row>
    <row r="100" spans="8:15">
      <c r="H100" s="28">
        <v>48183</v>
      </c>
      <c r="I100" s="32">
        <v>6.4732516326530609</v>
      </c>
      <c r="J100" s="32">
        <v>6.4236000000000004</v>
      </c>
      <c r="K100" s="32">
        <v>6.3952735362291246</v>
      </c>
      <c r="L100" s="32">
        <v>5.1664285945072708</v>
      </c>
      <c r="M100" s="53">
        <f t="shared" si="6"/>
        <v>2031</v>
      </c>
      <c r="N100" s="3"/>
      <c r="O100" s="3"/>
    </row>
    <row r="101" spans="8:15">
      <c r="H101" s="28">
        <v>48214</v>
      </c>
      <c r="I101" s="32">
        <v>6.8670271428571432</v>
      </c>
      <c r="J101" s="32">
        <v>6.8146000000000004</v>
      </c>
      <c r="K101" s="32">
        <v>6.8030258730564741</v>
      </c>
      <c r="L101" s="32">
        <v>5.8286862681744758</v>
      </c>
      <c r="M101" s="53">
        <f t="shared" si="6"/>
        <v>2032</v>
      </c>
      <c r="N101" s="3"/>
      <c r="O101" s="3"/>
    </row>
    <row r="102" spans="8:15">
      <c r="H102" s="28">
        <v>48245</v>
      </c>
      <c r="I102" s="32">
        <v>6.2373332653061233</v>
      </c>
      <c r="J102" s="32">
        <v>6.1881000000000004</v>
      </c>
      <c r="K102" s="32">
        <v>6.1285259142416288</v>
      </c>
      <c r="L102" s="32">
        <v>5.5539487883683369</v>
      </c>
      <c r="M102" s="53">
        <f t="shared" si="6"/>
        <v>2032</v>
      </c>
      <c r="N102" s="3"/>
      <c r="O102" s="3"/>
    </row>
    <row r="103" spans="8:15">
      <c r="H103" s="28">
        <v>48274</v>
      </c>
      <c r="I103" s="32">
        <v>5.6767210204081637</v>
      </c>
      <c r="J103" s="32">
        <v>5.6132</v>
      </c>
      <c r="K103" s="32">
        <v>5.5898920144780151</v>
      </c>
      <c r="L103" s="32">
        <v>5.3803825525040399</v>
      </c>
      <c r="M103" s="53">
        <f t="shared" si="6"/>
        <v>2032</v>
      </c>
      <c r="N103" s="3"/>
      <c r="O103" s="3"/>
    </row>
    <row r="104" spans="8:15">
      <c r="H104" s="28">
        <v>48305</v>
      </c>
      <c r="I104" s="32">
        <v>5.3991699999999998</v>
      </c>
      <c r="J104" s="32">
        <v>5.3280000000000003</v>
      </c>
      <c r="K104" s="32">
        <v>5.1587587938124235</v>
      </c>
      <c r="L104" s="32">
        <v>5.2748696284329579</v>
      </c>
      <c r="M104" s="53">
        <f t="shared" si="6"/>
        <v>2032</v>
      </c>
      <c r="N104" s="3"/>
      <c r="O104" s="3"/>
    </row>
    <row r="105" spans="8:15">
      <c r="H105" s="28">
        <v>48335</v>
      </c>
      <c r="I105" s="32">
        <v>5.3840679591836746</v>
      </c>
      <c r="J105" s="32">
        <v>5.3129</v>
      </c>
      <c r="K105" s="32">
        <v>5.0138487005732149</v>
      </c>
      <c r="L105" s="32">
        <v>5.1665295638126016</v>
      </c>
      <c r="M105" s="53">
        <f t="shared" si="6"/>
        <v>2032</v>
      </c>
      <c r="N105" s="3"/>
      <c r="O105" s="3"/>
    </row>
    <row r="106" spans="8:15">
      <c r="H106" s="28">
        <v>48366</v>
      </c>
      <c r="I106" s="32">
        <v>5.4304965306122455</v>
      </c>
      <c r="J106" s="32">
        <v>5.3601999999999999</v>
      </c>
      <c r="K106" s="32">
        <v>5.0369212650641382</v>
      </c>
      <c r="L106" s="32">
        <v>5.2377129240710829</v>
      </c>
      <c r="M106" s="53">
        <f t="shared" si="6"/>
        <v>2032</v>
      </c>
      <c r="N106" s="3"/>
      <c r="O106" s="3"/>
    </row>
    <row r="107" spans="8:15">
      <c r="H107" s="28">
        <v>48396</v>
      </c>
      <c r="I107" s="32">
        <v>5.5129455102040819</v>
      </c>
      <c r="J107" s="32">
        <v>5.4489999999999998</v>
      </c>
      <c r="K107" s="32">
        <v>5.0782360576046797</v>
      </c>
      <c r="L107" s="32">
        <v>5.0062912762520204</v>
      </c>
      <c r="M107" s="53">
        <f t="shared" si="6"/>
        <v>2032</v>
      </c>
      <c r="N107" s="3"/>
      <c r="O107" s="3"/>
    </row>
    <row r="108" spans="8:15">
      <c r="H108" s="28">
        <v>48427</v>
      </c>
      <c r="I108" s="32">
        <v>5.593557755102041</v>
      </c>
      <c r="J108" s="32">
        <v>5.5321999999999996</v>
      </c>
      <c r="K108" s="32">
        <v>5.3251998548059696</v>
      </c>
      <c r="L108" s="32">
        <v>5.1062508885298872</v>
      </c>
      <c r="M108" s="53">
        <f t="shared" si="6"/>
        <v>2032</v>
      </c>
      <c r="N108" s="3"/>
      <c r="O108" s="3"/>
    </row>
    <row r="109" spans="8:15">
      <c r="H109" s="28">
        <v>48458</v>
      </c>
      <c r="I109" s="32">
        <v>5.7441700000000004</v>
      </c>
      <c r="J109" s="32">
        <v>5.6790000000000003</v>
      </c>
      <c r="K109" s="32">
        <v>5.3972438089624841</v>
      </c>
      <c r="L109" s="32">
        <v>5.252757350565429</v>
      </c>
      <c r="M109" s="53">
        <f t="shared" si="6"/>
        <v>2032</v>
      </c>
      <c r="N109" s="3"/>
      <c r="O109" s="3"/>
    </row>
    <row r="110" spans="8:15">
      <c r="H110" s="28">
        <v>48488</v>
      </c>
      <c r="I110" s="32">
        <v>5.8444761224489792</v>
      </c>
      <c r="J110" s="32">
        <v>5.7728999999999999</v>
      </c>
      <c r="K110" s="32">
        <v>5.6758103392638155</v>
      </c>
      <c r="L110" s="32">
        <v>5.5362791599353809</v>
      </c>
      <c r="M110" s="53">
        <f t="shared" si="6"/>
        <v>2032</v>
      </c>
      <c r="N110" s="3"/>
      <c r="O110" s="3"/>
    </row>
    <row r="111" spans="8:15">
      <c r="H111" s="28">
        <v>48519</v>
      </c>
      <c r="I111" s="32">
        <v>6.1992720408163269</v>
      </c>
      <c r="J111" s="32">
        <v>6.1353999999999997</v>
      </c>
      <c r="K111" s="32">
        <v>6.1477444868910851</v>
      </c>
      <c r="L111" s="32">
        <v>5.3496878836833615</v>
      </c>
      <c r="M111" s="53">
        <f t="shared" si="6"/>
        <v>2032</v>
      </c>
      <c r="N111" s="3"/>
      <c r="O111" s="3"/>
    </row>
    <row r="112" spans="8:15">
      <c r="H112" s="28">
        <v>48549</v>
      </c>
      <c r="I112" s="32">
        <v>6.3643740816326533</v>
      </c>
      <c r="J112" s="32">
        <v>6.3170000000000002</v>
      </c>
      <c r="K112" s="32">
        <v>6.2834049997107702</v>
      </c>
      <c r="L112" s="32">
        <v>5.0586943457189024</v>
      </c>
      <c r="M112" s="53">
        <f t="shared" si="6"/>
        <v>2032</v>
      </c>
      <c r="N112" s="3"/>
      <c r="O112" s="3"/>
    </row>
    <row r="113" spans="8:15">
      <c r="H113" s="28">
        <v>48580</v>
      </c>
      <c r="I113" s="32">
        <v>7.1093740816326534</v>
      </c>
      <c r="J113" s="32">
        <v>7.0521000000000003</v>
      </c>
      <c r="K113" s="32">
        <v>7.0298975261242429</v>
      </c>
      <c r="L113" s="32">
        <v>6.0684883683360269</v>
      </c>
      <c r="M113" s="53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6.7282516326530617</v>
      </c>
      <c r="J114" s="32">
        <v>6.6692999999999998</v>
      </c>
      <c r="K114" s="32">
        <v>6.6590407378592182</v>
      </c>
      <c r="L114" s="32">
        <v>6.0397121163166405</v>
      </c>
      <c r="M114" s="53">
        <f t="shared" si="7"/>
        <v>2033</v>
      </c>
      <c r="N114" s="3"/>
      <c r="O114" s="3"/>
    </row>
    <row r="115" spans="8:15">
      <c r="H115" s="28">
        <v>48639</v>
      </c>
      <c r="I115" s="32">
        <v>5.7542720408163275</v>
      </c>
      <c r="J115" s="32">
        <v>5.6891999999999996</v>
      </c>
      <c r="K115" s="32">
        <v>5.6462116819213382</v>
      </c>
      <c r="L115" s="32">
        <v>5.4571192245557354</v>
      </c>
      <c r="M115" s="53">
        <f t="shared" si="7"/>
        <v>2033</v>
      </c>
      <c r="N115" s="3"/>
      <c r="O115" s="3"/>
    </row>
    <row r="116" spans="8:15">
      <c r="H116" s="28">
        <v>48670</v>
      </c>
      <c r="I116" s="32">
        <v>5.438353673469388</v>
      </c>
      <c r="J116" s="32">
        <v>5.3663999999999996</v>
      </c>
      <c r="K116" s="32">
        <v>5.2116869484352559</v>
      </c>
      <c r="L116" s="32">
        <v>5.3136418416801297</v>
      </c>
      <c r="M116" s="53">
        <f t="shared" si="7"/>
        <v>2033</v>
      </c>
      <c r="N116" s="3"/>
      <c r="O116" s="3"/>
    </row>
    <row r="117" spans="8:15">
      <c r="H117" s="28">
        <v>48700</v>
      </c>
      <c r="I117" s="32">
        <v>5.4435577551020407</v>
      </c>
      <c r="J117" s="32">
        <v>5.3712</v>
      </c>
      <c r="K117" s="32">
        <v>5.061175720386446</v>
      </c>
      <c r="L117" s="32">
        <v>5.2253946688206794</v>
      </c>
      <c r="M117" s="53">
        <f t="shared" si="7"/>
        <v>2033</v>
      </c>
      <c r="N117" s="3"/>
      <c r="O117" s="3"/>
    </row>
    <row r="118" spans="8:15">
      <c r="H118" s="28">
        <v>48731</v>
      </c>
      <c r="I118" s="32">
        <v>5.4853944897959188</v>
      </c>
      <c r="J118" s="32">
        <v>5.4139999999999997</v>
      </c>
      <c r="K118" s="32">
        <v>5.0853274025929807</v>
      </c>
      <c r="L118" s="32">
        <v>5.2920344103392578</v>
      </c>
      <c r="M118" s="53">
        <f t="shared" si="7"/>
        <v>2033</v>
      </c>
      <c r="N118" s="3"/>
      <c r="O118" s="3"/>
    </row>
    <row r="119" spans="8:15">
      <c r="H119" s="28">
        <v>48761</v>
      </c>
      <c r="I119" s="32">
        <v>5.5730475510204078</v>
      </c>
      <c r="J119" s="32">
        <v>5.5079000000000002</v>
      </c>
      <c r="K119" s="32">
        <v>5.1587587938124244</v>
      </c>
      <c r="L119" s="32">
        <v>5.0657621970920843</v>
      </c>
      <c r="M119" s="53">
        <f t="shared" si="7"/>
        <v>2033</v>
      </c>
      <c r="N119" s="3"/>
      <c r="O119" s="3"/>
    </row>
    <row r="120" spans="8:15">
      <c r="H120" s="28">
        <v>48792</v>
      </c>
      <c r="I120" s="32">
        <v>5.6984557142857151</v>
      </c>
      <c r="J120" s="32">
        <v>5.6351000000000004</v>
      </c>
      <c r="K120" s="32">
        <v>5.4253008695683747</v>
      </c>
      <c r="L120" s="32">
        <v>5.2100473344103397</v>
      </c>
      <c r="M120" s="53">
        <f t="shared" si="7"/>
        <v>2033</v>
      </c>
      <c r="N120" s="3"/>
      <c r="O120" s="3"/>
    </row>
    <row r="121" spans="8:15">
      <c r="H121" s="28">
        <v>48823</v>
      </c>
      <c r="I121" s="32">
        <v>5.8323332653061222</v>
      </c>
      <c r="J121" s="32">
        <v>5.7655000000000003</v>
      </c>
      <c r="K121" s="32">
        <v>5.4971906640512307</v>
      </c>
      <c r="L121" s="32">
        <v>5.3399948303715679</v>
      </c>
      <c r="M121" s="53">
        <f t="shared" si="7"/>
        <v>2033</v>
      </c>
      <c r="N121" s="3"/>
      <c r="O121" s="3"/>
    </row>
    <row r="122" spans="8:15">
      <c r="H122" s="28">
        <v>48853</v>
      </c>
      <c r="I122" s="32">
        <v>5.9536597959183677</v>
      </c>
      <c r="J122" s="32">
        <v>5.8799000000000001</v>
      </c>
      <c r="K122" s="32">
        <v>5.8027351372428395</v>
      </c>
      <c r="L122" s="32">
        <v>5.6443163166397428</v>
      </c>
      <c r="M122" s="53">
        <f t="shared" si="7"/>
        <v>2033</v>
      </c>
      <c r="N122" s="3"/>
      <c r="O122" s="3"/>
    </row>
    <row r="123" spans="8:15">
      <c r="H123" s="28">
        <v>48884</v>
      </c>
      <c r="I123" s="32">
        <v>6.3134557142857144</v>
      </c>
      <c r="J123" s="32">
        <v>6.2473000000000001</v>
      </c>
      <c r="K123" s="32">
        <v>6.2462011318011292</v>
      </c>
      <c r="L123" s="32">
        <v>5.4626725363489514</v>
      </c>
      <c r="M123" s="53">
        <f t="shared" si="7"/>
        <v>2033</v>
      </c>
      <c r="N123" s="3"/>
      <c r="O123" s="3"/>
    </row>
    <row r="124" spans="8:15">
      <c r="H124" s="28">
        <v>48914</v>
      </c>
      <c r="I124" s="32">
        <v>6.523659795918368</v>
      </c>
      <c r="J124" s="32">
        <v>6.4730999999999996</v>
      </c>
      <c r="K124" s="32">
        <v>6.4239986220875345</v>
      </c>
      <c r="L124" s="32">
        <v>5.2163074313408728</v>
      </c>
      <c r="M124" s="53">
        <f t="shared" si="7"/>
        <v>2033</v>
      </c>
      <c r="N124" s="3"/>
      <c r="O124" s="3"/>
    </row>
    <row r="125" spans="8:15">
      <c r="H125" s="28">
        <v>48945</v>
      </c>
      <c r="I125" s="32">
        <v>7.0154965306122454</v>
      </c>
      <c r="J125" s="32">
        <v>6.9600999999999997</v>
      </c>
      <c r="K125" s="32">
        <v>6.9162304600798699</v>
      </c>
      <c r="L125" s="32">
        <v>5.975596607431342</v>
      </c>
      <c r="M125" s="53">
        <f t="shared" si="7"/>
        <v>2034</v>
      </c>
      <c r="N125" s="3"/>
      <c r="O125" s="3"/>
    </row>
    <row r="126" spans="8:15">
      <c r="H126" s="28">
        <v>48976</v>
      </c>
      <c r="I126" s="32">
        <v>6.7844761224489805</v>
      </c>
      <c r="J126" s="32">
        <v>6.7244000000000002</v>
      </c>
      <c r="K126" s="32">
        <v>6.6930072526220252</v>
      </c>
      <c r="L126" s="32">
        <v>6.0953462035541204</v>
      </c>
      <c r="M126" s="53">
        <f t="shared" si="7"/>
        <v>2034</v>
      </c>
      <c r="N126" s="3"/>
      <c r="O126" s="3"/>
    </row>
    <row r="127" spans="8:15">
      <c r="H127" s="28">
        <v>49004</v>
      </c>
      <c r="I127" s="32">
        <v>5.8586597959183679</v>
      </c>
      <c r="J127" s="32">
        <v>5.7915000000000001</v>
      </c>
      <c r="K127" s="32">
        <v>5.7463640832416294</v>
      </c>
      <c r="L127" s="32">
        <v>5.5604108239095327</v>
      </c>
      <c r="M127" s="53">
        <f t="shared" si="7"/>
        <v>2034</v>
      </c>
      <c r="N127" s="3"/>
      <c r="O127" s="3"/>
    </row>
    <row r="128" spans="8:15">
      <c r="H128" s="28">
        <v>49035</v>
      </c>
      <c r="I128" s="32">
        <v>5.5394761224489795</v>
      </c>
      <c r="J128" s="32">
        <v>5.4656000000000002</v>
      </c>
      <c r="K128" s="32">
        <v>5.3135864927236787</v>
      </c>
      <c r="L128" s="32">
        <v>5.4137024232633282</v>
      </c>
      <c r="M128" s="53">
        <f t="shared" si="7"/>
        <v>2034</v>
      </c>
      <c r="N128" s="3"/>
      <c r="O128" s="3"/>
    </row>
    <row r="129" spans="8:15">
      <c r="H129" s="28">
        <v>49065</v>
      </c>
      <c r="I129" s="32">
        <v>5.5458026530612248</v>
      </c>
      <c r="J129" s="32">
        <v>5.4713000000000003</v>
      </c>
      <c r="K129" s="32">
        <v>5.1699096768737398</v>
      </c>
      <c r="L129" s="32">
        <v>5.3265659127625211</v>
      </c>
      <c r="M129" s="53">
        <f t="shared" si="7"/>
        <v>2034</v>
      </c>
      <c r="N129" s="3"/>
      <c r="O129" s="3"/>
    </row>
    <row r="130" spans="8:15">
      <c r="H130" s="28">
        <v>49096</v>
      </c>
      <c r="I130" s="32">
        <v>5.5920271428571429</v>
      </c>
      <c r="J130" s="32">
        <v>5.5185000000000004</v>
      </c>
      <c r="K130" s="32">
        <v>5.1835271147135931</v>
      </c>
      <c r="L130" s="32">
        <v>5.3975473344103397</v>
      </c>
      <c r="M130" s="53">
        <f t="shared" si="7"/>
        <v>2034</v>
      </c>
      <c r="N130" s="3"/>
      <c r="O130" s="3"/>
    </row>
    <row r="131" spans="8:15">
      <c r="H131" s="28">
        <v>49126</v>
      </c>
      <c r="I131" s="32">
        <v>5.6576393877551023</v>
      </c>
      <c r="J131" s="32">
        <v>5.5909000000000004</v>
      </c>
      <c r="K131" s="32">
        <v>5.2604527918693016</v>
      </c>
      <c r="L131" s="32">
        <v>5.1494657512116326</v>
      </c>
      <c r="M131" s="53">
        <f t="shared" si="7"/>
        <v>2034</v>
      </c>
      <c r="N131" s="3"/>
      <c r="O131" s="3"/>
    </row>
    <row r="132" spans="8:15">
      <c r="H132" s="28">
        <v>49157</v>
      </c>
      <c r="I132" s="32">
        <v>5.7584557142857147</v>
      </c>
      <c r="J132" s="32">
        <v>5.6939000000000002</v>
      </c>
      <c r="K132" s="32">
        <v>5.5162036904691405</v>
      </c>
      <c r="L132" s="32">
        <v>5.2694172859450736</v>
      </c>
      <c r="M132" s="53">
        <f t="shared" si="7"/>
        <v>2034</v>
      </c>
      <c r="N132" s="3"/>
      <c r="O132" s="3"/>
    </row>
    <row r="133" spans="8:15">
      <c r="H133" s="28">
        <v>49188</v>
      </c>
      <c r="I133" s="32">
        <v>5.8981495918367344</v>
      </c>
      <c r="J133" s="32">
        <v>5.83</v>
      </c>
      <c r="K133" s="32">
        <v>5.5675388617974981</v>
      </c>
      <c r="L133" s="32">
        <v>5.4051200323101787</v>
      </c>
      <c r="M133" s="53">
        <f t="shared" si="7"/>
        <v>2034</v>
      </c>
      <c r="N133" s="3"/>
      <c r="O133" s="3"/>
    </row>
    <row r="134" spans="8:15">
      <c r="H134" s="28">
        <v>49218</v>
      </c>
      <c r="I134" s="32">
        <v>5.9996802040816331</v>
      </c>
      <c r="J134" s="32">
        <v>5.9249999999999998</v>
      </c>
      <c r="K134" s="32">
        <v>5.8231869872815647</v>
      </c>
      <c r="L134" s="32">
        <v>5.6898534733441046</v>
      </c>
      <c r="M134" s="53">
        <f t="shared" si="7"/>
        <v>2034</v>
      </c>
      <c r="N134" s="3"/>
      <c r="O134" s="3"/>
    </row>
    <row r="135" spans="8:15">
      <c r="H135" s="28">
        <v>49249</v>
      </c>
      <c r="I135" s="32">
        <v>6.3967210204081644</v>
      </c>
      <c r="J135" s="32">
        <v>6.3289999999999997</v>
      </c>
      <c r="K135" s="32">
        <v>6.2800134868902786</v>
      </c>
      <c r="L135" s="32">
        <v>5.545063489499193</v>
      </c>
      <c r="M135" s="53">
        <f t="shared" si="7"/>
        <v>2034</v>
      </c>
      <c r="N135" s="3"/>
      <c r="O135" s="3"/>
    </row>
    <row r="136" spans="8:15">
      <c r="H136" s="28">
        <v>49279</v>
      </c>
      <c r="I136" s="32">
        <v>6.5695781632653061</v>
      </c>
      <c r="J136" s="32">
        <v>6.5179999999999998</v>
      </c>
      <c r="K136" s="32">
        <v>6.4668036248067766</v>
      </c>
      <c r="L136" s="32">
        <v>5.2617436187399047</v>
      </c>
      <c r="M136" s="53">
        <f t="shared" si="7"/>
        <v>2034</v>
      </c>
      <c r="N136" s="3"/>
      <c r="O136" s="3"/>
    </row>
    <row r="137" spans="8:15">
      <c r="H137" s="28">
        <v>49310</v>
      </c>
      <c r="I137" s="32">
        <v>7.3207006122448988</v>
      </c>
      <c r="J137" s="32">
        <v>7.2591999999999999</v>
      </c>
      <c r="K137" s="32">
        <v>7.2181778742194433</v>
      </c>
      <c r="L137" s="32">
        <v>6.2775957996768996</v>
      </c>
      <c r="M137" s="53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6.899578163265307</v>
      </c>
      <c r="J138" s="32">
        <v>6.8371000000000004</v>
      </c>
      <c r="K138" s="32">
        <v>6.8048244025824927</v>
      </c>
      <c r="L138" s="32">
        <v>6.2092395799676909</v>
      </c>
      <c r="M138" s="53">
        <f t="shared" si="8"/>
        <v>2035</v>
      </c>
      <c r="N138" s="3"/>
      <c r="O138" s="3"/>
    </row>
    <row r="139" spans="8:15">
      <c r="H139" s="28">
        <v>49369</v>
      </c>
      <c r="I139" s="32">
        <v>5.9789659183673471</v>
      </c>
      <c r="J139" s="32">
        <v>5.9093999999999998</v>
      </c>
      <c r="K139" s="32">
        <v>5.8635768217801525</v>
      </c>
      <c r="L139" s="32">
        <v>5.6794536348949931</v>
      </c>
      <c r="M139" s="53">
        <f t="shared" si="8"/>
        <v>2035</v>
      </c>
      <c r="N139" s="3"/>
      <c r="O139" s="3"/>
    </row>
    <row r="140" spans="8:15">
      <c r="H140" s="28">
        <v>49400</v>
      </c>
      <c r="I140" s="32">
        <v>5.6644761224489804</v>
      </c>
      <c r="J140" s="32">
        <v>5.5880999999999998</v>
      </c>
      <c r="K140" s="32">
        <v>5.4176956590012102</v>
      </c>
      <c r="L140" s="32">
        <v>5.5373898222940241</v>
      </c>
      <c r="M140" s="53">
        <f t="shared" si="8"/>
        <v>2035</v>
      </c>
      <c r="N140" s="3"/>
      <c r="O140" s="3"/>
    </row>
    <row r="141" spans="8:15">
      <c r="H141" s="28">
        <v>49430</v>
      </c>
      <c r="I141" s="32">
        <v>5.6647822448979595</v>
      </c>
      <c r="J141" s="32">
        <v>5.5880000000000001</v>
      </c>
      <c r="K141" s="32">
        <v>5.2779756081085107</v>
      </c>
      <c r="L141" s="32">
        <v>5.4442961227786766</v>
      </c>
      <c r="M141" s="53">
        <f t="shared" si="8"/>
        <v>2035</v>
      </c>
      <c r="N141" s="3"/>
      <c r="O141" s="3"/>
    </row>
    <row r="142" spans="8:15">
      <c r="H142" s="28">
        <v>49461</v>
      </c>
      <c r="I142" s="32">
        <v>5.7084557142857149</v>
      </c>
      <c r="J142" s="32">
        <v>5.6326000000000001</v>
      </c>
      <c r="K142" s="32">
        <v>5.2945734663057689</v>
      </c>
      <c r="L142" s="32">
        <v>5.5127533117932161</v>
      </c>
      <c r="M142" s="53">
        <f t="shared" si="8"/>
        <v>2035</v>
      </c>
      <c r="N142" s="3"/>
      <c r="O142" s="3"/>
    </row>
    <row r="143" spans="8:15">
      <c r="H143" s="28">
        <v>49491</v>
      </c>
      <c r="I143" s="32">
        <v>5.7823332653061232</v>
      </c>
      <c r="J143" s="32">
        <v>5.7130999999999998</v>
      </c>
      <c r="K143" s="32">
        <v>5.3882511613323931</v>
      </c>
      <c r="L143" s="32">
        <v>5.2728502423263333</v>
      </c>
      <c r="M143" s="53">
        <f t="shared" si="8"/>
        <v>2035</v>
      </c>
      <c r="N143" s="3"/>
      <c r="O143" s="3"/>
    </row>
    <row r="144" spans="8:15">
      <c r="H144" s="28">
        <v>49522</v>
      </c>
      <c r="I144" s="32">
        <v>5.8996802040816325</v>
      </c>
      <c r="J144" s="32">
        <v>5.8323</v>
      </c>
      <c r="K144" s="32">
        <v>5.6805379025893492</v>
      </c>
      <c r="L144" s="32">
        <v>5.4091588045234262</v>
      </c>
      <c r="M144" s="53">
        <f t="shared" si="8"/>
        <v>2035</v>
      </c>
      <c r="N144" s="3"/>
      <c r="O144" s="3"/>
    </row>
    <row r="145" spans="8:15">
      <c r="H145" s="28">
        <v>49553</v>
      </c>
      <c r="I145" s="32">
        <v>6.0596802040816335</v>
      </c>
      <c r="J145" s="32">
        <v>5.9882</v>
      </c>
      <c r="K145" s="32">
        <v>5.7334146706542963</v>
      </c>
      <c r="L145" s="32">
        <v>5.5649544426494364</v>
      </c>
      <c r="M145" s="53">
        <f t="shared" si="8"/>
        <v>2035</v>
      </c>
      <c r="N145" s="3"/>
      <c r="O145" s="3"/>
    </row>
    <row r="146" spans="8:15">
      <c r="H146" s="28">
        <v>49583</v>
      </c>
      <c r="I146" s="32">
        <v>6.214986326530612</v>
      </c>
      <c r="J146" s="32">
        <v>6.1360000000000001</v>
      </c>
      <c r="K146" s="32">
        <v>5.994252838484873</v>
      </c>
      <c r="L146" s="32">
        <v>5.9028987075928931</v>
      </c>
      <c r="M146" s="53">
        <f t="shared" si="8"/>
        <v>2035</v>
      </c>
      <c r="N146" s="3"/>
      <c r="O146" s="3"/>
    </row>
    <row r="147" spans="8:15">
      <c r="H147" s="28">
        <v>49614</v>
      </c>
      <c r="I147" s="32">
        <v>6.5997822448979599</v>
      </c>
      <c r="J147" s="32">
        <v>6.5278999999999998</v>
      </c>
      <c r="K147" s="32">
        <v>6.4992285428329959</v>
      </c>
      <c r="L147" s="32">
        <v>5.7459924071082398</v>
      </c>
      <c r="M147" s="53">
        <f t="shared" si="8"/>
        <v>2035</v>
      </c>
      <c r="N147" s="3"/>
      <c r="O147" s="3"/>
    </row>
    <row r="148" spans="8:15">
      <c r="H148" s="28">
        <v>49644</v>
      </c>
      <c r="I148" s="32">
        <v>6.852435306122449</v>
      </c>
      <c r="J148" s="32">
        <v>6.7952000000000004</v>
      </c>
      <c r="K148" s="32">
        <v>6.7221948175014123</v>
      </c>
      <c r="L148" s="32">
        <v>5.5416305331179334</v>
      </c>
      <c r="M148" s="53">
        <f t="shared" si="8"/>
        <v>2035</v>
      </c>
      <c r="N148" s="3"/>
      <c r="O148" s="3"/>
    </row>
    <row r="149" spans="8:15">
      <c r="H149" s="28">
        <v>49675</v>
      </c>
      <c r="I149" s="32">
        <v>7.3722312244897958</v>
      </c>
      <c r="J149" s="32">
        <v>7.3098000000000001</v>
      </c>
      <c r="K149" s="32">
        <v>7.2578996834655101</v>
      </c>
      <c r="L149" s="32">
        <v>6.3285852988691449</v>
      </c>
      <c r="M149" s="53">
        <f t="shared" si="7"/>
        <v>2036</v>
      </c>
      <c r="N149" s="3"/>
      <c r="O149" s="3"/>
    </row>
    <row r="150" spans="8:15">
      <c r="H150" s="28">
        <v>49706</v>
      </c>
      <c r="I150" s="32">
        <v>6.7965169387755111</v>
      </c>
      <c r="J150" s="32">
        <v>6.7362000000000002</v>
      </c>
      <c r="K150" s="32">
        <v>6.6889991011068979</v>
      </c>
      <c r="L150" s="32">
        <v>6.1072605815831995</v>
      </c>
      <c r="M150" s="53">
        <f t="shared" si="7"/>
        <v>2036</v>
      </c>
      <c r="N150" s="3"/>
      <c r="O150" s="3"/>
    </row>
    <row r="151" spans="8:15">
      <c r="H151" s="28">
        <v>49735</v>
      </c>
      <c r="I151" s="32">
        <v>6.1877414285714289</v>
      </c>
      <c r="J151" s="32">
        <v>6.1139999999999999</v>
      </c>
      <c r="K151" s="32">
        <v>6.0632135991682121</v>
      </c>
      <c r="L151" s="32">
        <v>5.8860368336025859</v>
      </c>
      <c r="M151" s="53">
        <f t="shared" si="7"/>
        <v>2036</v>
      </c>
      <c r="N151" s="3"/>
      <c r="O151" s="3"/>
    </row>
    <row r="152" spans="8:15">
      <c r="H152" s="28">
        <v>49766</v>
      </c>
      <c r="I152" s="32">
        <v>5.8586597959183679</v>
      </c>
      <c r="J152" s="32">
        <v>5.7782999999999998</v>
      </c>
      <c r="K152" s="32">
        <v>5.6009915109814443</v>
      </c>
      <c r="L152" s="32">
        <v>5.7295344103392578</v>
      </c>
      <c r="M152" s="53">
        <f t="shared" si="7"/>
        <v>2036</v>
      </c>
      <c r="N152" s="3"/>
      <c r="O152" s="3"/>
    </row>
    <row r="153" spans="8:15">
      <c r="H153" s="28">
        <v>49796</v>
      </c>
      <c r="I153" s="32">
        <v>5.8460067346938773</v>
      </c>
      <c r="J153" s="32">
        <v>5.7655000000000003</v>
      </c>
      <c r="K153" s="32">
        <v>5.4711890657607896</v>
      </c>
      <c r="L153" s="32">
        <v>5.6236176090468506</v>
      </c>
      <c r="M153" s="53">
        <f t="shared" si="7"/>
        <v>2036</v>
      </c>
      <c r="N153" s="3"/>
      <c r="O153" s="3"/>
    </row>
    <row r="154" spans="8:15">
      <c r="H154" s="28">
        <v>49827</v>
      </c>
      <c r="I154" s="32">
        <v>5.8858026530612255</v>
      </c>
      <c r="J154" s="32">
        <v>5.8064</v>
      </c>
      <c r="K154" s="32">
        <v>5.4816719235695839</v>
      </c>
      <c r="L154" s="32">
        <v>5.6882379644588053</v>
      </c>
      <c r="M154" s="53">
        <f t="shared" si="7"/>
        <v>2036</v>
      </c>
      <c r="N154" s="3"/>
      <c r="O154" s="3"/>
    </row>
    <row r="155" spans="8:15">
      <c r="H155" s="28">
        <v>49857</v>
      </c>
      <c r="I155" s="32">
        <v>5.9490679591836733</v>
      </c>
      <c r="J155" s="32">
        <v>5.8764000000000003</v>
      </c>
      <c r="K155" s="32">
        <v>5.5512493229475606</v>
      </c>
      <c r="L155" s="32">
        <v>5.4378340872374809</v>
      </c>
      <c r="M155" s="53">
        <f t="shared" si="7"/>
        <v>2036</v>
      </c>
      <c r="N155" s="3"/>
      <c r="O155" s="3"/>
    </row>
    <row r="156" spans="8:15">
      <c r="H156" s="28">
        <v>49888</v>
      </c>
      <c r="I156" s="32">
        <v>6.1071291836734698</v>
      </c>
      <c r="J156" s="32">
        <v>6.0355999999999996</v>
      </c>
      <c r="K156" s="32">
        <v>5.8861869072501003</v>
      </c>
      <c r="L156" s="32">
        <v>5.6144294022617132</v>
      </c>
      <c r="M156" s="53">
        <f t="shared" si="7"/>
        <v>2036</v>
      </c>
      <c r="N156" s="3"/>
      <c r="O156" s="3"/>
    </row>
    <row r="157" spans="8:15">
      <c r="H157" s="28">
        <v>49919</v>
      </c>
      <c r="I157" s="32">
        <v>6.2839659183673477</v>
      </c>
      <c r="J157" s="32">
        <v>6.2080000000000002</v>
      </c>
      <c r="K157" s="32">
        <v>5.9472341380189588</v>
      </c>
      <c r="L157" s="32">
        <v>5.786884975767367</v>
      </c>
      <c r="M157" s="53">
        <f t="shared" si="7"/>
        <v>2036</v>
      </c>
      <c r="N157" s="3"/>
      <c r="O157" s="3"/>
    </row>
    <row r="158" spans="8:15">
      <c r="H158" s="28">
        <v>49949</v>
      </c>
      <c r="I158" s="32">
        <v>6.4315169387755109</v>
      </c>
      <c r="J158" s="32">
        <v>6.3483000000000001</v>
      </c>
      <c r="K158" s="32">
        <v>6.1742085642025009</v>
      </c>
      <c r="L158" s="32">
        <v>6.1171555735056558</v>
      </c>
      <c r="M158" s="53">
        <f t="shared" si="7"/>
        <v>2036</v>
      </c>
      <c r="N158" s="3"/>
      <c r="O158" s="3"/>
    </row>
    <row r="159" spans="8:15">
      <c r="H159" s="28">
        <v>49980</v>
      </c>
      <c r="I159" s="32">
        <v>6.8229455102040824</v>
      </c>
      <c r="J159" s="32">
        <v>6.7466999999999997</v>
      </c>
      <c r="K159" s="32">
        <v>6.7212184729015725</v>
      </c>
      <c r="L159" s="32">
        <v>5.966812277867529</v>
      </c>
      <c r="M159" s="53">
        <f t="shared" si="7"/>
        <v>2036</v>
      </c>
      <c r="N159" s="3"/>
      <c r="O159" s="3"/>
    </row>
    <row r="160" spans="8:15">
      <c r="H160" s="28">
        <v>50010</v>
      </c>
      <c r="I160" s="32">
        <v>7.0897822448979602</v>
      </c>
      <c r="J160" s="32">
        <v>7.0278999999999998</v>
      </c>
      <c r="K160" s="32">
        <v>6.9555925634207343</v>
      </c>
      <c r="L160" s="32">
        <v>5.7764851373182564</v>
      </c>
      <c r="M160" s="53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7.6498842857142861</v>
      </c>
      <c r="J161" s="32">
        <v>7.5819000000000001</v>
      </c>
      <c r="K161" s="32">
        <v>7.519457263106494</v>
      </c>
      <c r="L161" s="32">
        <v>6.6033227786752837</v>
      </c>
      <c r="M161" s="53">
        <f t="shared" si="9"/>
        <v>2037</v>
      </c>
      <c r="N161" s="3"/>
      <c r="O161" s="3"/>
    </row>
    <row r="162" spans="8:15">
      <c r="H162" s="28">
        <v>50072</v>
      </c>
      <c r="I162" s="32">
        <v>7.405190408163266</v>
      </c>
      <c r="J162" s="32">
        <v>7.3327</v>
      </c>
      <c r="K162" s="32">
        <v>7.2608801038229123</v>
      </c>
      <c r="L162" s="32">
        <v>6.7095424878836845</v>
      </c>
      <c r="M162" s="53">
        <f t="shared" si="9"/>
        <v>2037</v>
      </c>
      <c r="N162" s="3"/>
      <c r="O162" s="3"/>
    </row>
    <row r="163" spans="8:15">
      <c r="H163" s="28">
        <v>50100</v>
      </c>
      <c r="I163" s="32">
        <v>6.3576393877551025</v>
      </c>
      <c r="J163" s="32">
        <v>6.2805</v>
      </c>
      <c r="K163" s="32">
        <v>6.2203023066264613</v>
      </c>
      <c r="L163" s="32">
        <v>6.0541507269789996</v>
      </c>
      <c r="M163" s="53">
        <f t="shared" si="9"/>
        <v>2037</v>
      </c>
      <c r="N163" s="3"/>
      <c r="O163" s="3"/>
    </row>
    <row r="164" spans="8:15">
      <c r="H164" s="28">
        <v>50131</v>
      </c>
      <c r="I164" s="32">
        <v>6.0143740816326527</v>
      </c>
      <c r="J164" s="32">
        <v>5.9309000000000003</v>
      </c>
      <c r="K164" s="32">
        <v>5.7470321084941505</v>
      </c>
      <c r="L164" s="32">
        <v>5.8836135702746377</v>
      </c>
      <c r="M164" s="53">
        <f t="shared" si="9"/>
        <v>2037</v>
      </c>
      <c r="N164" s="3"/>
      <c r="O164" s="3"/>
    </row>
    <row r="165" spans="8:15">
      <c r="H165" s="28">
        <v>50161</v>
      </c>
      <c r="I165" s="32">
        <v>6.0102924489795919</v>
      </c>
      <c r="J165" s="32">
        <v>5.9265999999999996</v>
      </c>
      <c r="K165" s="32">
        <v>5.6315151263658727</v>
      </c>
      <c r="L165" s="32">
        <v>5.7861781906300491</v>
      </c>
      <c r="M165" s="53">
        <f t="shared" si="9"/>
        <v>2037</v>
      </c>
      <c r="N165" s="3"/>
      <c r="O165" s="3"/>
    </row>
    <row r="166" spans="8:15">
      <c r="H166" s="28">
        <v>50192</v>
      </c>
      <c r="I166" s="32">
        <v>6.0471291836734702</v>
      </c>
      <c r="J166" s="32">
        <v>5.9645000000000001</v>
      </c>
      <c r="K166" s="32">
        <v>5.620929495441306</v>
      </c>
      <c r="L166" s="32">
        <v>5.8478704361874003</v>
      </c>
      <c r="M166" s="53">
        <f t="shared" si="9"/>
        <v>2037</v>
      </c>
      <c r="N166" s="3"/>
      <c r="O166" s="3"/>
    </row>
    <row r="167" spans="8:15">
      <c r="H167" s="28">
        <v>50222</v>
      </c>
      <c r="I167" s="32">
        <v>6.1185577551020414</v>
      </c>
      <c r="J167" s="32">
        <v>6.0426000000000002</v>
      </c>
      <c r="K167" s="32">
        <v>5.7071561395744244</v>
      </c>
      <c r="L167" s="32">
        <v>5.6055441033925693</v>
      </c>
      <c r="M167" s="53">
        <f t="shared" si="9"/>
        <v>2037</v>
      </c>
      <c r="N167" s="3"/>
      <c r="O167" s="3"/>
    </row>
    <row r="168" spans="8:15">
      <c r="H168" s="28">
        <v>50253</v>
      </c>
      <c r="I168" s="32">
        <v>6.2498842857142858</v>
      </c>
      <c r="J168" s="32">
        <v>6.1755000000000004</v>
      </c>
      <c r="K168" s="32">
        <v>6.0302748155631303</v>
      </c>
      <c r="L168" s="32">
        <v>5.7556854604200334</v>
      </c>
      <c r="M168" s="53">
        <f t="shared" si="9"/>
        <v>2037</v>
      </c>
      <c r="N168" s="3"/>
      <c r="O168" s="3"/>
    </row>
    <row r="169" spans="8:15">
      <c r="H169" s="28">
        <v>50284</v>
      </c>
      <c r="I169" s="32">
        <v>6.4675373469387765</v>
      </c>
      <c r="J169" s="32">
        <v>6.3879000000000001</v>
      </c>
      <c r="K169" s="32">
        <v>6.0927608699528033</v>
      </c>
      <c r="L169" s="32">
        <v>5.9685287560581592</v>
      </c>
      <c r="M169" s="53">
        <f t="shared" si="9"/>
        <v>2037</v>
      </c>
      <c r="N169" s="3"/>
      <c r="O169" s="3"/>
    </row>
    <row r="170" spans="8:15">
      <c r="H170" s="28">
        <v>50314</v>
      </c>
      <c r="I170" s="32">
        <v>6.5733536734693887</v>
      </c>
      <c r="J170" s="32">
        <v>6.4873000000000003</v>
      </c>
      <c r="K170" s="32">
        <v>6.290136638793868</v>
      </c>
      <c r="L170" s="32">
        <v>6.2575029079159945</v>
      </c>
      <c r="M170" s="53">
        <f t="shared" si="9"/>
        <v>2037</v>
      </c>
      <c r="N170" s="3"/>
      <c r="O170" s="3"/>
    </row>
    <row r="171" spans="8:15">
      <c r="H171" s="28">
        <v>50345</v>
      </c>
      <c r="I171" s="32">
        <v>6.962333265306123</v>
      </c>
      <c r="J171" s="32">
        <v>6.8832000000000004</v>
      </c>
      <c r="K171" s="32">
        <v>6.8432101613235172</v>
      </c>
      <c r="L171" s="32">
        <v>6.1047363489499196</v>
      </c>
      <c r="M171" s="53">
        <f t="shared" si="9"/>
        <v>2037</v>
      </c>
      <c r="N171" s="3"/>
      <c r="O171" s="3"/>
    </row>
    <row r="172" spans="8:15">
      <c r="H172" s="28">
        <v>50375</v>
      </c>
      <c r="I172" s="32">
        <v>7.2257006122448981</v>
      </c>
      <c r="J172" s="32">
        <v>7.1611000000000002</v>
      </c>
      <c r="K172" s="32">
        <v>7.0816951764735778</v>
      </c>
      <c r="L172" s="32">
        <v>5.9109762520193874</v>
      </c>
      <c r="M172" s="53">
        <f t="shared" si="9"/>
        <v>2037</v>
      </c>
      <c r="N172" s="3"/>
      <c r="O172" s="3"/>
    </row>
    <row r="173" spans="8:15">
      <c r="H173" s="28">
        <v>50406</v>
      </c>
      <c r="I173" s="32">
        <v>8.0469251020408166</v>
      </c>
      <c r="J173" s="32">
        <v>7.9709000000000003</v>
      </c>
      <c r="K173" s="32">
        <v>7.8723801426692219</v>
      </c>
      <c r="L173" s="32">
        <v>6.9961943457189024</v>
      </c>
      <c r="M173" s="53">
        <f t="shared" si="9"/>
        <v>2038</v>
      </c>
      <c r="N173" s="3"/>
      <c r="O173" s="3"/>
    </row>
    <row r="174" spans="8:15">
      <c r="H174" s="28">
        <v>50437</v>
      </c>
      <c r="I174" s="32">
        <v>7.669986326530613</v>
      </c>
      <c r="J174" s="32">
        <v>7.5922000000000001</v>
      </c>
      <c r="K174" s="32">
        <v>7.4902696982271078</v>
      </c>
      <c r="L174" s="32">
        <v>6.9715578352180945</v>
      </c>
      <c r="M174" s="53">
        <f t="shared" si="9"/>
        <v>2038</v>
      </c>
      <c r="N174" s="3"/>
      <c r="O174" s="3"/>
    </row>
    <row r="175" spans="8:15">
      <c r="H175" s="28">
        <v>50465</v>
      </c>
      <c r="I175" s="32">
        <v>6.5915169387755101</v>
      </c>
      <c r="J175" s="32">
        <v>6.5098000000000003</v>
      </c>
      <c r="K175" s="32">
        <v>6.4347897992436458</v>
      </c>
      <c r="L175" s="32">
        <v>6.2855723747980621</v>
      </c>
      <c r="M175" s="53">
        <f t="shared" si="9"/>
        <v>2038</v>
      </c>
      <c r="N175" s="3"/>
      <c r="O175" s="3"/>
    </row>
    <row r="176" spans="8:15">
      <c r="H176" s="28">
        <v>50496</v>
      </c>
      <c r="I176" s="32">
        <v>6.2489659183673476</v>
      </c>
      <c r="J176" s="32">
        <v>6.1608999999999998</v>
      </c>
      <c r="K176" s="32">
        <v>5.9438426251984673</v>
      </c>
      <c r="L176" s="32">
        <v>6.115742003231019</v>
      </c>
      <c r="M176" s="53">
        <f t="shared" si="9"/>
        <v>2038</v>
      </c>
      <c r="N176" s="3"/>
      <c r="O176" s="3"/>
    </row>
    <row r="177" spans="8:15">
      <c r="H177" s="28">
        <v>50526</v>
      </c>
      <c r="I177" s="32">
        <v>6.2422312244897959</v>
      </c>
      <c r="J177" s="32">
        <v>6.1538000000000004</v>
      </c>
      <c r="K177" s="32">
        <v>5.8434332910887452</v>
      </c>
      <c r="L177" s="32">
        <v>6.0156814216478205</v>
      </c>
      <c r="M177" s="53">
        <f t="shared" si="9"/>
        <v>2038</v>
      </c>
      <c r="N177" s="3"/>
      <c r="O177" s="3"/>
    </row>
    <row r="178" spans="8:15">
      <c r="H178" s="28">
        <v>50557</v>
      </c>
      <c r="I178" s="32">
        <v>6.2804965306122451</v>
      </c>
      <c r="J178" s="32">
        <v>6.1932</v>
      </c>
      <c r="K178" s="32">
        <v>5.8433819045308599</v>
      </c>
      <c r="L178" s="32">
        <v>6.0787872374798075</v>
      </c>
      <c r="M178" s="53">
        <f t="shared" si="9"/>
        <v>2038</v>
      </c>
      <c r="N178" s="3"/>
      <c r="O178" s="3"/>
    </row>
    <row r="179" spans="8:15">
      <c r="H179" s="28">
        <v>50587</v>
      </c>
      <c r="I179" s="32">
        <v>6.3641700000000005</v>
      </c>
      <c r="J179" s="32">
        <v>6.2832999999999997</v>
      </c>
      <c r="K179" s="32">
        <v>5.9320237168846308</v>
      </c>
      <c r="L179" s="32">
        <v>5.8485772213247182</v>
      </c>
      <c r="M179" s="53">
        <f t="shared" si="9"/>
        <v>2038</v>
      </c>
      <c r="N179" s="3"/>
      <c r="O179" s="3"/>
    </row>
    <row r="180" spans="8:15">
      <c r="H180" s="28">
        <v>50618</v>
      </c>
      <c r="I180" s="32">
        <v>6.5116189795918373</v>
      </c>
      <c r="J180" s="32">
        <v>6.4320000000000004</v>
      </c>
      <c r="K180" s="32">
        <v>6.2824800416688173</v>
      </c>
      <c r="L180" s="32">
        <v>6.0146717285945082</v>
      </c>
      <c r="M180" s="53">
        <f t="shared" si="9"/>
        <v>2038</v>
      </c>
      <c r="N180" s="3"/>
      <c r="O180" s="3"/>
    </row>
    <row r="181" spans="8:15">
      <c r="H181" s="28">
        <v>50649</v>
      </c>
      <c r="I181" s="32">
        <v>6.7772312244897961</v>
      </c>
      <c r="J181" s="32">
        <v>6.6913999999999998</v>
      </c>
      <c r="K181" s="32">
        <v>6.3564252984671237</v>
      </c>
      <c r="L181" s="32">
        <v>6.2749705977382888</v>
      </c>
      <c r="M181" s="53">
        <f t="shared" si="9"/>
        <v>2038</v>
      </c>
      <c r="N181" s="3"/>
      <c r="O181" s="3"/>
    </row>
    <row r="182" spans="8:15">
      <c r="H182" s="28">
        <v>50679</v>
      </c>
      <c r="I182" s="32">
        <v>6.882945510204082</v>
      </c>
      <c r="J182" s="32">
        <v>6.7907000000000002</v>
      </c>
      <c r="K182" s="32">
        <v>6.5376143015740213</v>
      </c>
      <c r="L182" s="32">
        <v>6.5638437802907923</v>
      </c>
      <c r="M182" s="53">
        <f t="shared" si="9"/>
        <v>2038</v>
      </c>
      <c r="N182" s="3"/>
      <c r="O182" s="3"/>
    </row>
    <row r="183" spans="8:15">
      <c r="H183" s="28">
        <v>50710</v>
      </c>
      <c r="I183" s="32">
        <v>7.2883536734693877</v>
      </c>
      <c r="J183" s="32">
        <v>7.2027000000000001</v>
      </c>
      <c r="K183" s="32">
        <v>7.1431021131476395</v>
      </c>
      <c r="L183" s="32">
        <v>6.4273332794830385</v>
      </c>
      <c r="M183" s="53">
        <f t="shared" si="9"/>
        <v>2038</v>
      </c>
      <c r="N183" s="3"/>
      <c r="O183" s="3"/>
    </row>
    <row r="184" spans="8:15">
      <c r="H184" s="28">
        <v>50740</v>
      </c>
      <c r="I184" s="32">
        <v>7.581414897959184</v>
      </c>
      <c r="J184" s="32">
        <v>7.5096999999999996</v>
      </c>
      <c r="K184" s="32">
        <v>7.4195104080177492</v>
      </c>
      <c r="L184" s="32">
        <v>6.2629552504038788</v>
      </c>
      <c r="M184" s="53">
        <f t="shared" si="9"/>
        <v>2038</v>
      </c>
      <c r="N184" s="3"/>
      <c r="O184" s="3"/>
    </row>
    <row r="185" spans="8:15">
      <c r="H185" s="28">
        <v>50771</v>
      </c>
      <c r="I185" s="32">
        <v>8.0935577551020419</v>
      </c>
      <c r="J185" s="32">
        <v>8.0166000000000004</v>
      </c>
      <c r="K185" s="32">
        <v>7.8631819488075836</v>
      </c>
      <c r="L185" s="32">
        <v>7.0423373182552513</v>
      </c>
      <c r="M185" s="53">
        <f t="shared" si="9"/>
        <v>2039</v>
      </c>
      <c r="N185" s="3"/>
      <c r="O185" s="3"/>
    </row>
    <row r="186" spans="8:15">
      <c r="H186" s="28">
        <v>50802</v>
      </c>
      <c r="I186" s="32">
        <v>7.9013128571428579</v>
      </c>
      <c r="J186" s="32">
        <v>7.8189000000000002</v>
      </c>
      <c r="K186" s="32">
        <v>7.6726405921653882</v>
      </c>
      <c r="L186" s="32">
        <v>7.2004552504038788</v>
      </c>
      <c r="M186" s="53">
        <f t="shared" si="9"/>
        <v>2039</v>
      </c>
      <c r="N186" s="3"/>
      <c r="O186" s="3"/>
    </row>
    <row r="187" spans="8:15">
      <c r="H187" s="28">
        <v>50830</v>
      </c>
      <c r="I187" s="32">
        <v>6.8909046938775509</v>
      </c>
      <c r="J187" s="32">
        <v>6.8032000000000004</v>
      </c>
      <c r="K187" s="32">
        <v>6.690643470959257</v>
      </c>
      <c r="L187" s="32">
        <v>6.5818163166397428</v>
      </c>
      <c r="M187" s="53">
        <f t="shared" si="9"/>
        <v>2039</v>
      </c>
      <c r="N187" s="3"/>
      <c r="O187" s="3"/>
    </row>
    <row r="188" spans="8:15">
      <c r="H188" s="28">
        <v>50861</v>
      </c>
      <c r="I188" s="32">
        <v>6.5302924489795924</v>
      </c>
      <c r="J188" s="32">
        <v>6.4366000000000003</v>
      </c>
      <c r="K188" s="32">
        <v>6.2140331465643408</v>
      </c>
      <c r="L188" s="32">
        <v>6.3941143780290801</v>
      </c>
      <c r="M188" s="53">
        <f t="shared" si="9"/>
        <v>2039</v>
      </c>
      <c r="N188" s="3"/>
      <c r="O188" s="3"/>
    </row>
    <row r="189" spans="8:15">
      <c r="H189" s="28">
        <v>50891</v>
      </c>
      <c r="I189" s="32">
        <v>6.5385577551020413</v>
      </c>
      <c r="J189" s="32">
        <v>6.4443000000000001</v>
      </c>
      <c r="K189" s="32">
        <v>6.1138293586861625</v>
      </c>
      <c r="L189" s="32">
        <v>6.3088962843295651</v>
      </c>
      <c r="M189" s="53">
        <f t="shared" si="9"/>
        <v>2039</v>
      </c>
      <c r="N189" s="3"/>
      <c r="O189" s="3"/>
    </row>
    <row r="190" spans="8:15">
      <c r="H190" s="28">
        <v>50922</v>
      </c>
      <c r="I190" s="32">
        <v>6.5990679591836736</v>
      </c>
      <c r="J190" s="32">
        <v>6.5053999999999998</v>
      </c>
      <c r="K190" s="32">
        <v>6.1193277203799914</v>
      </c>
      <c r="L190" s="32">
        <v>6.3940134087237492</v>
      </c>
      <c r="M190" s="53">
        <f t="shared" si="9"/>
        <v>2039</v>
      </c>
      <c r="N190" s="3"/>
      <c r="O190" s="3"/>
    </row>
    <row r="191" spans="8:15">
      <c r="H191" s="28">
        <v>50952</v>
      </c>
      <c r="I191" s="32">
        <v>6.6659046938775512</v>
      </c>
      <c r="J191" s="32">
        <v>6.5789999999999997</v>
      </c>
      <c r="K191" s="32">
        <v>6.198206086735377</v>
      </c>
      <c r="L191" s="32">
        <v>6.1471434571890162</v>
      </c>
      <c r="M191" s="53">
        <f t="shared" si="9"/>
        <v>2039</v>
      </c>
      <c r="N191" s="3"/>
      <c r="O191" s="3"/>
    </row>
    <row r="192" spans="8:15">
      <c r="H192" s="28">
        <v>50983</v>
      </c>
      <c r="I192" s="32">
        <v>6.7986597959183674</v>
      </c>
      <c r="J192" s="32">
        <v>6.7131999999999996</v>
      </c>
      <c r="K192" s="32">
        <v>6.539104511752722</v>
      </c>
      <c r="L192" s="32">
        <v>6.2986983844911153</v>
      </c>
      <c r="M192" s="53">
        <f t="shared" si="9"/>
        <v>2039</v>
      </c>
      <c r="N192" s="3"/>
      <c r="O192" s="3"/>
    </row>
    <row r="193" spans="8:15">
      <c r="H193" s="28">
        <v>51014</v>
      </c>
      <c r="I193" s="32">
        <v>7.0770271428571432</v>
      </c>
      <c r="J193" s="32">
        <v>6.9851999999999999</v>
      </c>
      <c r="K193" s="32">
        <v>6.6185995168027425</v>
      </c>
      <c r="L193" s="32">
        <v>6.5716184168012939</v>
      </c>
      <c r="M193" s="53">
        <f t="shared" si="9"/>
        <v>2039</v>
      </c>
      <c r="N193" s="3"/>
      <c r="O193" s="3"/>
    </row>
    <row r="194" spans="8:15">
      <c r="H194" s="28">
        <v>51044</v>
      </c>
      <c r="I194" s="32">
        <v>7.1607006122448986</v>
      </c>
      <c r="J194" s="32">
        <v>7.0628000000000002</v>
      </c>
      <c r="K194" s="32">
        <v>6.7994288140044361</v>
      </c>
      <c r="L194" s="32">
        <v>6.8386822294022629</v>
      </c>
      <c r="M194" s="53">
        <f t="shared" si="9"/>
        <v>2039</v>
      </c>
      <c r="N194" s="3"/>
      <c r="O194" s="3"/>
    </row>
    <row r="195" spans="8:15">
      <c r="H195" s="28">
        <v>51075</v>
      </c>
      <c r="I195" s="32">
        <v>7.6160067346938778</v>
      </c>
      <c r="J195" s="32">
        <v>7.5237999999999996</v>
      </c>
      <c r="K195" s="32">
        <v>7.4245462906906008</v>
      </c>
      <c r="L195" s="32">
        <v>6.7515457189014549</v>
      </c>
      <c r="M195" s="53">
        <f t="shared" si="9"/>
        <v>2039</v>
      </c>
      <c r="N195" s="3"/>
      <c r="O195" s="3"/>
    </row>
    <row r="196" spans="8:15">
      <c r="H196" s="28">
        <v>51105</v>
      </c>
      <c r="I196" s="32">
        <v>7.9147822448979595</v>
      </c>
      <c r="J196" s="32">
        <v>7.8362999999999996</v>
      </c>
      <c r="K196" s="32">
        <v>7.6854358450790636</v>
      </c>
      <c r="L196" s="32">
        <v>6.5928219709208413</v>
      </c>
      <c r="M196" s="53">
        <f t="shared" si="9"/>
        <v>2039</v>
      </c>
      <c r="N196" s="3"/>
      <c r="O196" s="3"/>
    </row>
    <row r="197" spans="8:15">
      <c r="H197" s="28">
        <v>51136</v>
      </c>
      <c r="I197" s="32">
        <v>8.3771291836734711</v>
      </c>
      <c r="J197" s="32">
        <v>8.2944999999999993</v>
      </c>
      <c r="K197" s="32">
        <v>8.0939589802747083</v>
      </c>
      <c r="L197" s="32">
        <v>7.3229310177705988</v>
      </c>
      <c r="M197" s="53">
        <f t="shared" si="9"/>
        <v>2040</v>
      </c>
      <c r="N197" s="3"/>
      <c r="O197" s="3"/>
    </row>
    <row r="198" spans="8:15">
      <c r="H198" s="28">
        <v>51167</v>
      </c>
      <c r="I198" s="32">
        <v>7.8607006122448979</v>
      </c>
      <c r="J198" s="32">
        <v>7.7790999999999997</v>
      </c>
      <c r="K198" s="32">
        <v>7.5376994911561113</v>
      </c>
      <c r="L198" s="32">
        <v>7.1602694668820686</v>
      </c>
      <c r="M198" s="53">
        <f t="shared" si="9"/>
        <v>2040</v>
      </c>
      <c r="N198" s="3"/>
      <c r="O198" s="3"/>
    </row>
    <row r="199" spans="8:15">
      <c r="H199" s="28">
        <v>51196</v>
      </c>
      <c r="I199" s="32">
        <v>7.26386387755102</v>
      </c>
      <c r="J199" s="32">
        <v>7.1685999999999996</v>
      </c>
      <c r="K199" s="32">
        <v>6.9779457161012504</v>
      </c>
      <c r="L199" s="32">
        <v>6.9508591276252032</v>
      </c>
      <c r="M199" s="53">
        <f t="shared" si="9"/>
        <v>2040</v>
      </c>
      <c r="N199" s="3"/>
      <c r="O199" s="3"/>
    </row>
    <row r="200" spans="8:15">
      <c r="H200" s="28">
        <v>51227</v>
      </c>
      <c r="I200" s="32">
        <v>6.8394761224489802</v>
      </c>
      <c r="J200" s="32">
        <v>6.7394999999999996</v>
      </c>
      <c r="K200" s="32">
        <v>6.4794961046046797</v>
      </c>
      <c r="L200" s="32">
        <v>6.7000513731825535</v>
      </c>
      <c r="M200" s="53">
        <f t="shared" si="9"/>
        <v>2040</v>
      </c>
      <c r="N200" s="3"/>
      <c r="O200" s="3"/>
    </row>
    <row r="201" spans="8:15">
      <c r="H201" s="28">
        <v>51257</v>
      </c>
      <c r="I201" s="32">
        <v>6.8482516326530618</v>
      </c>
      <c r="J201" s="32">
        <v>6.7477999999999998</v>
      </c>
      <c r="K201" s="32">
        <v>6.4041634107434451</v>
      </c>
      <c r="L201" s="32">
        <v>6.6153381260096937</v>
      </c>
      <c r="M201" s="53">
        <f t="shared" si="9"/>
        <v>2040</v>
      </c>
      <c r="N201" s="3"/>
      <c r="O201" s="3"/>
    </row>
    <row r="202" spans="8:15">
      <c r="H202" s="28">
        <v>51288</v>
      </c>
      <c r="I202" s="32">
        <v>6.922639387755102</v>
      </c>
      <c r="J202" s="32">
        <v>6.8224999999999998</v>
      </c>
      <c r="K202" s="32">
        <v>6.4265165634239612</v>
      </c>
      <c r="L202" s="32">
        <v>6.7141870759289182</v>
      </c>
      <c r="M202" s="53">
        <f t="shared" si="9"/>
        <v>2040</v>
      </c>
      <c r="N202" s="3"/>
      <c r="O202" s="3"/>
    </row>
    <row r="203" spans="8:15">
      <c r="H203" s="28">
        <v>51318</v>
      </c>
      <c r="I203" s="32">
        <v>6.9839659183673479</v>
      </c>
      <c r="J203" s="32">
        <v>6.8906999999999998</v>
      </c>
      <c r="K203" s="32">
        <v>6.4796502642783382</v>
      </c>
      <c r="L203" s="32">
        <v>6.4618647819063009</v>
      </c>
      <c r="M203" s="53">
        <f t="shared" si="9"/>
        <v>2040</v>
      </c>
      <c r="N203" s="3"/>
      <c r="O203" s="3"/>
    </row>
    <row r="204" spans="8:15">
      <c r="H204" s="28">
        <v>51349</v>
      </c>
      <c r="I204" s="32">
        <v>7.0847822448979594</v>
      </c>
      <c r="J204" s="32">
        <v>6.9936999999999996</v>
      </c>
      <c r="K204" s="32">
        <v>6.7910014185110921</v>
      </c>
      <c r="L204" s="32">
        <v>6.5818163166397428</v>
      </c>
      <c r="M204" s="53">
        <f t="shared" si="9"/>
        <v>2040</v>
      </c>
      <c r="N204" s="3"/>
      <c r="O204" s="3"/>
    </row>
    <row r="205" spans="8:15">
      <c r="H205" s="28">
        <v>51380</v>
      </c>
      <c r="I205" s="32">
        <v>7.3617210204081633</v>
      </c>
      <c r="J205" s="32">
        <v>7.2641999999999998</v>
      </c>
      <c r="K205" s="32">
        <v>6.8641758769411041</v>
      </c>
      <c r="L205" s="32">
        <v>6.8533227786752837</v>
      </c>
      <c r="M205" s="53">
        <f t="shared" si="9"/>
        <v>2040</v>
      </c>
      <c r="N205" s="3"/>
      <c r="O205" s="3"/>
    </row>
    <row r="206" spans="8:15">
      <c r="H206" s="28">
        <v>51410</v>
      </c>
      <c r="I206" s="32">
        <v>7.4479455102040824</v>
      </c>
      <c r="J206" s="32">
        <v>7.3442999999999996</v>
      </c>
      <c r="K206" s="32">
        <v>7.0394554258910844</v>
      </c>
      <c r="L206" s="32">
        <v>7.1229108239095327</v>
      </c>
      <c r="M206" s="53">
        <f t="shared" si="9"/>
        <v>2040</v>
      </c>
      <c r="N206" s="3"/>
      <c r="O206" s="3"/>
    </row>
    <row r="207" spans="8:15">
      <c r="H207" s="28">
        <v>51441</v>
      </c>
      <c r="I207" s="32">
        <v>7.9163128571428576</v>
      </c>
      <c r="J207" s="32">
        <v>7.8182</v>
      </c>
      <c r="K207" s="32">
        <v>7.6712017685445737</v>
      </c>
      <c r="L207" s="32">
        <v>7.0486983844911162</v>
      </c>
      <c r="M207" s="53">
        <f t="shared" si="9"/>
        <v>2040</v>
      </c>
      <c r="N207" s="3"/>
      <c r="O207" s="3"/>
    </row>
    <row r="208" spans="8:15">
      <c r="H208" s="28">
        <v>51471</v>
      </c>
      <c r="I208" s="32">
        <v>8.1790679591836746</v>
      </c>
      <c r="J208" s="32">
        <v>8.0952999999999999</v>
      </c>
      <c r="K208" s="32">
        <v>7.904753674137555</v>
      </c>
      <c r="L208" s="32">
        <v>6.8543324717285952</v>
      </c>
      <c r="M208" s="53">
        <f t="shared" si="9"/>
        <v>2040</v>
      </c>
      <c r="N208" s="3"/>
      <c r="O208" s="3"/>
    </row>
    <row r="209" spans="8:15">
      <c r="H209" s="28">
        <v>51502</v>
      </c>
      <c r="I209" s="32">
        <v>8.8844761224489801</v>
      </c>
      <c r="J209" s="32">
        <v>8.7917000000000005</v>
      </c>
      <c r="K209" s="32">
        <v>8.5707748509011701</v>
      </c>
      <c r="L209" s="32">
        <v>7.8249504038772226</v>
      </c>
      <c r="M209" s="53">
        <f t="shared" si="9"/>
        <v>2041</v>
      </c>
      <c r="N209" s="3"/>
      <c r="O209" s="3"/>
    </row>
    <row r="210" spans="8:15">
      <c r="H210" s="28">
        <v>51533</v>
      </c>
      <c r="I210" s="32">
        <v>8.6344761224489801</v>
      </c>
      <c r="J210" s="32">
        <v>8.5373999999999999</v>
      </c>
      <c r="K210" s="32">
        <v>8.283883698222267</v>
      </c>
      <c r="L210" s="32">
        <v>7.9259197092084017</v>
      </c>
      <c r="M210" s="53">
        <f t="shared" si="9"/>
        <v>2041</v>
      </c>
      <c r="N210" s="3"/>
      <c r="O210" s="3"/>
    </row>
    <row r="211" spans="8:15">
      <c r="H211" s="28">
        <v>51561</v>
      </c>
      <c r="I211" s="32">
        <v>7.5773332653061232</v>
      </c>
      <c r="J211" s="32">
        <v>7.4757999999999996</v>
      </c>
      <c r="K211" s="32">
        <v>7.2001925789592578</v>
      </c>
      <c r="L211" s="32">
        <v>7.2610368336025859</v>
      </c>
      <c r="M211" s="53">
        <f t="shared" si="9"/>
        <v>2041</v>
      </c>
      <c r="N211" s="3"/>
      <c r="O211" s="3"/>
    </row>
    <row r="212" spans="8:15">
      <c r="H212" s="28">
        <v>51592</v>
      </c>
      <c r="I212" s="32">
        <v>7.1179455102040814</v>
      </c>
      <c r="J212" s="32">
        <v>7.0125000000000002</v>
      </c>
      <c r="K212" s="32">
        <v>6.7123799849451391</v>
      </c>
      <c r="L212" s="32">
        <v>6.9755966074313429</v>
      </c>
      <c r="M212" s="53">
        <f t="shared" si="9"/>
        <v>2041</v>
      </c>
      <c r="N212" s="3"/>
      <c r="O212" s="3"/>
    </row>
    <row r="213" spans="8:15">
      <c r="H213" s="28">
        <v>51622</v>
      </c>
      <c r="I213" s="32">
        <v>7.1550883673469396</v>
      </c>
      <c r="J213" s="32">
        <v>7.0484999999999998</v>
      </c>
      <c r="K213" s="32">
        <v>6.6549811997862038</v>
      </c>
      <c r="L213" s="32">
        <v>6.9189528271405498</v>
      </c>
      <c r="M213" s="53">
        <f t="shared" si="9"/>
        <v>2041</v>
      </c>
      <c r="N213" s="3"/>
      <c r="O213" s="3"/>
    </row>
    <row r="214" spans="8:15">
      <c r="H214" s="28">
        <v>51653</v>
      </c>
      <c r="I214" s="32">
        <v>7.2044761224489804</v>
      </c>
      <c r="J214" s="32">
        <v>7.0987</v>
      </c>
      <c r="K214" s="32">
        <v>6.6756385960564737</v>
      </c>
      <c r="L214" s="32">
        <v>6.9930642972536363</v>
      </c>
      <c r="M214" s="53">
        <f t="shared" si="9"/>
        <v>2041</v>
      </c>
      <c r="N214" s="3"/>
      <c r="O214" s="3"/>
    </row>
    <row r="215" spans="8:15">
      <c r="H215" s="28">
        <v>51683</v>
      </c>
      <c r="I215" s="32">
        <v>7.2777414285714288</v>
      </c>
      <c r="J215" s="32">
        <v>7.1786000000000003</v>
      </c>
      <c r="K215" s="32">
        <v>6.7182380525441703</v>
      </c>
      <c r="L215" s="32">
        <v>6.7525554119547673</v>
      </c>
      <c r="M215" s="53">
        <f t="shared" si="9"/>
        <v>2041</v>
      </c>
      <c r="N215" s="3"/>
      <c r="O215" s="3"/>
    </row>
    <row r="216" spans="8:15">
      <c r="H216" s="28">
        <v>51714</v>
      </c>
      <c r="I216" s="32">
        <v>7.3723332653061222</v>
      </c>
      <c r="J216" s="32">
        <v>7.2755000000000001</v>
      </c>
      <c r="K216" s="32">
        <v>7.0479855945002017</v>
      </c>
      <c r="L216" s="32">
        <v>6.8663478190630061</v>
      </c>
      <c r="M216" s="53">
        <f t="shared" si="9"/>
        <v>2041</v>
      </c>
      <c r="N216" s="3"/>
      <c r="O216" s="3"/>
    </row>
    <row r="217" spans="8:15">
      <c r="H217" s="28">
        <v>51745</v>
      </c>
      <c r="I217" s="32">
        <v>7.6754965306122456</v>
      </c>
      <c r="J217" s="32">
        <v>7.5716999999999999</v>
      </c>
      <c r="K217" s="32">
        <v>7.1349830370016143</v>
      </c>
      <c r="L217" s="32">
        <v>7.1638033925686608</v>
      </c>
      <c r="M217" s="53">
        <f t="shared" si="9"/>
        <v>2041</v>
      </c>
      <c r="N217" s="3"/>
      <c r="O217" s="3"/>
    </row>
    <row r="218" spans="8:15">
      <c r="H218" s="28">
        <v>51775</v>
      </c>
      <c r="I218" s="32">
        <v>7.7714148979591844</v>
      </c>
      <c r="J218" s="32">
        <v>7.6614000000000004</v>
      </c>
      <c r="K218" s="32">
        <v>7.3152984686244444</v>
      </c>
      <c r="L218" s="32">
        <v>7.4429835218093707</v>
      </c>
      <c r="M218" s="53">
        <f t="shared" si="9"/>
        <v>2041</v>
      </c>
      <c r="N218" s="3"/>
      <c r="O218" s="3"/>
    </row>
    <row r="219" spans="8:15">
      <c r="H219" s="28">
        <v>51806</v>
      </c>
      <c r="I219" s="32">
        <v>8.2492720408163258</v>
      </c>
      <c r="J219" s="32">
        <v>8.1445000000000007</v>
      </c>
      <c r="K219" s="32">
        <v>7.9377438443005239</v>
      </c>
      <c r="L219" s="32">
        <v>7.3781612277867543</v>
      </c>
      <c r="M219" s="53">
        <f t="shared" si="9"/>
        <v>2041</v>
      </c>
      <c r="N219" s="3"/>
      <c r="O219" s="3"/>
    </row>
    <row r="220" spans="8:15">
      <c r="H220" s="28">
        <v>51836</v>
      </c>
      <c r="I220" s="32">
        <v>8.5419251020408176</v>
      </c>
      <c r="J220" s="32">
        <v>8.4509000000000007</v>
      </c>
      <c r="K220" s="32">
        <v>8.210760626350142</v>
      </c>
      <c r="L220" s="32">
        <v>7.2133793214862694</v>
      </c>
      <c r="M220" s="53">
        <f t="shared" si="9"/>
        <v>2041</v>
      </c>
      <c r="N220" s="3"/>
      <c r="O220" s="3"/>
    </row>
    <row r="221" spans="8:15">
      <c r="H221" s="28">
        <v>51867</v>
      </c>
      <c r="I221" s="32">
        <v>8.9886597959183678</v>
      </c>
      <c r="J221" s="32">
        <v>8.8938000000000006</v>
      </c>
      <c r="K221" s="32">
        <v>8.6251932157027031</v>
      </c>
      <c r="L221" s="32">
        <v>7.9280400646203573</v>
      </c>
      <c r="M221" s="53">
        <f t="shared" si="9"/>
        <v>2042</v>
      </c>
      <c r="N221" s="3"/>
      <c r="O221" s="3"/>
    </row>
    <row r="222" spans="8:15">
      <c r="H222" s="28">
        <v>51898</v>
      </c>
      <c r="I222" s="32">
        <v>8.935088367346939</v>
      </c>
      <c r="J222" s="32">
        <v>8.8320000000000007</v>
      </c>
      <c r="K222" s="32">
        <v>8.5470856477156101</v>
      </c>
      <c r="L222" s="32">
        <v>8.2233752827140556</v>
      </c>
      <c r="M222" s="53">
        <f t="shared" si="9"/>
        <v>2042</v>
      </c>
      <c r="N222" s="3"/>
      <c r="O222" s="3"/>
    </row>
    <row r="223" spans="8:15">
      <c r="H223" s="28">
        <v>51926</v>
      </c>
      <c r="I223" s="32">
        <v>7.975088367346939</v>
      </c>
      <c r="J223" s="32">
        <v>7.8657000000000004</v>
      </c>
      <c r="K223" s="32">
        <v>7.5437117184288018</v>
      </c>
      <c r="L223" s="32">
        <v>7.6546151857835234</v>
      </c>
      <c r="M223" s="53">
        <f t="shared" si="9"/>
        <v>2042</v>
      </c>
      <c r="N223" s="3"/>
      <c r="O223" s="3"/>
    </row>
    <row r="224" spans="8:15">
      <c r="H224" s="28">
        <v>51957</v>
      </c>
      <c r="I224" s="32">
        <v>7.4802924489795926</v>
      </c>
      <c r="J224" s="32">
        <v>7.3674999999999997</v>
      </c>
      <c r="K224" s="32">
        <v>7.0432580311746671</v>
      </c>
      <c r="L224" s="32">
        <v>7.3341386106623601</v>
      </c>
      <c r="M224" s="53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7.5247822448979589</v>
      </c>
      <c r="J225" s="32">
        <v>7.4108000000000001</v>
      </c>
      <c r="K225" s="32">
        <v>6.9933102969092378</v>
      </c>
      <c r="L225" s="32">
        <v>7.2847646203554133</v>
      </c>
      <c r="M225" s="53">
        <f t="shared" si="10"/>
        <v>2042</v>
      </c>
      <c r="N225" s="3"/>
      <c r="O225" s="3"/>
    </row>
    <row r="226" spans="8:15">
      <c r="H226" s="28">
        <v>52018</v>
      </c>
      <c r="I226" s="32">
        <v>7.5711087755102051</v>
      </c>
      <c r="J226" s="32">
        <v>7.4580000000000002</v>
      </c>
      <c r="K226" s="32">
        <v>6.9867328174997967</v>
      </c>
      <c r="L226" s="32">
        <v>7.3558470113085637</v>
      </c>
      <c r="M226" s="53">
        <f t="shared" si="10"/>
        <v>2042</v>
      </c>
      <c r="N226" s="3"/>
      <c r="O226" s="3"/>
    </row>
    <row r="227" spans="8:15">
      <c r="H227" s="28">
        <v>52048</v>
      </c>
      <c r="I227" s="32">
        <v>7.6391700000000009</v>
      </c>
      <c r="J227" s="32">
        <v>7.5327999999999999</v>
      </c>
      <c r="K227" s="32">
        <v>7.0486022331948357</v>
      </c>
      <c r="L227" s="32">
        <v>7.1101886914378039</v>
      </c>
      <c r="M227" s="53">
        <f t="shared" si="10"/>
        <v>2042</v>
      </c>
      <c r="N227" s="3"/>
      <c r="O227" s="3"/>
    </row>
    <row r="228" spans="8:15">
      <c r="H228" s="28">
        <v>52079</v>
      </c>
      <c r="I228" s="32">
        <v>7.7462108163265313</v>
      </c>
      <c r="J228" s="32">
        <v>7.6418999999999997</v>
      </c>
      <c r="K228" s="32">
        <v>7.384156456192013</v>
      </c>
      <c r="L228" s="32">
        <v>7.2362993537964471</v>
      </c>
      <c r="M228" s="53">
        <f t="shared" si="10"/>
        <v>2042</v>
      </c>
      <c r="N228" s="3"/>
      <c r="O228" s="3"/>
    </row>
    <row r="229" spans="8:15">
      <c r="H229" s="28">
        <v>52110</v>
      </c>
      <c r="I229" s="32">
        <v>8.0501904081632656</v>
      </c>
      <c r="J229" s="32">
        <v>7.9389000000000003</v>
      </c>
      <c r="K229" s="32">
        <v>7.4623154107369913</v>
      </c>
      <c r="L229" s="32">
        <v>7.5345626817447506</v>
      </c>
      <c r="M229" s="53">
        <f t="shared" si="10"/>
        <v>2042</v>
      </c>
      <c r="N229" s="3"/>
      <c r="O229" s="3"/>
    </row>
    <row r="230" spans="8:15">
      <c r="H230" s="28">
        <v>52140</v>
      </c>
      <c r="I230" s="32">
        <v>8.1509046938775516</v>
      </c>
      <c r="J230" s="32">
        <v>8.0332000000000008</v>
      </c>
      <c r="K230" s="32">
        <v>7.6472042460116985</v>
      </c>
      <c r="L230" s="32">
        <v>7.8184883683360269</v>
      </c>
      <c r="M230" s="53">
        <f t="shared" si="10"/>
        <v>2042</v>
      </c>
      <c r="N230" s="3"/>
      <c r="O230" s="3"/>
    </row>
    <row r="231" spans="8:15">
      <c r="H231" s="28">
        <v>52171</v>
      </c>
      <c r="I231" s="32">
        <v>8.6505985714285707</v>
      </c>
      <c r="J231" s="32">
        <v>8.5376999999999992</v>
      </c>
      <c r="K231" s="32">
        <v>8.3140476077014931</v>
      </c>
      <c r="L231" s="32">
        <v>7.7752735056542823</v>
      </c>
      <c r="M231" s="53">
        <f t="shared" si="10"/>
        <v>2042</v>
      </c>
      <c r="N231" s="3"/>
      <c r="O231" s="3"/>
    </row>
    <row r="232" spans="8:15">
      <c r="H232" s="28">
        <v>52201</v>
      </c>
      <c r="I232" s="32">
        <v>8.9195781632653066</v>
      </c>
      <c r="J232" s="32">
        <v>8.8209999999999997</v>
      </c>
      <c r="K232" s="32">
        <v>8.5217520746776909</v>
      </c>
      <c r="L232" s="32">
        <v>7.5870667205169644</v>
      </c>
      <c r="M232" s="53">
        <f t="shared" si="10"/>
        <v>2042</v>
      </c>
      <c r="N232" s="3"/>
      <c r="O232" s="3"/>
    </row>
    <row r="233" spans="8:15">
      <c r="H233" s="28">
        <v>52232</v>
      </c>
      <c r="I233" s="32">
        <v>9.5644761224489798</v>
      </c>
      <c r="J233" s="32">
        <v>9.4581999999999997</v>
      </c>
      <c r="K233" s="32">
        <v>9.1536525770048414</v>
      </c>
      <c r="L233" s="32">
        <v>8.4978098546042009</v>
      </c>
      <c r="M233" s="53">
        <f t="shared" si="10"/>
        <v>2043</v>
      </c>
      <c r="N233" s="3"/>
      <c r="O233" s="3"/>
    </row>
    <row r="234" spans="8:15">
      <c r="H234" s="28">
        <v>52263</v>
      </c>
      <c r="I234" s="32">
        <v>9.3451904081632655</v>
      </c>
      <c r="J234" s="32">
        <v>9.2338000000000005</v>
      </c>
      <c r="K234" s="32">
        <v>8.9415288660504224</v>
      </c>
      <c r="L234" s="32">
        <v>8.629170920840064</v>
      </c>
      <c r="M234" s="53">
        <f t="shared" si="10"/>
        <v>2043</v>
      </c>
      <c r="N234" s="3"/>
      <c r="O234" s="3"/>
    </row>
    <row r="235" spans="8:15">
      <c r="H235" s="28">
        <v>52291</v>
      </c>
      <c r="I235" s="32">
        <v>8.3277414285714286</v>
      </c>
      <c r="J235" s="32">
        <v>8.2111999999999998</v>
      </c>
      <c r="K235" s="32">
        <v>7.8745383781004428</v>
      </c>
      <c r="L235" s="32">
        <v>8.0035651050080787</v>
      </c>
      <c r="M235" s="53">
        <f t="shared" si="10"/>
        <v>2043</v>
      </c>
      <c r="N235" s="3"/>
      <c r="O235" s="3"/>
    </row>
    <row r="236" spans="8:15">
      <c r="H236" s="28">
        <v>52322</v>
      </c>
      <c r="I236" s="32">
        <v>7.8227414285714296</v>
      </c>
      <c r="J236" s="32">
        <v>7.7031000000000001</v>
      </c>
      <c r="K236" s="32">
        <v>7.3817926745292457</v>
      </c>
      <c r="L236" s="32">
        <v>7.6729915993537983</v>
      </c>
      <c r="M236" s="53">
        <f t="shared" si="10"/>
        <v>2043</v>
      </c>
      <c r="N236" s="3"/>
      <c r="O236" s="3"/>
    </row>
    <row r="237" spans="8:15">
      <c r="H237" s="28">
        <v>52352</v>
      </c>
      <c r="I237" s="32">
        <v>7.8692720408163268</v>
      </c>
      <c r="J237" s="32">
        <v>7.7484000000000002</v>
      </c>
      <c r="K237" s="32">
        <v>7.342070865283179</v>
      </c>
      <c r="L237" s="32">
        <v>7.6256369951534744</v>
      </c>
      <c r="M237" s="53">
        <f t="shared" si="10"/>
        <v>2043</v>
      </c>
      <c r="N237" s="3"/>
      <c r="O237" s="3"/>
    </row>
    <row r="238" spans="8:15">
      <c r="H238" s="28">
        <v>52383</v>
      </c>
      <c r="I238" s="32">
        <v>7.917639387755103</v>
      </c>
      <c r="J238" s="32">
        <v>7.7976000000000001</v>
      </c>
      <c r="K238" s="32">
        <v>7.3445374200617186</v>
      </c>
      <c r="L238" s="32">
        <v>7.6987387722132485</v>
      </c>
      <c r="M238" s="53">
        <f t="shared" si="10"/>
        <v>2043</v>
      </c>
      <c r="N238" s="3"/>
      <c r="O238" s="3"/>
    </row>
    <row r="239" spans="8:15">
      <c r="H239" s="28">
        <v>52413</v>
      </c>
      <c r="I239" s="32">
        <v>7.9932516326530614</v>
      </c>
      <c r="J239" s="32">
        <v>7.8798000000000004</v>
      </c>
      <c r="K239" s="32">
        <v>7.3891923388648646</v>
      </c>
      <c r="L239" s="32">
        <v>7.4605521809369968</v>
      </c>
      <c r="M239" s="53">
        <f t="shared" si="10"/>
        <v>2043</v>
      </c>
      <c r="N239" s="3"/>
      <c r="O239" s="3"/>
    </row>
    <row r="240" spans="8:15">
      <c r="H240" s="28">
        <v>52444</v>
      </c>
      <c r="I240" s="32">
        <v>8.1199863265306131</v>
      </c>
      <c r="J240" s="32">
        <v>8.0082000000000004</v>
      </c>
      <c r="K240" s="32">
        <v>7.7496176558789829</v>
      </c>
      <c r="L240" s="32">
        <v>7.6061499192245572</v>
      </c>
      <c r="M240" s="53">
        <f t="shared" si="10"/>
        <v>2043</v>
      </c>
      <c r="N240" s="3"/>
      <c r="O240" s="3"/>
    </row>
    <row r="241" spans="8:15">
      <c r="H241" s="28">
        <v>52475</v>
      </c>
      <c r="I241" s="32">
        <v>8.4289659183673464</v>
      </c>
      <c r="J241" s="32">
        <v>8.3102</v>
      </c>
      <c r="K241" s="32">
        <v>7.8278793835397344</v>
      </c>
      <c r="L241" s="32">
        <v>7.909360743134088</v>
      </c>
      <c r="M241" s="53">
        <f t="shared" si="10"/>
        <v>2043</v>
      </c>
      <c r="N241" s="3"/>
      <c r="O241" s="3"/>
    </row>
    <row r="242" spans="8:15">
      <c r="H242" s="28">
        <v>52505</v>
      </c>
      <c r="I242" s="32">
        <v>8.5567210204081654</v>
      </c>
      <c r="J242" s="32">
        <v>8.4308999999999994</v>
      </c>
      <c r="K242" s="32">
        <v>8.0097877984570403</v>
      </c>
      <c r="L242" s="32">
        <v>8.2200432956381277</v>
      </c>
      <c r="M242" s="53">
        <f t="shared" si="10"/>
        <v>2043</v>
      </c>
      <c r="N242" s="3"/>
      <c r="O242" s="3"/>
    </row>
    <row r="243" spans="8:15">
      <c r="H243" s="28">
        <v>52536</v>
      </c>
      <c r="I243" s="32">
        <v>9.0447822448979593</v>
      </c>
      <c r="J243" s="32">
        <v>8.9239999999999995</v>
      </c>
      <c r="K243" s="32">
        <v>8.7026327584372751</v>
      </c>
      <c r="L243" s="32">
        <v>8.1653179321486284</v>
      </c>
      <c r="M243" s="53">
        <f t="shared" si="10"/>
        <v>2043</v>
      </c>
      <c r="N243" s="3"/>
      <c r="O243" s="3"/>
    </row>
    <row r="244" spans="8:15">
      <c r="H244" s="28">
        <v>52566</v>
      </c>
      <c r="I244" s="32">
        <v>9.3401904081632665</v>
      </c>
      <c r="J244" s="32">
        <v>9.2332000000000001</v>
      </c>
      <c r="K244" s="32">
        <v>8.8907589468588135</v>
      </c>
      <c r="L244" s="32">
        <v>8.0032621970920843</v>
      </c>
      <c r="M244" s="53">
        <f t="shared" si="10"/>
        <v>2043</v>
      </c>
      <c r="N244" s="3"/>
      <c r="O244" s="3"/>
    </row>
    <row r="245" spans="8:15">
      <c r="H245" s="28">
        <v>52597</v>
      </c>
      <c r="I245" s="32">
        <v>9.7127414285714284</v>
      </c>
      <c r="J245" s="32">
        <v>9.6034000000000006</v>
      </c>
      <c r="K245" s="32">
        <v>9.2547813229249698</v>
      </c>
      <c r="L245" s="32">
        <v>8.6445182552504036</v>
      </c>
      <c r="M245" s="53">
        <f t="shared" si="10"/>
        <v>2044</v>
      </c>
      <c r="N245" s="3"/>
      <c r="O245" s="3"/>
    </row>
    <row r="246" spans="8:15">
      <c r="H246" s="28">
        <v>52628</v>
      </c>
      <c r="I246" s="32">
        <v>9.2071291836734694</v>
      </c>
      <c r="J246" s="32">
        <v>9.0985999999999994</v>
      </c>
      <c r="K246" s="32">
        <v>8.7479043159350542</v>
      </c>
      <c r="L246" s="32">
        <v>8.4925594507269793</v>
      </c>
      <c r="M246" s="53">
        <f t="shared" si="10"/>
        <v>2044</v>
      </c>
      <c r="N246" s="3"/>
      <c r="O246" s="3"/>
    </row>
    <row r="247" spans="8:15">
      <c r="H247" s="28">
        <v>52657</v>
      </c>
      <c r="I247" s="32">
        <v>8.6830475510204082</v>
      </c>
      <c r="J247" s="32">
        <v>8.5594000000000001</v>
      </c>
      <c r="K247" s="32">
        <v>8.2184686100330779</v>
      </c>
      <c r="L247" s="32">
        <v>8.355140226171244</v>
      </c>
      <c r="M247" s="53">
        <f t="shared" si="10"/>
        <v>2044</v>
      </c>
      <c r="N247" s="3"/>
      <c r="O247" s="3"/>
    </row>
    <row r="248" spans="8:15">
      <c r="H248" s="28">
        <v>52688</v>
      </c>
      <c r="I248" s="32">
        <v>8.1791700000000009</v>
      </c>
      <c r="J248" s="32">
        <v>8.0525000000000002</v>
      </c>
      <c r="K248" s="32">
        <v>7.7246437887462687</v>
      </c>
      <c r="L248" s="32">
        <v>8.0256773828756067</v>
      </c>
      <c r="M248" s="53">
        <f t="shared" si="10"/>
        <v>2044</v>
      </c>
      <c r="N248" s="3"/>
      <c r="O248" s="3"/>
    </row>
    <row r="249" spans="8:15">
      <c r="H249" s="28">
        <v>52718</v>
      </c>
      <c r="I249" s="32">
        <v>8.2278434693877553</v>
      </c>
      <c r="J249" s="32">
        <v>8.0998000000000001</v>
      </c>
      <c r="K249" s="32">
        <v>7.6736683233231133</v>
      </c>
      <c r="L249" s="32">
        <v>7.9804431340872393</v>
      </c>
      <c r="M249" s="53">
        <f t="shared" si="10"/>
        <v>2044</v>
      </c>
      <c r="N249" s="3"/>
      <c r="O249" s="3"/>
    </row>
    <row r="250" spans="8:15">
      <c r="H250" s="28">
        <v>52749</v>
      </c>
      <c r="I250" s="32">
        <v>8.2783536734693897</v>
      </c>
      <c r="J250" s="32">
        <v>8.1510999999999996</v>
      </c>
      <c r="K250" s="32">
        <v>7.6586634484203309</v>
      </c>
      <c r="L250" s="32">
        <v>8.0556652665589663</v>
      </c>
      <c r="M250" s="53">
        <f t="shared" si="10"/>
        <v>2044</v>
      </c>
      <c r="N250" s="3"/>
      <c r="O250" s="3"/>
    </row>
    <row r="251" spans="8:15">
      <c r="H251" s="28">
        <v>52779</v>
      </c>
      <c r="I251" s="32">
        <v>8.34886387755102</v>
      </c>
      <c r="J251" s="32">
        <v>8.2281999999999993</v>
      </c>
      <c r="K251" s="32">
        <v>7.7052710564231539</v>
      </c>
      <c r="L251" s="32">
        <v>7.8124302100161565</v>
      </c>
      <c r="M251" s="53">
        <f t="shared" si="10"/>
        <v>2044</v>
      </c>
      <c r="N251" s="3"/>
      <c r="O251" s="3"/>
    </row>
    <row r="252" spans="8:15">
      <c r="H252" s="28">
        <v>52810</v>
      </c>
      <c r="I252" s="32">
        <v>8.4501904081632659</v>
      </c>
      <c r="J252" s="32">
        <v>8.3316999999999997</v>
      </c>
      <c r="K252" s="32">
        <v>8.0692934324893084</v>
      </c>
      <c r="L252" s="32">
        <v>7.9328865912762527</v>
      </c>
      <c r="M252" s="53">
        <f t="shared" si="10"/>
        <v>2044</v>
      </c>
      <c r="N252" s="3"/>
      <c r="O252" s="3"/>
    </row>
    <row r="253" spans="8:15">
      <c r="H253" s="28">
        <v>52841</v>
      </c>
      <c r="I253" s="32">
        <v>8.7772312244897961</v>
      </c>
      <c r="J253" s="32">
        <v>8.6514000000000006</v>
      </c>
      <c r="K253" s="32">
        <v>8.1483773450762396</v>
      </c>
      <c r="L253" s="32">
        <v>8.2539689822294022</v>
      </c>
      <c r="M253" s="53">
        <f t="shared" si="10"/>
        <v>2044</v>
      </c>
      <c r="N253" s="3"/>
      <c r="O253" s="3"/>
    </row>
    <row r="254" spans="8:15">
      <c r="H254" s="28">
        <v>52871</v>
      </c>
      <c r="I254" s="32">
        <v>8.9112108163265304</v>
      </c>
      <c r="J254" s="32">
        <v>8.7782999999999998</v>
      </c>
      <c r="K254" s="32">
        <v>8.3307482390145218</v>
      </c>
      <c r="L254" s="32">
        <v>8.5708106623586442</v>
      </c>
      <c r="M254" s="53">
        <f t="shared" si="10"/>
        <v>2044</v>
      </c>
      <c r="N254" s="3"/>
      <c r="O254" s="3"/>
    </row>
    <row r="255" spans="8:15">
      <c r="H255" s="28">
        <v>52902</v>
      </c>
      <c r="I255" s="32">
        <v>9.4253944897959183</v>
      </c>
      <c r="J255" s="32">
        <v>9.2970000000000006</v>
      </c>
      <c r="K255" s="32">
        <v>9.0411674017918493</v>
      </c>
      <c r="L255" s="32">
        <v>8.541933441033926</v>
      </c>
      <c r="M255" s="53">
        <f t="shared" si="10"/>
        <v>2044</v>
      </c>
      <c r="N255" s="3"/>
      <c r="O255" s="3"/>
    </row>
    <row r="256" spans="8:15">
      <c r="H256" s="28">
        <v>52932</v>
      </c>
      <c r="I256" s="32">
        <v>9.7079455102040821</v>
      </c>
      <c r="J256" s="32">
        <v>9.5937000000000001</v>
      </c>
      <c r="K256" s="32">
        <v>9.234740565349334</v>
      </c>
      <c r="L256" s="32">
        <v>8.3671555735056558</v>
      </c>
      <c r="M256" s="53">
        <f t="shared" si="10"/>
        <v>2044</v>
      </c>
      <c r="N256" s="3"/>
      <c r="O256" s="3"/>
    </row>
    <row r="257" spans="8:15">
      <c r="H257" s="28">
        <v>52963</v>
      </c>
      <c r="I257" s="32">
        <v>10.13855775510204</v>
      </c>
      <c r="J257" s="32">
        <v>10.0207</v>
      </c>
      <c r="K257" s="32">
        <v>9.6348363050516337</v>
      </c>
      <c r="L257" s="32">
        <v>9.0658631663974152</v>
      </c>
      <c r="M257" s="53">
        <f t="shared" si="10"/>
        <v>2045</v>
      </c>
      <c r="N257" s="3"/>
      <c r="O257" s="3"/>
    </row>
    <row r="258" spans="8:15">
      <c r="H258" s="28">
        <v>52994</v>
      </c>
      <c r="I258" s="32">
        <v>10.099986326530614</v>
      </c>
      <c r="J258" s="32">
        <v>9.9734999999999996</v>
      </c>
      <c r="K258" s="32">
        <v>9.6233771026430013</v>
      </c>
      <c r="L258" s="32">
        <v>9.3760408723747997</v>
      </c>
      <c r="M258" s="53">
        <f t="shared" si="10"/>
        <v>2045</v>
      </c>
      <c r="N258" s="3"/>
      <c r="O258" s="3"/>
    </row>
    <row r="259" spans="8:15">
      <c r="H259" s="28">
        <v>53022</v>
      </c>
      <c r="I259" s="32">
        <v>9.0979455102040809</v>
      </c>
      <c r="J259" s="32">
        <v>8.9659999999999993</v>
      </c>
      <c r="K259" s="32">
        <v>8.6140937191992748</v>
      </c>
      <c r="L259" s="32">
        <v>8.7656814216478196</v>
      </c>
      <c r="M259" s="53">
        <f t="shared" si="10"/>
        <v>2045</v>
      </c>
      <c r="N259" s="3"/>
      <c r="O259" s="3"/>
    </row>
    <row r="260" spans="8:15">
      <c r="H260" s="28">
        <v>53053</v>
      </c>
      <c r="I260" s="32">
        <v>8.5975373469387755</v>
      </c>
      <c r="J260" s="32">
        <v>8.4624000000000006</v>
      </c>
      <c r="K260" s="32">
        <v>8.1102485191246476</v>
      </c>
      <c r="L260" s="32">
        <v>8.4396515347334411</v>
      </c>
      <c r="M260" s="53">
        <f t="shared" si="10"/>
        <v>2045</v>
      </c>
      <c r="N260" s="3"/>
      <c r="O260" s="3"/>
    </row>
    <row r="261" spans="8:15">
      <c r="H261" s="28">
        <v>53083</v>
      </c>
      <c r="I261" s="32">
        <v>8.6474353061224498</v>
      </c>
      <c r="J261" s="32">
        <v>8.5109999999999992</v>
      </c>
      <c r="K261" s="32">
        <v>8.0578856166385648</v>
      </c>
      <c r="L261" s="32">
        <v>8.3956289176090468</v>
      </c>
      <c r="M261" s="53">
        <f t="shared" si="10"/>
        <v>2045</v>
      </c>
      <c r="N261" s="3"/>
      <c r="O261" s="3"/>
    </row>
    <row r="262" spans="8:15">
      <c r="H262" s="28">
        <v>53114</v>
      </c>
      <c r="I262" s="32">
        <v>8.700496530612245</v>
      </c>
      <c r="J262" s="32">
        <v>8.5648</v>
      </c>
      <c r="K262" s="32">
        <v>8.0437029266619611</v>
      </c>
      <c r="L262" s="32">
        <v>8.4733752827140556</v>
      </c>
      <c r="M262" s="53">
        <f t="shared" si="10"/>
        <v>2045</v>
      </c>
      <c r="N262" s="3"/>
      <c r="O262" s="3"/>
    </row>
    <row r="263" spans="8:15">
      <c r="H263" s="28">
        <v>53144</v>
      </c>
      <c r="I263" s="32">
        <v>8.7527414285714293</v>
      </c>
      <c r="J263" s="32">
        <v>8.6240000000000006</v>
      </c>
      <c r="K263" s="32">
        <v>8.0904133077805565</v>
      </c>
      <c r="L263" s="32">
        <v>8.2120667205169617</v>
      </c>
      <c r="M263" s="53">
        <f t="shared" si="10"/>
        <v>2045</v>
      </c>
      <c r="N263" s="3"/>
      <c r="O263" s="3"/>
    </row>
    <row r="264" spans="8:15">
      <c r="H264" s="28">
        <v>53175</v>
      </c>
      <c r="I264" s="32">
        <v>8.8427414285714292</v>
      </c>
      <c r="J264" s="32">
        <v>8.7164999999999999</v>
      </c>
      <c r="K264" s="32">
        <v>8.4469846329532068</v>
      </c>
      <c r="L264" s="32">
        <v>8.3213155088852986</v>
      </c>
      <c r="M264" s="53">
        <f t="shared" si="10"/>
        <v>2045</v>
      </c>
      <c r="N264" s="3"/>
      <c r="O264" s="3"/>
    </row>
    <row r="265" spans="8:15">
      <c r="H265" s="28">
        <v>53206</v>
      </c>
      <c r="I265" s="32">
        <v>9.1439659183673481</v>
      </c>
      <c r="J265" s="32">
        <v>9.0108999999999995</v>
      </c>
      <c r="K265" s="32">
        <v>8.51604816675232</v>
      </c>
      <c r="L265" s="32">
        <v>8.6168526655896613</v>
      </c>
      <c r="M265" s="53">
        <f t="shared" si="10"/>
        <v>2045</v>
      </c>
      <c r="N265" s="3"/>
      <c r="O265" s="3"/>
    </row>
    <row r="266" spans="8:15">
      <c r="H266" s="28">
        <v>53236</v>
      </c>
      <c r="I266" s="32">
        <v>9.2964148979591847</v>
      </c>
      <c r="J266" s="32">
        <v>9.1559000000000008</v>
      </c>
      <c r="K266" s="32">
        <v>8.6998578843114167</v>
      </c>
      <c r="L266" s="32">
        <v>8.9519697899838455</v>
      </c>
      <c r="M266" s="53">
        <f t="shared" si="10"/>
        <v>2045</v>
      </c>
      <c r="N266" s="3"/>
      <c r="O266" s="3"/>
    </row>
    <row r="267" spans="8:15">
      <c r="H267" s="28">
        <v>53267</v>
      </c>
      <c r="I267" s="32">
        <v>9.8366189795918366</v>
      </c>
      <c r="J267" s="32">
        <v>9.6999999999999993</v>
      </c>
      <c r="K267" s="32">
        <v>9.4093520890467932</v>
      </c>
      <c r="L267" s="32">
        <v>8.9488397415185794</v>
      </c>
      <c r="M267" s="53">
        <f t="shared" si="10"/>
        <v>2045</v>
      </c>
      <c r="N267" s="3"/>
      <c r="O267" s="3"/>
    </row>
    <row r="268" spans="8:15">
      <c r="H268" s="28">
        <v>53297</v>
      </c>
      <c r="I268" s="32">
        <v>10.121823061224491</v>
      </c>
      <c r="J268" s="32">
        <v>9.9992000000000001</v>
      </c>
      <c r="K268" s="32">
        <v>9.5950631092476808</v>
      </c>
      <c r="L268" s="32">
        <v>8.7766870759289173</v>
      </c>
      <c r="M268" s="53">
        <f t="shared" si="10"/>
        <v>2045</v>
      </c>
      <c r="N268" s="3"/>
      <c r="O268" s="3"/>
    </row>
    <row r="269" spans="8:15">
      <c r="H269" s="28">
        <v>53328</v>
      </c>
      <c r="I269" s="32">
        <v>10.672027142857143</v>
      </c>
      <c r="J269" s="32">
        <v>10.5435</v>
      </c>
      <c r="K269" s="32">
        <v>10.152607262313433</v>
      </c>
      <c r="L269" s="32">
        <v>9.593730694668821</v>
      </c>
      <c r="M269" s="53">
        <f t="shared" si="10"/>
        <v>2046</v>
      </c>
      <c r="N269" s="3"/>
      <c r="O269" s="3"/>
    </row>
    <row r="270" spans="8:15">
      <c r="H270" s="28">
        <v>53359</v>
      </c>
      <c r="I270" s="32">
        <v>10.504476122448981</v>
      </c>
      <c r="J270" s="32">
        <v>10.369899999999999</v>
      </c>
      <c r="K270" s="32">
        <v>9.9839565793307798</v>
      </c>
      <c r="L270" s="32">
        <v>9.7762831987075938</v>
      </c>
      <c r="M270" s="53">
        <f t="shared" si="10"/>
        <v>2046</v>
      </c>
      <c r="N270" s="3"/>
      <c r="O270" s="3"/>
    </row>
    <row r="271" spans="8:15">
      <c r="H271" s="28">
        <v>53387</v>
      </c>
      <c r="I271" s="32">
        <v>9.4590679591836739</v>
      </c>
      <c r="J271" s="32">
        <v>9.3199000000000005</v>
      </c>
      <c r="K271" s="32">
        <v>8.9375207145352977</v>
      </c>
      <c r="L271" s="32">
        <v>9.1230117932148627</v>
      </c>
      <c r="M271" s="53">
        <f t="shared" si="10"/>
        <v>2046</v>
      </c>
      <c r="N271" s="3"/>
      <c r="O271" s="3"/>
    </row>
    <row r="272" spans="8:15">
      <c r="H272" s="28">
        <v>53418</v>
      </c>
      <c r="I272" s="32">
        <v>8.9372312244897962</v>
      </c>
      <c r="J272" s="32">
        <v>8.7954000000000008</v>
      </c>
      <c r="K272" s="32">
        <v>8.4097807650435659</v>
      </c>
      <c r="L272" s="32">
        <v>8.7757783521809376</v>
      </c>
      <c r="M272" s="53">
        <f t="shared" si="10"/>
        <v>2046</v>
      </c>
      <c r="N272" s="3"/>
      <c r="O272" s="3"/>
    </row>
    <row r="273" spans="8:15">
      <c r="H273" s="28">
        <v>53448</v>
      </c>
      <c r="I273" s="32">
        <v>8.9891700000000014</v>
      </c>
      <c r="J273" s="32">
        <v>8.8459000000000003</v>
      </c>
      <c r="K273" s="32">
        <v>8.3690312246397749</v>
      </c>
      <c r="L273" s="32">
        <v>8.7337751211631662</v>
      </c>
      <c r="M273" s="53">
        <f t="shared" si="10"/>
        <v>2046</v>
      </c>
      <c r="N273" s="3"/>
      <c r="O273" s="3"/>
    </row>
    <row r="274" spans="8:15">
      <c r="H274" s="28">
        <v>53479</v>
      </c>
      <c r="I274" s="32">
        <v>9.0443740816326539</v>
      </c>
      <c r="J274" s="32">
        <v>8.9017999999999997</v>
      </c>
      <c r="K274" s="32">
        <v>8.2072149538559902</v>
      </c>
      <c r="L274" s="32">
        <v>8.8136418416801288</v>
      </c>
      <c r="M274" s="53">
        <f t="shared" si="10"/>
        <v>2046</v>
      </c>
      <c r="N274" s="3"/>
      <c r="O274" s="3"/>
    </row>
    <row r="275" spans="8:15">
      <c r="H275" s="28">
        <v>53509</v>
      </c>
      <c r="I275" s="32">
        <v>9.0985577551020409</v>
      </c>
      <c r="J275" s="32">
        <v>8.9628999999999994</v>
      </c>
      <c r="K275" s="32">
        <v>8.3533583244844678</v>
      </c>
      <c r="L275" s="32">
        <v>8.5542516962843305</v>
      </c>
      <c r="M275" s="53">
        <f t="shared" si="10"/>
        <v>2046</v>
      </c>
      <c r="N275" s="3"/>
      <c r="O275" s="3"/>
    </row>
    <row r="276" spans="8:15">
      <c r="H276" s="28">
        <v>53540</v>
      </c>
      <c r="I276" s="32">
        <v>9.1830475510204082</v>
      </c>
      <c r="J276" s="32">
        <v>9.0500000000000007</v>
      </c>
      <c r="K276" s="32">
        <v>8.7612134344275905</v>
      </c>
      <c r="L276" s="32">
        <v>8.6580481421647821</v>
      </c>
      <c r="M276" s="53">
        <f t="shared" si="10"/>
        <v>2046</v>
      </c>
      <c r="N276" s="3"/>
      <c r="O276" s="3"/>
    </row>
    <row r="277" spans="8:15">
      <c r="H277" s="28">
        <v>53571</v>
      </c>
      <c r="I277" s="32">
        <v>9.5033536734693893</v>
      </c>
      <c r="J277" s="32">
        <v>9.3630999999999993</v>
      </c>
      <c r="K277" s="32">
        <v>8.8324865902158134</v>
      </c>
      <c r="L277" s="32">
        <v>8.9724665589660759</v>
      </c>
      <c r="M277" s="53">
        <f t="shared" si="10"/>
        <v>2046</v>
      </c>
      <c r="N277" s="3"/>
      <c r="O277" s="3"/>
    </row>
    <row r="278" spans="8:15">
      <c r="H278" s="28">
        <v>53601</v>
      </c>
      <c r="I278" s="32">
        <v>9.6467210204081635</v>
      </c>
      <c r="J278" s="32">
        <v>9.4992000000000001</v>
      </c>
      <c r="K278" s="32">
        <v>9.0170157195853164</v>
      </c>
      <c r="L278" s="32">
        <v>9.2985974151857835</v>
      </c>
      <c r="M278" s="53">
        <f t="shared" si="10"/>
        <v>2046</v>
      </c>
      <c r="N278" s="3"/>
      <c r="O278" s="3"/>
    </row>
    <row r="279" spans="8:15">
      <c r="H279" s="28">
        <v>53632</v>
      </c>
      <c r="I279" s="32">
        <v>10.221721020408163</v>
      </c>
      <c r="J279" s="32">
        <v>10.077400000000001</v>
      </c>
      <c r="K279" s="32">
        <v>9.7369927821294873</v>
      </c>
      <c r="L279" s="32">
        <v>9.3298978998384499</v>
      </c>
      <c r="M279" s="53">
        <f t="shared" si="10"/>
        <v>2046</v>
      </c>
      <c r="N279" s="3"/>
      <c r="O279" s="3"/>
    </row>
    <row r="280" spans="8:15">
      <c r="H280" s="28">
        <v>53662</v>
      </c>
      <c r="I280" s="32">
        <v>10.508557755102041</v>
      </c>
      <c r="J280" s="32">
        <v>10.3782</v>
      </c>
      <c r="K280" s="32">
        <v>9.9589827121980647</v>
      </c>
      <c r="L280" s="32">
        <v>9.1593607431340871</v>
      </c>
      <c r="M280" s="53">
        <f t="shared" si="10"/>
        <v>2046</v>
      </c>
      <c r="N280" s="3"/>
      <c r="O280" s="3"/>
    </row>
    <row r="281" spans="8:15">
      <c r="H281" s="28">
        <v>53693</v>
      </c>
      <c r="I281" s="32">
        <v>10.957639387755103</v>
      </c>
      <c r="J281" s="32">
        <v>10.823399999999999</v>
      </c>
      <c r="K281" s="32">
        <v>10.349160846228319</v>
      </c>
      <c r="L281" s="32">
        <v>9.8763437802907923</v>
      </c>
      <c r="M281" s="53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10.903965918367348</v>
      </c>
      <c r="J282" s="32">
        <v>10.7614</v>
      </c>
      <c r="K282" s="32">
        <v>10.358513199763614</v>
      </c>
      <c r="L282" s="32">
        <v>10.171578029079161</v>
      </c>
      <c r="M282" s="53">
        <f t="shared" si="11"/>
        <v>2047</v>
      </c>
      <c r="N282" s="3"/>
      <c r="O282" s="3"/>
    </row>
    <row r="283" spans="8:15">
      <c r="H283" s="28">
        <v>53752</v>
      </c>
      <c r="I283" s="32">
        <v>9.813353673469388</v>
      </c>
      <c r="J283" s="32">
        <v>9.6671999999999993</v>
      </c>
      <c r="K283" s="32">
        <v>9.2803204421944336</v>
      </c>
      <c r="L283" s="32">
        <v>9.4735772213247191</v>
      </c>
      <c r="M283" s="53">
        <f t="shared" si="11"/>
        <v>2047</v>
      </c>
      <c r="N283" s="3"/>
      <c r="O283" s="3"/>
    </row>
    <row r="284" spans="8:15">
      <c r="H284" s="28">
        <v>53783</v>
      </c>
      <c r="I284" s="32">
        <v>9.2865169387755113</v>
      </c>
      <c r="J284" s="32">
        <v>9.1376000000000008</v>
      </c>
      <c r="K284" s="32">
        <v>8.7424059542412245</v>
      </c>
      <c r="L284" s="32">
        <v>9.1213962843295651</v>
      </c>
      <c r="M284" s="53">
        <f t="shared" si="11"/>
        <v>2047</v>
      </c>
      <c r="N284" s="3"/>
      <c r="O284" s="3"/>
    </row>
    <row r="285" spans="8:15">
      <c r="H285" s="28">
        <v>53813</v>
      </c>
      <c r="I285" s="32">
        <v>9.333455714285714</v>
      </c>
      <c r="J285" s="32">
        <v>9.1832999999999991</v>
      </c>
      <c r="K285" s="32">
        <v>8.7114712463937067</v>
      </c>
      <c r="L285" s="32">
        <v>9.0744455573505665</v>
      </c>
      <c r="M285" s="53">
        <f t="shared" si="11"/>
        <v>2047</v>
      </c>
      <c r="N285" s="3"/>
      <c r="O285" s="3"/>
    </row>
    <row r="286" spans="8:15">
      <c r="H286" s="28">
        <v>53844</v>
      </c>
      <c r="I286" s="32">
        <v>9.390700612244899</v>
      </c>
      <c r="J286" s="32">
        <v>9.2411999999999992</v>
      </c>
      <c r="K286" s="32">
        <v>8.2091162564977811</v>
      </c>
      <c r="L286" s="32">
        <v>9.1563316639741519</v>
      </c>
      <c r="M286" s="53">
        <f t="shared" si="11"/>
        <v>2047</v>
      </c>
      <c r="N286" s="3"/>
      <c r="O286" s="3"/>
    </row>
    <row r="287" spans="8:15">
      <c r="H287" s="28">
        <v>53874</v>
      </c>
      <c r="I287" s="32">
        <v>9.4469251020408169</v>
      </c>
      <c r="J287" s="32">
        <v>9.3043999999999993</v>
      </c>
      <c r="K287" s="32">
        <v>8.2568029822162163</v>
      </c>
      <c r="L287" s="32">
        <v>8.8989609046849765</v>
      </c>
      <c r="M287" s="53">
        <f t="shared" si="11"/>
        <v>2047</v>
      </c>
      <c r="N287" s="3"/>
      <c r="O287" s="3"/>
    </row>
    <row r="288" spans="8:15">
      <c r="H288" s="28">
        <v>53905</v>
      </c>
      <c r="I288" s="32">
        <v>9.5384557142857158</v>
      </c>
      <c r="J288" s="32">
        <v>9.3981999999999992</v>
      </c>
      <c r="K288" s="32">
        <v>9.0863361861738596</v>
      </c>
      <c r="L288" s="32">
        <v>9.00972423263328</v>
      </c>
      <c r="M288" s="53">
        <f t="shared" si="11"/>
        <v>2047</v>
      </c>
      <c r="N288" s="3"/>
      <c r="O288" s="3"/>
    </row>
    <row r="289" spans="8:15">
      <c r="H289" s="28">
        <v>53936</v>
      </c>
      <c r="I289" s="32">
        <v>9.8705985714285713</v>
      </c>
      <c r="J289" s="32">
        <v>9.7228999999999992</v>
      </c>
      <c r="K289" s="32">
        <v>9.1856664025679695</v>
      </c>
      <c r="L289" s="32">
        <v>9.3358550888529894</v>
      </c>
      <c r="M289" s="53">
        <f t="shared" si="11"/>
        <v>2047</v>
      </c>
      <c r="N289" s="3"/>
      <c r="O289" s="3"/>
    </row>
    <row r="290" spans="8:15">
      <c r="H290" s="28">
        <v>53966</v>
      </c>
      <c r="I290" s="32">
        <v>10.010598571428572</v>
      </c>
      <c r="J290" s="32">
        <v>9.8557000000000006</v>
      </c>
      <c r="K290" s="32">
        <v>9.3747175490314625</v>
      </c>
      <c r="L290" s="32">
        <v>9.6586539579967692</v>
      </c>
      <c r="M290" s="53">
        <f t="shared" si="11"/>
        <v>2047</v>
      </c>
      <c r="N290" s="3"/>
      <c r="O290" s="3"/>
    </row>
    <row r="291" spans="8:15">
      <c r="H291" s="28">
        <v>53997</v>
      </c>
      <c r="I291" s="32">
        <v>10.610598571428572</v>
      </c>
      <c r="J291" s="32">
        <v>10.458500000000001</v>
      </c>
      <c r="K291" s="32">
        <v>10.142586883525615</v>
      </c>
      <c r="L291" s="32">
        <v>9.7146919224555734</v>
      </c>
      <c r="M291" s="53">
        <f t="shared" si="11"/>
        <v>2047</v>
      </c>
      <c r="N291" s="3"/>
      <c r="O291" s="3"/>
    </row>
    <row r="292" spans="8:15">
      <c r="H292" s="28">
        <v>54027</v>
      </c>
      <c r="I292" s="32">
        <v>10.937333265306123</v>
      </c>
      <c r="J292" s="32">
        <v>10.798500000000001</v>
      </c>
      <c r="K292" s="32">
        <v>10.316633155086326</v>
      </c>
      <c r="L292" s="32">
        <v>9.5836337641357048</v>
      </c>
      <c r="M292" s="53">
        <f t="shared" si="11"/>
        <v>2047</v>
      </c>
      <c r="N292" s="3"/>
      <c r="O292" s="3"/>
    </row>
    <row r="293" spans="8:15">
      <c r="H293" s="28">
        <v>54058</v>
      </c>
      <c r="I293" s="32">
        <v>11.35947612244898</v>
      </c>
      <c r="J293" s="32">
        <v>11.2172</v>
      </c>
      <c r="K293" s="32">
        <v>10.746019232783784</v>
      </c>
      <c r="L293" s="32">
        <v>10.273960904684976</v>
      </c>
      <c r="M293" s="53">
        <f t="shared" si="11"/>
        <v>2048</v>
      </c>
      <c r="N293" s="3"/>
      <c r="O293" s="3"/>
    </row>
    <row r="294" spans="8:15">
      <c r="H294" s="28">
        <v>54089</v>
      </c>
      <c r="I294" s="32">
        <v>10.814272040816327</v>
      </c>
      <c r="J294" s="32">
        <v>10.6736</v>
      </c>
      <c r="K294" s="32">
        <v>10.237035376920533</v>
      </c>
      <c r="L294" s="32">
        <v>10.082826009693054</v>
      </c>
      <c r="M294" s="53">
        <f t="shared" si="11"/>
        <v>2048</v>
      </c>
      <c r="N294" s="3"/>
      <c r="O294" s="3"/>
    </row>
    <row r="295" spans="8:15">
      <c r="H295" s="28">
        <v>54118</v>
      </c>
      <c r="I295" s="32">
        <v>10.29508836734694</v>
      </c>
      <c r="J295" s="32">
        <v>10.139200000000001</v>
      </c>
      <c r="K295" s="32">
        <v>9.7413092529919325</v>
      </c>
      <c r="L295" s="32">
        <v>9.9502533117932153</v>
      </c>
      <c r="M295" s="53">
        <f t="shared" si="11"/>
        <v>2048</v>
      </c>
      <c r="N295" s="3"/>
      <c r="O295" s="3"/>
    </row>
    <row r="296" spans="8:15">
      <c r="H296" s="28">
        <v>54149</v>
      </c>
      <c r="I296" s="32">
        <v>9.771312857142858</v>
      </c>
      <c r="J296" s="32">
        <v>9.6128</v>
      </c>
      <c r="K296" s="32">
        <v>9.1926549744405008</v>
      </c>
      <c r="L296" s="32">
        <v>9.6011014539579964</v>
      </c>
      <c r="M296" s="53">
        <f t="shared" si="11"/>
        <v>2048</v>
      </c>
      <c r="N296" s="3"/>
      <c r="O296" s="3"/>
    </row>
    <row r="297" spans="8:15">
      <c r="H297" s="28">
        <v>54179</v>
      </c>
      <c r="I297" s="32">
        <v>9.8280475510204077</v>
      </c>
      <c r="J297" s="32">
        <v>9.6679999999999993</v>
      </c>
      <c r="K297" s="32">
        <v>9.172922536212182</v>
      </c>
      <c r="L297" s="32">
        <v>9.5638437802907923</v>
      </c>
      <c r="M297" s="53">
        <f t="shared" si="11"/>
        <v>2048</v>
      </c>
      <c r="N297" s="3"/>
      <c r="O297" s="3"/>
    </row>
    <row r="298" spans="8:15">
      <c r="H298" s="28">
        <v>54210</v>
      </c>
      <c r="I298" s="32">
        <v>9.8873332653061219</v>
      </c>
      <c r="J298" s="32">
        <v>9.7279</v>
      </c>
      <c r="K298" s="32">
        <v>8.6536099822137942</v>
      </c>
      <c r="L298" s="32">
        <v>9.6477492730210024</v>
      </c>
      <c r="M298" s="53">
        <f t="shared" si="11"/>
        <v>2048</v>
      </c>
      <c r="N298" s="3"/>
      <c r="O298" s="3"/>
    </row>
    <row r="299" spans="8:15">
      <c r="H299" s="28">
        <v>54240</v>
      </c>
      <c r="I299" s="32">
        <v>9.9460067346938779</v>
      </c>
      <c r="J299" s="32">
        <v>9.7934000000000001</v>
      </c>
      <c r="K299" s="32">
        <v>8.7052534728894706</v>
      </c>
      <c r="L299" s="32">
        <v>9.3928017770597751</v>
      </c>
      <c r="M299" s="53">
        <f t="shared" si="11"/>
        <v>2048</v>
      </c>
      <c r="N299" s="3"/>
      <c r="O299" s="3"/>
    </row>
    <row r="300" spans="8:15">
      <c r="H300" s="28">
        <v>54271</v>
      </c>
      <c r="I300" s="32">
        <v>10.09712918367347</v>
      </c>
      <c r="J300" s="32">
        <v>9.9458000000000002</v>
      </c>
      <c r="K300" s="32">
        <v>9.5935728990689793</v>
      </c>
      <c r="L300" s="32">
        <v>9.5625311793214873</v>
      </c>
      <c r="M300" s="53">
        <f t="shared" si="11"/>
        <v>2048</v>
      </c>
      <c r="N300" s="3"/>
      <c r="O300" s="3"/>
    </row>
    <row r="301" spans="8:15">
      <c r="H301" s="28">
        <v>54302</v>
      </c>
      <c r="I301" s="32">
        <v>10.41121081632653</v>
      </c>
      <c r="J301" s="32">
        <v>10.252700000000001</v>
      </c>
      <c r="K301" s="32">
        <v>9.7114022763021381</v>
      </c>
      <c r="L301" s="32">
        <v>9.870790468497578</v>
      </c>
      <c r="M301" s="53">
        <f t="shared" si="11"/>
        <v>2048</v>
      </c>
      <c r="N301" s="3"/>
      <c r="O301" s="3"/>
    </row>
    <row r="302" spans="8:15">
      <c r="H302" s="28">
        <v>54332</v>
      </c>
      <c r="I302" s="32">
        <v>10.569476122448979</v>
      </c>
      <c r="J302" s="32">
        <v>10.4034</v>
      </c>
      <c r="K302" s="32">
        <v>9.904924053301734</v>
      </c>
      <c r="L302" s="32">
        <v>10.21166284329564</v>
      </c>
      <c r="M302" s="53">
        <f t="shared" si="11"/>
        <v>2048</v>
      </c>
      <c r="N302" s="3"/>
      <c r="O302" s="3"/>
    </row>
    <row r="303" spans="8:15">
      <c r="H303" s="28">
        <v>54363</v>
      </c>
      <c r="I303" s="32">
        <v>11.214986326530612</v>
      </c>
      <c r="J303" s="32">
        <v>11.050800000000001</v>
      </c>
      <c r="K303" s="32">
        <v>10.71595809642033</v>
      </c>
      <c r="L303" s="32">
        <v>10.312733117932149</v>
      </c>
      <c r="M303" s="53">
        <f t="shared" si="11"/>
        <v>2048</v>
      </c>
      <c r="N303" s="3"/>
      <c r="O303" s="3"/>
    </row>
    <row r="304" spans="8:15">
      <c r="H304" s="28">
        <v>54393</v>
      </c>
      <c r="I304" s="32">
        <v>11.499272040816328</v>
      </c>
      <c r="J304" s="32">
        <v>11.3492</v>
      </c>
      <c r="K304" s="32">
        <v>10.872224618952401</v>
      </c>
      <c r="L304" s="32">
        <v>10.139671728594507</v>
      </c>
      <c r="M304" s="53">
        <f t="shared" si="11"/>
        <v>2048</v>
      </c>
      <c r="N304" s="3"/>
      <c r="O304" s="3"/>
    </row>
    <row r="305" spans="8:15">
      <c r="H305" s="28">
        <v>54424</v>
      </c>
      <c r="I305" s="32">
        <v>12.034272040816328</v>
      </c>
      <c r="J305" s="32">
        <v>11.878500000000001</v>
      </c>
      <c r="K305" s="32">
        <v>11.361887129050423</v>
      </c>
      <c r="L305" s="32">
        <v>10.941670920840066</v>
      </c>
      <c r="M305" s="53">
        <f t="shared" si="10"/>
        <v>2049</v>
      </c>
      <c r="N305" s="3"/>
      <c r="O305" s="3"/>
    </row>
    <row r="306" spans="8:15">
      <c r="H306" s="28">
        <v>54455</v>
      </c>
      <c r="I306" s="32">
        <v>11.858557755102041</v>
      </c>
      <c r="J306" s="32">
        <v>11.696899999999999</v>
      </c>
      <c r="K306" s="32">
        <v>11.176330268523197</v>
      </c>
      <c r="L306" s="32">
        <v>11.116145880452343</v>
      </c>
      <c r="M306" s="53">
        <f t="shared" si="10"/>
        <v>2049</v>
      </c>
      <c r="N306" s="3"/>
      <c r="O306" s="3"/>
    </row>
    <row r="307" spans="8:15">
      <c r="H307" s="28">
        <v>54483</v>
      </c>
      <c r="I307" s="32">
        <v>10.737639387755102</v>
      </c>
      <c r="J307" s="32">
        <v>10.572900000000001</v>
      </c>
      <c r="K307" s="32">
        <v>10.124550201707542</v>
      </c>
      <c r="L307" s="32">
        <v>10.388157189014541</v>
      </c>
      <c r="M307" s="53">
        <f t="shared" si="10"/>
        <v>2049</v>
      </c>
      <c r="N307" s="3"/>
      <c r="O307" s="3"/>
    </row>
    <row r="308" spans="8:15">
      <c r="H308" s="28">
        <v>54514</v>
      </c>
      <c r="I308" s="32">
        <v>10.14386387755102</v>
      </c>
      <c r="J308" s="32">
        <v>9.9778000000000002</v>
      </c>
      <c r="K308" s="32">
        <v>9.543008526108915</v>
      </c>
      <c r="L308" s="32">
        <v>9.9697403877221333</v>
      </c>
      <c r="M308" s="53">
        <f t="shared" si="10"/>
        <v>2049</v>
      </c>
      <c r="N308" s="3"/>
      <c r="O308" s="3"/>
    </row>
    <row r="309" spans="8:15">
      <c r="H309" s="28">
        <v>54544</v>
      </c>
      <c r="I309" s="32">
        <v>10.18774142857143</v>
      </c>
      <c r="J309" s="32">
        <v>10.0205</v>
      </c>
      <c r="K309" s="32">
        <v>9.5055991119677294</v>
      </c>
      <c r="L309" s="32">
        <v>9.9197605815831995</v>
      </c>
      <c r="M309" s="53">
        <f t="shared" si="10"/>
        <v>2049</v>
      </c>
      <c r="N309" s="3"/>
      <c r="O309" s="3"/>
    </row>
    <row r="310" spans="8:15">
      <c r="H310" s="28">
        <v>54575</v>
      </c>
      <c r="I310" s="32">
        <v>10.249272040816328</v>
      </c>
      <c r="J310" s="32">
        <v>10.0825</v>
      </c>
      <c r="K310" s="32">
        <v>8.9888044993057665</v>
      </c>
      <c r="L310" s="32">
        <v>10.005887399030694</v>
      </c>
      <c r="M310" s="53">
        <f t="shared" si="10"/>
        <v>2049</v>
      </c>
      <c r="N310" s="3"/>
      <c r="O310" s="3"/>
    </row>
    <row r="311" spans="8:15">
      <c r="H311" s="28">
        <v>54605</v>
      </c>
      <c r="I311" s="32">
        <v>10.309986326530613</v>
      </c>
      <c r="J311" s="32">
        <v>10.1501</v>
      </c>
      <c r="K311" s="32">
        <v>9.3223546465453815</v>
      </c>
      <c r="L311" s="32">
        <v>9.7529592891760917</v>
      </c>
      <c r="M311" s="53">
        <f t="shared" si="10"/>
        <v>2049</v>
      </c>
      <c r="N311" s="3"/>
      <c r="O311" s="3"/>
    </row>
    <row r="312" spans="8:15">
      <c r="H312" s="28">
        <v>54636</v>
      </c>
      <c r="I312" s="32">
        <v>10.459782244897958</v>
      </c>
      <c r="J312" s="32">
        <v>10.3012</v>
      </c>
      <c r="K312" s="32">
        <v>9.9303090128975402</v>
      </c>
      <c r="L312" s="32">
        <v>9.9213760904684989</v>
      </c>
      <c r="M312" s="53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10.768455714285714</v>
      </c>
      <c r="J313" s="32">
        <v>10.6028</v>
      </c>
      <c r="K313" s="32">
        <v>10.039145742500605</v>
      </c>
      <c r="L313" s="32">
        <v>10.224284006462035</v>
      </c>
      <c r="M313" s="53">
        <f t="shared" si="12"/>
        <v>2049</v>
      </c>
      <c r="N313" s="3"/>
      <c r="O313" s="3"/>
    </row>
    <row r="314" spans="8:15">
      <c r="H314" s="28">
        <v>54697</v>
      </c>
      <c r="I314" s="32">
        <v>10.925292448979592</v>
      </c>
      <c r="J314" s="32">
        <v>10.7521</v>
      </c>
      <c r="K314" s="32">
        <v>10.223726258427995</v>
      </c>
      <c r="L314" s="32">
        <v>10.563742810985461</v>
      </c>
      <c r="M314" s="53">
        <f t="shared" si="12"/>
        <v>2049</v>
      </c>
      <c r="N314" s="3"/>
      <c r="O314" s="3"/>
    </row>
    <row r="315" spans="8:15">
      <c r="H315" s="28">
        <v>54728</v>
      </c>
      <c r="I315" s="32">
        <v>11.579884285714288</v>
      </c>
      <c r="J315" s="32">
        <v>11.4085</v>
      </c>
      <c r="K315" s="32">
        <v>11.063536773962886</v>
      </c>
      <c r="L315" s="32">
        <v>10.673799353796447</v>
      </c>
      <c r="M315" s="53">
        <f t="shared" si="12"/>
        <v>2049</v>
      </c>
      <c r="N315" s="3"/>
      <c r="O315" s="3"/>
    </row>
    <row r="316" spans="8:15">
      <c r="H316" s="28">
        <v>54758</v>
      </c>
      <c r="I316" s="32">
        <v>11.906414897959184</v>
      </c>
      <c r="J316" s="32">
        <v>11.748200000000001</v>
      </c>
      <c r="K316" s="32">
        <v>11.246627079711578</v>
      </c>
      <c r="L316" s="32">
        <v>10.542539256865915</v>
      </c>
      <c r="M316" s="53">
        <f t="shared" si="12"/>
        <v>2049</v>
      </c>
      <c r="N316" s="3"/>
      <c r="O316" s="3"/>
    </row>
    <row r="317" spans="8:15">
      <c r="H317" s="28">
        <v>54789</v>
      </c>
      <c r="I317" s="32">
        <v>12.350394489795919</v>
      </c>
      <c r="J317" s="32">
        <v>12.1883</v>
      </c>
      <c r="K317" s="32">
        <v>11.664399795326744</v>
      </c>
      <c r="L317" s="32">
        <v>11.25447382875606</v>
      </c>
      <c r="M317" s="53">
        <f t="shared" si="12"/>
        <v>2050</v>
      </c>
      <c r="N317" s="3"/>
      <c r="O317" s="3"/>
    </row>
    <row r="318" spans="8:15">
      <c r="H318" s="28">
        <v>54820</v>
      </c>
      <c r="I318" s="32">
        <v>12.213863877551022</v>
      </c>
      <c r="J318" s="32">
        <v>12.045199999999999</v>
      </c>
      <c r="K318" s="32">
        <v>11.5547408807975</v>
      </c>
      <c r="L318" s="32">
        <v>11.46772100161551</v>
      </c>
      <c r="M318" s="53">
        <f t="shared" si="12"/>
        <v>2050</v>
      </c>
      <c r="N318" s="3"/>
      <c r="O318" s="3"/>
    </row>
    <row r="319" spans="8:15">
      <c r="H319" s="28">
        <v>54848</v>
      </c>
      <c r="I319" s="32">
        <v>11.238149591836734</v>
      </c>
      <c r="J319" s="32">
        <v>11.0634</v>
      </c>
      <c r="K319" s="32">
        <v>10.627007964719242</v>
      </c>
      <c r="L319" s="32">
        <v>10.883411631663975</v>
      </c>
      <c r="M319" s="53">
        <f t="shared" si="12"/>
        <v>2050</v>
      </c>
      <c r="N319" s="3"/>
      <c r="O319" s="3"/>
    </row>
    <row r="320" spans="8:15">
      <c r="H320" s="28">
        <v>54879</v>
      </c>
      <c r="I320" s="32">
        <v>10.68478224489796</v>
      </c>
      <c r="J320" s="32">
        <v>10.507999999999999</v>
      </c>
      <c r="K320" s="32">
        <v>10.041355364489714</v>
      </c>
      <c r="L320" s="32">
        <v>10.504978675282715</v>
      </c>
      <c r="M320" s="53">
        <f t="shared" si="12"/>
        <v>2050</v>
      </c>
      <c r="N320" s="3"/>
      <c r="O320" s="3"/>
    </row>
    <row r="321" spans="8:15">
      <c r="H321" s="28">
        <v>54909</v>
      </c>
      <c r="I321" s="32">
        <v>10.746823061224489</v>
      </c>
      <c r="J321" s="32">
        <v>10.5684</v>
      </c>
      <c r="K321" s="32">
        <v>9.9877077980564746</v>
      </c>
      <c r="L321" s="32">
        <v>10.47297140549273</v>
      </c>
      <c r="M321" s="53">
        <f t="shared" si="12"/>
        <v>2050</v>
      </c>
      <c r="N321" s="3"/>
      <c r="O321" s="3"/>
    </row>
    <row r="322" spans="8:15">
      <c r="H322" s="28">
        <v>54940</v>
      </c>
      <c r="I322" s="32">
        <v>10.811618979591838</v>
      </c>
      <c r="J322" s="32">
        <v>10.633699999999999</v>
      </c>
      <c r="K322" s="32">
        <v>9.4922386069173061</v>
      </c>
      <c r="L322" s="32">
        <v>10.562329240710824</v>
      </c>
      <c r="M322" s="53">
        <f t="shared" si="12"/>
        <v>2050</v>
      </c>
      <c r="N322" s="3"/>
      <c r="O322" s="3"/>
    </row>
    <row r="323" spans="8:15">
      <c r="H323" s="28">
        <v>54970</v>
      </c>
      <c r="I323" s="32">
        <v>10.875700612244898</v>
      </c>
      <c r="J323" s="32">
        <v>10.704499999999999</v>
      </c>
      <c r="K323" s="32">
        <v>9.8396631247862043</v>
      </c>
      <c r="L323" s="32">
        <v>10.312733117932149</v>
      </c>
      <c r="M323" s="53">
        <f t="shared" si="12"/>
        <v>2050</v>
      </c>
      <c r="N323" s="3"/>
      <c r="O323" s="3"/>
    </row>
    <row r="324" spans="8:15">
      <c r="H324" s="28">
        <v>55001</v>
      </c>
      <c r="I324" s="32">
        <v>11.027027142857143</v>
      </c>
      <c r="J324" s="32">
        <v>10.857100000000001</v>
      </c>
      <c r="K324" s="32">
        <v>10.450854844285196</v>
      </c>
      <c r="L324" s="32">
        <v>10.482664458804525</v>
      </c>
      <c r="M324" s="53">
        <f t="shared" si="12"/>
        <v>2050</v>
      </c>
      <c r="N324" s="3"/>
      <c r="O324" s="3"/>
    </row>
    <row r="325" spans="8:15">
      <c r="H325" s="28">
        <v>55032</v>
      </c>
      <c r="I325" s="32">
        <v>11.316312857142858</v>
      </c>
      <c r="J325" s="32">
        <v>11.139699999999999</v>
      </c>
      <c r="K325" s="32">
        <v>10.584151575442114</v>
      </c>
      <c r="L325" s="32">
        <v>10.766388206785139</v>
      </c>
      <c r="M325" s="53">
        <f t="shared" si="12"/>
        <v>2050</v>
      </c>
      <c r="N325" s="3"/>
      <c r="O325" s="3"/>
    </row>
    <row r="326" spans="8:15">
      <c r="H326" s="28">
        <v>55062</v>
      </c>
      <c r="I326" s="32">
        <v>11.464884285714287</v>
      </c>
      <c r="J326" s="32">
        <v>11.280900000000001</v>
      </c>
      <c r="K326" s="32">
        <v>10.776285915378784</v>
      </c>
      <c r="L326" s="32">
        <v>11.097668497576738</v>
      </c>
      <c r="M326" s="53">
        <f t="shared" si="12"/>
        <v>2050</v>
      </c>
      <c r="N326" s="3"/>
      <c r="O326" s="3"/>
    </row>
    <row r="327" spans="8:15">
      <c r="H327" s="28">
        <v>55093</v>
      </c>
      <c r="I327" s="32">
        <v>12.148251632653061</v>
      </c>
      <c r="J327" s="32">
        <v>11.965400000000001</v>
      </c>
      <c r="K327" s="32">
        <v>11.631666557953208</v>
      </c>
      <c r="L327" s="32">
        <v>11.236198384491116</v>
      </c>
      <c r="M327" s="53">
        <f t="shared" si="12"/>
        <v>2050</v>
      </c>
      <c r="N327" s="3"/>
      <c r="O327" s="3"/>
    </row>
    <row r="328" spans="8:15">
      <c r="H328" s="28">
        <v>55123</v>
      </c>
      <c r="I328" s="32">
        <v>12.475802653061226</v>
      </c>
      <c r="J328" s="32">
        <v>12.306100000000001</v>
      </c>
      <c r="K328" s="32">
        <v>11.798210392062524</v>
      </c>
      <c r="L328" s="32">
        <v>11.105947980613895</v>
      </c>
      <c r="M328" s="53">
        <f t="shared" si="12"/>
        <v>2050</v>
      </c>
      <c r="N328" s="3"/>
      <c r="O328" s="3"/>
    </row>
    <row r="329" spans="8:15">
      <c r="H329" s="28">
        <v>55154</v>
      </c>
      <c r="I329" s="32">
        <v>12.634680204081633</v>
      </c>
      <c r="J329" s="32">
        <v>12.466900000000001</v>
      </c>
      <c r="K329" s="32">
        <v>11.932432081261396</v>
      </c>
      <c r="L329" s="32">
        <v>11.535774313408725</v>
      </c>
      <c r="M329" s="53">
        <f t="shared" ref="M329:M340" si="13">YEAR(H329)</f>
        <v>2051</v>
      </c>
    </row>
    <row r="330" spans="8:15">
      <c r="H330" s="28">
        <v>55185</v>
      </c>
      <c r="I330" s="32">
        <v>12.49508836734694</v>
      </c>
      <c r="J330" s="32">
        <v>12.3208</v>
      </c>
      <c r="K330" s="32">
        <v>11.820203838837838</v>
      </c>
      <c r="L330" s="32">
        <v>11.74599240710824</v>
      </c>
      <c r="M330" s="53">
        <f t="shared" si="13"/>
        <v>2051</v>
      </c>
    </row>
    <row r="331" spans="8:15">
      <c r="H331" s="28">
        <v>55213</v>
      </c>
      <c r="I331" s="32">
        <v>11.496823061224491</v>
      </c>
      <c r="J331" s="32">
        <v>11.317</v>
      </c>
      <c r="K331" s="32">
        <v>10.871196887794675</v>
      </c>
      <c r="L331" s="32">
        <v>11.139368820678515</v>
      </c>
      <c r="M331" s="53">
        <f t="shared" si="13"/>
        <v>2051</v>
      </c>
    </row>
    <row r="332" spans="8:15">
      <c r="H332" s="28">
        <v>55244</v>
      </c>
      <c r="I332" s="32">
        <v>10.930802653061225</v>
      </c>
      <c r="J332" s="32">
        <v>10.749000000000001</v>
      </c>
      <c r="K332" s="32">
        <v>10.272029622841064</v>
      </c>
      <c r="L332" s="32">
        <v>10.748415670436188</v>
      </c>
      <c r="M332" s="53">
        <f t="shared" si="13"/>
        <v>2051</v>
      </c>
    </row>
    <row r="333" spans="8:15">
      <c r="H333" s="28">
        <v>55274</v>
      </c>
      <c r="I333" s="32">
        <v>10.994272040816327</v>
      </c>
      <c r="J333" s="32">
        <v>10.8109</v>
      </c>
      <c r="K333" s="32">
        <v>10.217148779018556</v>
      </c>
      <c r="L333" s="32">
        <v>10.71782197092084</v>
      </c>
      <c r="M333" s="53">
        <f t="shared" si="13"/>
        <v>2051</v>
      </c>
    </row>
    <row r="334" spans="8:15">
      <c r="H334" s="28">
        <v>55305</v>
      </c>
      <c r="I334" s="32">
        <v>11.060598571428573</v>
      </c>
      <c r="J334" s="32">
        <v>10.877700000000001</v>
      </c>
      <c r="K334" s="32">
        <v>9.7103231585865277</v>
      </c>
      <c r="L334" s="32">
        <v>10.808694345718903</v>
      </c>
      <c r="M334" s="53">
        <f t="shared" si="13"/>
        <v>2051</v>
      </c>
    </row>
    <row r="335" spans="8:15">
      <c r="H335" s="28">
        <v>55335</v>
      </c>
      <c r="I335" s="32">
        <v>11.126108775510204</v>
      </c>
      <c r="J335" s="32">
        <v>10.9499</v>
      </c>
      <c r="K335" s="32">
        <v>10.065712592927794</v>
      </c>
      <c r="L335" s="32">
        <v>10.560511793214863</v>
      </c>
      <c r="M335" s="53">
        <f t="shared" si="13"/>
        <v>2051</v>
      </c>
    </row>
    <row r="336" spans="8:15">
      <c r="H336" s="28">
        <v>55366</v>
      </c>
      <c r="I336" s="32">
        <v>11.280904693877551</v>
      </c>
      <c r="J336" s="32">
        <v>11.1059</v>
      </c>
      <c r="K336" s="32">
        <v>10.69093284272973</v>
      </c>
      <c r="L336" s="32">
        <v>10.733876090468497</v>
      </c>
      <c r="M336" s="53">
        <f t="shared" si="13"/>
        <v>2051</v>
      </c>
    </row>
    <row r="337" spans="8:13">
      <c r="H337" s="28">
        <v>55397</v>
      </c>
      <c r="I337" s="32">
        <v>11.576823061224491</v>
      </c>
      <c r="J337" s="32">
        <v>11.395099999999999</v>
      </c>
      <c r="K337" s="32">
        <v>10.827364153917708</v>
      </c>
      <c r="L337" s="32">
        <v>11.024162843295638</v>
      </c>
      <c r="M337" s="53">
        <f t="shared" si="13"/>
        <v>2051</v>
      </c>
    </row>
    <row r="338" spans="8:13">
      <c r="H338" s="28">
        <v>55427</v>
      </c>
      <c r="I338" s="32">
        <v>11.728863877551021</v>
      </c>
      <c r="J338" s="32">
        <v>11.5396</v>
      </c>
      <c r="K338" s="32">
        <v>11.023866351274709</v>
      </c>
      <c r="L338" s="32">
        <v>11.358876090468497</v>
      </c>
      <c r="M338" s="53">
        <f t="shared" si="13"/>
        <v>2051</v>
      </c>
    </row>
    <row r="339" spans="8:13">
      <c r="H339" s="28">
        <v>55458</v>
      </c>
      <c r="I339" s="32">
        <v>12.427843469387756</v>
      </c>
      <c r="J339" s="32">
        <v>12.2395</v>
      </c>
      <c r="K339" s="32">
        <v>11.898928045519563</v>
      </c>
      <c r="L339" s="32">
        <v>11.512854281098548</v>
      </c>
      <c r="M339" s="53">
        <f t="shared" si="13"/>
        <v>2051</v>
      </c>
    </row>
    <row r="340" spans="8:13">
      <c r="H340" s="28">
        <v>55488</v>
      </c>
      <c r="I340" s="32">
        <v>12.762945510204082</v>
      </c>
      <c r="J340" s="32">
        <v>12.5876</v>
      </c>
      <c r="K340" s="32">
        <v>12.069325871470353</v>
      </c>
      <c r="L340" s="32">
        <v>11.390075605815833</v>
      </c>
      <c r="M340" s="53">
        <f t="shared" si="13"/>
        <v>2051</v>
      </c>
    </row>
    <row r="341" spans="8:13">
      <c r="H341" s="28">
        <v>55519</v>
      </c>
      <c r="I341" s="32">
        <v>12.925598571428573</v>
      </c>
      <c r="J341" s="32">
        <v>12.752000000000001</v>
      </c>
      <c r="K341" s="32">
        <v>12.20657936758451</v>
      </c>
      <c r="L341" s="32">
        <v>11.823637802907916</v>
      </c>
      <c r="M341" s="53">
        <f>YEAR(H341)</f>
        <v>2052</v>
      </c>
    </row>
    <row r="342" spans="8:13">
      <c r="H342" s="28">
        <v>55550</v>
      </c>
      <c r="I342" s="32">
        <v>12.782741428571429</v>
      </c>
      <c r="J342" s="32">
        <v>12.602600000000001</v>
      </c>
      <c r="K342" s="32">
        <v>12.091833183824527</v>
      </c>
      <c r="L342" s="32">
        <v>12.030624878836834</v>
      </c>
      <c r="M342" s="53">
        <f>YEAR(H342)</f>
        <v>2052</v>
      </c>
    </row>
    <row r="343" spans="8:13">
      <c r="H343" s="28">
        <v>55579</v>
      </c>
      <c r="I343" s="32">
        <v>11.761516938775511</v>
      </c>
      <c r="J343" s="32">
        <v>11.5764</v>
      </c>
      <c r="K343" s="32">
        <v>11.120986945679711</v>
      </c>
      <c r="L343" s="32">
        <v>11.401283198707596</v>
      </c>
      <c r="M343" s="53">
        <f>YEAR(H343)</f>
        <v>2052</v>
      </c>
    </row>
    <row r="344" spans="8:13">
      <c r="H344" s="28">
        <v>55610</v>
      </c>
      <c r="I344" s="32">
        <v>11.18243530612245</v>
      </c>
      <c r="J344" s="32">
        <v>10.995699999999999</v>
      </c>
      <c r="K344" s="32">
        <v>10.508048083212586</v>
      </c>
      <c r="L344" s="32">
        <v>10.997405977382877</v>
      </c>
      <c r="M344" s="53">
        <f t="shared" ref="M344:M365" si="14">YEAR(H344)</f>
        <v>2052</v>
      </c>
    </row>
    <row r="345" spans="8:13">
      <c r="H345" s="28">
        <v>55640</v>
      </c>
      <c r="I345" s="32">
        <v>11.247333265306123</v>
      </c>
      <c r="J345" s="32">
        <v>11.0589</v>
      </c>
      <c r="K345" s="32">
        <v>10.451933962000806</v>
      </c>
      <c r="L345" s="32">
        <v>10.968225848142167</v>
      </c>
      <c r="M345" s="53">
        <f t="shared" si="14"/>
        <v>2052</v>
      </c>
    </row>
    <row r="346" spans="8:13">
      <c r="H346" s="28">
        <v>55671</v>
      </c>
      <c r="I346" s="32">
        <v>11.315190408163266</v>
      </c>
      <c r="J346" s="32">
        <v>11.1272</v>
      </c>
      <c r="K346" s="32">
        <v>9.9333922063707139</v>
      </c>
      <c r="L346" s="32">
        <v>11.060612762520195</v>
      </c>
      <c r="M346" s="53">
        <f t="shared" si="14"/>
        <v>2052</v>
      </c>
    </row>
    <row r="347" spans="8:13">
      <c r="H347" s="28">
        <v>55701</v>
      </c>
      <c r="I347" s="32">
        <v>11.382231224489795</v>
      </c>
      <c r="J347" s="32">
        <v>11.201000000000001</v>
      </c>
      <c r="K347" s="32">
        <v>10.297003489973779</v>
      </c>
      <c r="L347" s="32">
        <v>10.813944749596123</v>
      </c>
      <c r="M347" s="53">
        <f t="shared" si="14"/>
        <v>2052</v>
      </c>
    </row>
    <row r="348" spans="8:13">
      <c r="H348" s="28">
        <v>55732</v>
      </c>
      <c r="I348" s="32">
        <v>11.540700612244898</v>
      </c>
      <c r="J348" s="32">
        <v>11.3605</v>
      </c>
      <c r="K348" s="32">
        <v>10.936611975983865</v>
      </c>
      <c r="L348" s="32">
        <v>10.99094394184168</v>
      </c>
      <c r="M348" s="53">
        <f t="shared" si="14"/>
        <v>2052</v>
      </c>
    </row>
    <row r="349" spans="8:13">
      <c r="H349" s="28">
        <v>55763</v>
      </c>
      <c r="I349" s="32">
        <v>11.843353673469387</v>
      </c>
      <c r="J349" s="32">
        <v>11.6563</v>
      </c>
      <c r="K349" s="32">
        <v>11.076075094087132</v>
      </c>
      <c r="L349" s="32">
        <v>11.287894668820678</v>
      </c>
      <c r="M349" s="53">
        <f t="shared" si="14"/>
        <v>2052</v>
      </c>
    </row>
    <row r="350" spans="8:13">
      <c r="H350" s="28">
        <v>55793</v>
      </c>
      <c r="I350" s="32">
        <v>11.99886387755102</v>
      </c>
      <c r="J350" s="32">
        <v>11.8042</v>
      </c>
      <c r="K350" s="32">
        <v>11.277150695096005</v>
      </c>
      <c r="L350" s="32">
        <v>11.6260408723748</v>
      </c>
      <c r="M350" s="53">
        <f t="shared" si="14"/>
        <v>2052</v>
      </c>
    </row>
    <row r="351" spans="8:13">
      <c r="H351" s="28">
        <v>55824</v>
      </c>
      <c r="I351" s="32">
        <v>12.713965918367348</v>
      </c>
      <c r="J351" s="32">
        <v>12.5199</v>
      </c>
      <c r="K351" s="32">
        <v>12.172304533474385</v>
      </c>
      <c r="L351" s="32">
        <v>11.795972213247174</v>
      </c>
      <c r="M351" s="53">
        <f t="shared" si="14"/>
        <v>2052</v>
      </c>
    </row>
    <row r="352" spans="8:13">
      <c r="H352" s="28">
        <v>55854</v>
      </c>
      <c r="I352" s="32">
        <v>13.056721020408164</v>
      </c>
      <c r="J352" s="32">
        <v>12.875500000000001</v>
      </c>
      <c r="K352" s="32">
        <v>12.346607737824526</v>
      </c>
      <c r="L352" s="32">
        <v>11.680766235864299</v>
      </c>
      <c r="M352" s="53">
        <f t="shared" si="14"/>
        <v>2052</v>
      </c>
    </row>
    <row r="353" spans="8:13">
      <c r="H353" s="28">
        <v>55885</v>
      </c>
      <c r="I353" s="32">
        <v>13.223047551020407</v>
      </c>
      <c r="J353" s="32">
        <v>13.0436</v>
      </c>
      <c r="K353" s="32">
        <v>12.487149973643405</v>
      </c>
      <c r="L353" s="32">
        <v>12.117963327948305</v>
      </c>
      <c r="M353" s="53">
        <f t="shared" si="14"/>
        <v>2053</v>
      </c>
    </row>
    <row r="354" spans="8:13">
      <c r="H354" s="28">
        <v>55916</v>
      </c>
      <c r="I354" s="32">
        <v>13.077027142857144</v>
      </c>
      <c r="J354" s="32">
        <v>12.891</v>
      </c>
      <c r="K354" s="32">
        <v>12.369680302315452</v>
      </c>
      <c r="L354" s="32">
        <v>12.321820355411957</v>
      </c>
      <c r="M354" s="53">
        <f t="shared" si="14"/>
        <v>2053</v>
      </c>
    </row>
    <row r="355" spans="8:13">
      <c r="H355" s="28">
        <v>55944</v>
      </c>
      <c r="I355" s="32">
        <v>12.032333265306121</v>
      </c>
      <c r="J355" s="32">
        <v>11.841699999999999</v>
      </c>
      <c r="K355" s="32">
        <v>11.376480911490116</v>
      </c>
      <c r="L355" s="32">
        <v>11.669255735056545</v>
      </c>
      <c r="M355" s="53">
        <f t="shared" si="14"/>
        <v>2053</v>
      </c>
    </row>
    <row r="356" spans="8:13">
      <c r="H356" s="28">
        <v>55975</v>
      </c>
      <c r="I356" s="32">
        <v>11.439884285714287</v>
      </c>
      <c r="J356" s="32">
        <v>11.247999999999999</v>
      </c>
      <c r="K356" s="32">
        <v>10.749462132162163</v>
      </c>
      <c r="L356" s="32">
        <v>11.252151534733443</v>
      </c>
      <c r="M356" s="53">
        <f t="shared" si="14"/>
        <v>2053</v>
      </c>
    </row>
    <row r="357" spans="8:13">
      <c r="H357" s="28">
        <v>56005</v>
      </c>
      <c r="I357" s="32">
        <v>11.506312857142857</v>
      </c>
      <c r="J357" s="32">
        <v>11.3127</v>
      </c>
      <c r="K357" s="32">
        <v>10.692063347003227</v>
      </c>
      <c r="L357" s="32">
        <v>11.224485945072699</v>
      </c>
      <c r="M357" s="53">
        <f t="shared" si="14"/>
        <v>2053</v>
      </c>
    </row>
    <row r="358" spans="8:13">
      <c r="H358" s="28">
        <v>56036</v>
      </c>
      <c r="I358" s="32">
        <v>11.575700612244898</v>
      </c>
      <c r="J358" s="32">
        <v>11.3825</v>
      </c>
      <c r="K358" s="32">
        <v>10.161599909943524</v>
      </c>
      <c r="L358" s="32">
        <v>11.318387399030696</v>
      </c>
      <c r="M358" s="53">
        <f t="shared" si="14"/>
        <v>2053</v>
      </c>
    </row>
    <row r="359" spans="8:13">
      <c r="H359" s="28">
        <v>56066</v>
      </c>
      <c r="I359" s="32">
        <v>11.644272040816327</v>
      </c>
      <c r="J359" s="32">
        <v>11.457800000000001</v>
      </c>
      <c r="K359" s="32">
        <v>10.53358720248205</v>
      </c>
      <c r="L359" s="32">
        <v>11.073233925686592</v>
      </c>
      <c r="M359" s="53">
        <f t="shared" si="14"/>
        <v>2053</v>
      </c>
    </row>
    <row r="360" spans="8:13">
      <c r="H360" s="28">
        <v>56097</v>
      </c>
      <c r="I360" s="32">
        <v>11.806312857142858</v>
      </c>
      <c r="J360" s="32">
        <v>11.620799999999999</v>
      </c>
      <c r="K360" s="32">
        <v>11.1878922440476</v>
      </c>
      <c r="L360" s="32">
        <v>11.25376704361874</v>
      </c>
      <c r="M360" s="53">
        <f t="shared" si="14"/>
        <v>2053</v>
      </c>
    </row>
    <row r="361" spans="8:13">
      <c r="H361" s="28">
        <v>56128</v>
      </c>
      <c r="I361" s="32">
        <v>12.116006734693878</v>
      </c>
      <c r="J361" s="32">
        <v>11.923500000000001</v>
      </c>
      <c r="K361" s="32">
        <v>11.3305927152977</v>
      </c>
      <c r="L361" s="32">
        <v>11.557684652665591</v>
      </c>
      <c r="M361" s="53">
        <f t="shared" si="14"/>
        <v>2053</v>
      </c>
    </row>
    <row r="362" spans="8:13">
      <c r="H362" s="28">
        <v>56158</v>
      </c>
      <c r="I362" s="32">
        <v>12.275088367346939</v>
      </c>
      <c r="J362" s="32">
        <v>12.0749</v>
      </c>
      <c r="K362" s="32">
        <v>11.536241719958451</v>
      </c>
      <c r="L362" s="32">
        <v>11.899364781906302</v>
      </c>
      <c r="M362" s="53">
        <f t="shared" si="14"/>
        <v>2053</v>
      </c>
    </row>
    <row r="363" spans="8:13">
      <c r="H363" s="28">
        <v>56189</v>
      </c>
      <c r="I363" s="32">
        <v>13.006618979591837</v>
      </c>
      <c r="J363" s="32">
        <v>12.806699999999999</v>
      </c>
      <c r="K363" s="32">
        <v>12.452052954607101</v>
      </c>
      <c r="L363" s="32">
        <v>12.085552180936997</v>
      </c>
      <c r="M363" s="53">
        <f t="shared" si="14"/>
        <v>2053</v>
      </c>
    </row>
    <row r="364" spans="8:13">
      <c r="H364" s="28">
        <v>56219</v>
      </c>
      <c r="I364" s="32">
        <v>13.357333265306123</v>
      </c>
      <c r="J364" s="32">
        <v>13.17</v>
      </c>
      <c r="K364" s="32">
        <v>12.630364310472366</v>
      </c>
      <c r="L364" s="32">
        <v>11.978221809369952</v>
      </c>
      <c r="M364" s="53">
        <f t="shared" si="14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3">
        <f t="shared" si="14"/>
        <v>1900</v>
      </c>
    </row>
    <row r="366" spans="8:13">
      <c r="H366" s="28"/>
      <c r="I366" s="32"/>
      <c r="J366" s="32"/>
      <c r="K366" s="32"/>
      <c r="L366" s="32"/>
      <c r="M366" s="53"/>
    </row>
    <row r="367" spans="8:13">
      <c r="H367" s="28"/>
      <c r="I367" s="32"/>
      <c r="J367" s="32"/>
      <c r="K367" s="32"/>
      <c r="L367" s="32"/>
      <c r="M367" s="53"/>
    </row>
    <row r="368" spans="8:13">
      <c r="H368" s="28"/>
      <c r="I368" s="32"/>
      <c r="J368" s="32"/>
      <c r="K368" s="32"/>
      <c r="L368" s="32"/>
      <c r="M368" s="53"/>
    </row>
    <row r="369" spans="8:13">
      <c r="H369" s="28"/>
      <c r="I369" s="32"/>
      <c r="J369" s="32"/>
      <c r="K369" s="32"/>
      <c r="L369" s="32"/>
      <c r="M369" s="53"/>
    </row>
    <row r="370" spans="8:13">
      <c r="H370" s="28"/>
      <c r="I370" s="32"/>
      <c r="J370" s="32"/>
      <c r="K370" s="32"/>
      <c r="L370" s="32"/>
      <c r="M370" s="53"/>
    </row>
    <row r="371" spans="8:13">
      <c r="H371" s="28"/>
      <c r="I371" s="32"/>
      <c r="J371" s="32"/>
      <c r="K371" s="32"/>
      <c r="L371" s="32"/>
      <c r="M371" s="53"/>
    </row>
    <row r="372" spans="8:13">
      <c r="H372" s="28"/>
      <c r="I372" s="32"/>
      <c r="J372" s="32"/>
      <c r="K372" s="32"/>
      <c r="L372" s="32"/>
      <c r="M372" s="53"/>
    </row>
    <row r="373" spans="8:13">
      <c r="H373" s="28"/>
      <c r="I373" s="32"/>
      <c r="J373" s="32"/>
      <c r="K373" s="32"/>
      <c r="L373" s="32"/>
      <c r="M373" s="53"/>
    </row>
    <row r="374" spans="8:13">
      <c r="H374" s="28"/>
      <c r="I374" s="32"/>
      <c r="J374" s="32"/>
      <c r="K374" s="32"/>
      <c r="L374" s="32"/>
      <c r="M374" s="53"/>
    </row>
    <row r="375" spans="8:13">
      <c r="H375" s="28"/>
      <c r="I375" s="32"/>
      <c r="J375" s="32"/>
      <c r="K375" s="32"/>
      <c r="L375" s="32"/>
      <c r="M375" s="53"/>
    </row>
    <row r="376" spans="8:13">
      <c r="H376" s="28"/>
      <c r="I376" s="32"/>
      <c r="J376" s="32"/>
      <c r="K376" s="32"/>
      <c r="L376" s="32"/>
      <c r="M376" s="53"/>
    </row>
    <row r="377" spans="8:13">
      <c r="H377" s="28"/>
      <c r="I377" s="32"/>
      <c r="J377" s="32"/>
      <c r="K377" s="32"/>
      <c r="L377" s="32"/>
      <c r="M377" s="53"/>
    </row>
    <row r="378" spans="8:13">
      <c r="H378" s="28"/>
      <c r="I378" s="32"/>
      <c r="J378" s="32"/>
      <c r="K378" s="32"/>
      <c r="L378" s="32"/>
      <c r="M378" s="53"/>
    </row>
    <row r="379" spans="8:13">
      <c r="H379" s="28"/>
      <c r="I379" s="32"/>
      <c r="J379" s="32"/>
      <c r="K379" s="32"/>
      <c r="L379" s="32"/>
      <c r="M379" s="53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V276"/>
  <sheetViews>
    <sheetView view="pageBreakPreview" topLeftCell="A2" zoomScale="70" zoomScaleNormal="100" zoomScaleSheetLayoutView="70" workbookViewId="0">
      <selection activeCell="A3" sqref="A3"/>
    </sheetView>
  </sheetViews>
  <sheetFormatPr defaultColWidth="9.33203125" defaultRowHeight="12.75" outlineLevelRow="1"/>
  <cols>
    <col min="1" max="1" width="18.5" style="85" customWidth="1"/>
    <col min="2" max="2" width="22.83203125" style="85" customWidth="1"/>
    <col min="3" max="3" width="18.1640625" style="85" customWidth="1"/>
    <col min="4" max="4" width="18.33203125" style="85" customWidth="1"/>
    <col min="5" max="5" width="18.5" style="85" customWidth="1"/>
    <col min="6" max="7" width="16.1640625" style="85" customWidth="1"/>
    <col min="8" max="8" width="3.83203125" style="85" customWidth="1"/>
    <col min="9" max="9" width="9.5" style="85" customWidth="1"/>
    <col min="10" max="11" width="10" style="85" customWidth="1"/>
    <col min="12" max="12" width="9.33203125" style="85" customWidth="1"/>
    <col min="13" max="13" width="30.1640625" style="85" customWidth="1"/>
    <col min="14" max="14" width="20" style="85" customWidth="1"/>
    <col min="15" max="15" width="14.6640625" style="85" customWidth="1"/>
    <col min="16" max="16" width="14.33203125" style="85" customWidth="1"/>
    <col min="17" max="17" width="14.6640625" style="85" customWidth="1"/>
    <col min="18" max="18" width="13.6640625" style="85" customWidth="1"/>
    <col min="19" max="19" width="16" style="85" customWidth="1"/>
    <col min="20" max="20" width="15.1640625" style="85" bestFit="1" customWidth="1"/>
    <col min="21" max="21" width="13.83203125" style="85" customWidth="1"/>
    <col min="22" max="16384" width="9.33203125" style="85"/>
  </cols>
  <sheetData>
    <row r="1" spans="1:22" s="3" customFormat="1" ht="15.75" hidden="1">
      <c r="B1" s="1" t="s">
        <v>34</v>
      </c>
      <c r="C1" s="1"/>
      <c r="D1" s="10"/>
      <c r="E1" s="10"/>
      <c r="F1" s="10"/>
      <c r="G1" s="10"/>
      <c r="H1" s="29"/>
      <c r="I1" s="46"/>
      <c r="J1" s="46"/>
      <c r="K1" s="46"/>
    </row>
    <row r="2" spans="1:22" ht="5.25" customHeight="1"/>
    <row r="3" spans="1:22" ht="15.75">
      <c r="B3" s="1" t="str">
        <f>"Table "&amp;RIGHT('Table 4'!B3,1)+1</f>
        <v>Table 5</v>
      </c>
      <c r="C3" s="193"/>
      <c r="D3" s="193"/>
      <c r="E3" s="193"/>
      <c r="F3" s="193"/>
      <c r="G3" s="193"/>
      <c r="M3" s="85" t="s">
        <v>51</v>
      </c>
      <c r="O3" s="194"/>
    </row>
    <row r="4" spans="1:22" ht="38.25">
      <c r="B4" s="193" t="str">
        <f ca="1">'Table 1'!B5</f>
        <v>QF - Sch38 - UT - Wind - 80.0 MW and 30.3% CF</v>
      </c>
      <c r="C4" s="193"/>
      <c r="D4" s="193"/>
      <c r="E4" s="193"/>
      <c r="F4" s="193"/>
      <c r="G4" s="193"/>
      <c r="K4" s="85">
        <f>MIN(K13:K24)</f>
        <v>45658</v>
      </c>
      <c r="M4" s="195" t="s">
        <v>346</v>
      </c>
      <c r="P4" s="196" t="s">
        <v>240</v>
      </c>
      <c r="Q4" s="196" t="s">
        <v>131</v>
      </c>
      <c r="R4" s="196" t="s">
        <v>130</v>
      </c>
      <c r="S4" s="196" t="s">
        <v>88</v>
      </c>
    </row>
    <row r="5" spans="1:22">
      <c r="B5" s="193" t="str">
        <f>TEXT($K$5,"MMMM YYYY")&amp;"  through  "&amp;TEXT($K$6,"MMMM YYYY")</f>
        <v>January 2025  through  December 2039</v>
      </c>
      <c r="C5" s="193"/>
      <c r="D5" s="193"/>
      <c r="E5" s="193"/>
      <c r="F5" s="193"/>
      <c r="G5" s="193"/>
      <c r="J5" s="85" t="s">
        <v>36</v>
      </c>
      <c r="K5" s="197">
        <f>MIN(K13:K24)</f>
        <v>45658</v>
      </c>
      <c r="M5" s="85" t="s">
        <v>37</v>
      </c>
      <c r="O5" s="3" t="s">
        <v>71</v>
      </c>
      <c r="P5" s="3">
        <f>Q5+12</f>
        <v>49</v>
      </c>
      <c r="Q5" s="3">
        <f>R5+12</f>
        <v>37</v>
      </c>
      <c r="R5" s="3">
        <f>S5+12</f>
        <v>25</v>
      </c>
      <c r="S5" s="3">
        <v>13</v>
      </c>
    </row>
    <row r="6" spans="1:22">
      <c r="B6" s="193" t="s">
        <v>38</v>
      </c>
      <c r="C6" s="193"/>
      <c r="D6" s="193"/>
      <c r="E6" s="193"/>
      <c r="F6" s="193"/>
      <c r="G6" s="193"/>
      <c r="J6" s="85" t="s">
        <v>39</v>
      </c>
      <c r="K6" s="197">
        <f>EDATE(K5,15*12-1)</f>
        <v>51105</v>
      </c>
      <c r="M6" s="195">
        <v>80</v>
      </c>
      <c r="N6" s="85" t="s">
        <v>32</v>
      </c>
      <c r="O6" s="3" t="s">
        <v>72</v>
      </c>
      <c r="P6">
        <f>P5+15*12-1</f>
        <v>228</v>
      </c>
      <c r="Q6">
        <f>Q5+15*12-1</f>
        <v>216</v>
      </c>
      <c r="R6">
        <f>R5+15*12-1</f>
        <v>204</v>
      </c>
      <c r="S6">
        <f>S5+15*12-1</f>
        <v>192</v>
      </c>
    </row>
    <row r="7" spans="1:22">
      <c r="A7" s="198" t="str">
        <f>Q4</f>
        <v>15 Year Starting 2027</v>
      </c>
      <c r="B7" s="193"/>
      <c r="C7" s="199">
        <f ca="1">NPV($K$10,INDIRECT("C"&amp;$Q$5&amp;":C"&amp;$Q$6))</f>
        <v>-50668402.239080705</v>
      </c>
      <c r="D7" s="199">
        <f ca="1">NPV($K$10,INDIRECT("d"&amp;$Q$5&amp;":d"&amp;$Q$6))</f>
        <v>61428704.970223099</v>
      </c>
      <c r="E7" s="199">
        <f ca="1">NPV($K$10,INDIRECT("e"&amp;$Q$5&amp;":e"&amp;$Q$6))</f>
        <v>10760302.7311424</v>
      </c>
      <c r="F7" s="200">
        <f ca="1">NPV($K$10,INDIRECT("f"&amp;$Q$5&amp;":f"&amp;$Q$6))</f>
        <v>2074159.3894566582</v>
      </c>
      <c r="G7" s="201">
        <f ca="1">($C7+D7)/$F7</f>
        <v>5.1877897069236987</v>
      </c>
      <c r="K7" s="197"/>
      <c r="M7" s="195"/>
      <c r="O7" s="3"/>
      <c r="P7"/>
      <c r="Q7"/>
      <c r="R7"/>
      <c r="S7"/>
    </row>
    <row r="8" spans="1:22">
      <c r="A8" s="198" t="str">
        <f>R4</f>
        <v>15 Year Starting 2026</v>
      </c>
      <c r="C8" s="199">
        <f ca="1">NPV($K$10,INDIRECT("C"&amp;$R$5&amp;":C"&amp;$R$6))</f>
        <v>-42850836.480279945</v>
      </c>
      <c r="D8" s="199">
        <f ca="1">NPV($K$10,INDIRECT("d"&amp;$R$5&amp;":d"&amp;$R$6))</f>
        <v>54295688.790786564</v>
      </c>
      <c r="E8" s="199">
        <f ca="1">NPV($K$10,INDIRECT("e"&amp;$R$5&amp;":e"&amp;$R$6))</f>
        <v>11444852.310506651</v>
      </c>
      <c r="F8" s="200">
        <f ca="1">NPV($K$10,INDIRECT("f"&amp;$R$5&amp;":f"&amp;$R$6))</f>
        <v>2074260.5647409593</v>
      </c>
      <c r="G8" s="201">
        <f ca="1">($C8+D8)/$F8</f>
        <v>5.5175576805780384</v>
      </c>
      <c r="M8" s="202">
        <f ca="1">ROUNDUP(SUM(OFFSET(F12,MATCH(K5,B13:B24,0),0,12))/(EDATE(K5,12)-K5)/24/Study_MW,4)</f>
        <v>0.3034</v>
      </c>
      <c r="N8" s="203" t="s">
        <v>33</v>
      </c>
    </row>
    <row r="9" spans="1:22">
      <c r="A9" s="198"/>
      <c r="B9" s="198" t="str">
        <f>"Nominal NPV at "&amp;TEXT(J10,"0.00%")&amp;" Discount Rate"</f>
        <v>Nominal NPV at 6.38% Discount Rate</v>
      </c>
      <c r="J9" s="85" t="str">
        <f>'Table 1'!I42</f>
        <v>Discount Rate - 2025 IRP</v>
      </c>
    </row>
    <row r="10" spans="1:22">
      <c r="A10" s="198" t="str">
        <f>S4</f>
        <v>15 Year Starting 2025</v>
      </c>
      <c r="C10" s="199">
        <f ca="1">NPV($K$10,INDIRECT("C"&amp;$S$5&amp;":C"&amp;$S$6))</f>
        <v>-36319995.499073669</v>
      </c>
      <c r="D10" s="199">
        <f ca="1">NPV($K$10,INDIRECT("d"&amp;$S$5&amp;":d"&amp;$S$6))</f>
        <v>47664047.997056194</v>
      </c>
      <c r="E10" s="199">
        <f ca="1">NPV($K$10,INDIRECT("e"&amp;$S$5&amp;":e"&amp;$S$6))</f>
        <v>11344052.497982556</v>
      </c>
      <c r="F10" s="200">
        <f ca="1">NPV($K$10,INDIRECT("f"&amp;$S$5&amp;":f"&amp;$S$6))</f>
        <v>2074449.5974428367</v>
      </c>
      <c r="G10" s="201">
        <f ca="1">($C10+D10)/$F10</f>
        <v>5.4684637852692486</v>
      </c>
      <c r="J10" s="204">
        <f>'Table 1'!I43</f>
        <v>6.3799999999999996E-2</v>
      </c>
      <c r="K10" s="205">
        <f>((1+J10)^(1/12))-1</f>
        <v>5.1672547259051793E-3</v>
      </c>
    </row>
    <row r="11" spans="1:22">
      <c r="B11" s="206"/>
      <c r="C11" s="207" t="s">
        <v>18</v>
      </c>
      <c r="D11" s="208" t="s">
        <v>40</v>
      </c>
      <c r="E11" s="208" t="s">
        <v>41</v>
      </c>
      <c r="F11" s="208" t="s">
        <v>41</v>
      </c>
      <c r="G11" s="209" t="s">
        <v>48</v>
      </c>
      <c r="S11" s="85" t="s">
        <v>134</v>
      </c>
      <c r="U11" s="85" t="s">
        <v>134</v>
      </c>
    </row>
    <row r="12" spans="1:22">
      <c r="B12" s="210" t="s">
        <v>42</v>
      </c>
      <c r="C12" s="207" t="s">
        <v>43</v>
      </c>
      <c r="D12" s="211" t="str">
        <f>TEXT((SUM(F25:F72)/(8760*3+8784))/Study_MW,"0.0%")&amp;" CF"</f>
        <v>30.3% CF</v>
      </c>
      <c r="E12" s="212" t="s">
        <v>47</v>
      </c>
      <c r="F12" s="210" t="s">
        <v>44</v>
      </c>
      <c r="G12" s="211" t="str">
        <f>D12</f>
        <v>30.3% CF</v>
      </c>
      <c r="I12" s="208" t="s">
        <v>45</v>
      </c>
      <c r="J12" s="213" t="s">
        <v>0</v>
      </c>
      <c r="K12" s="213" t="s">
        <v>46</v>
      </c>
      <c r="L12" s="213" t="s">
        <v>45</v>
      </c>
      <c r="M12" s="213"/>
      <c r="N12" s="209"/>
      <c r="P12" s="85" t="s">
        <v>41</v>
      </c>
      <c r="Q12" s="85" t="s">
        <v>62</v>
      </c>
      <c r="R12" s="85" t="s">
        <v>63</v>
      </c>
      <c r="S12" s="85" t="s">
        <v>18</v>
      </c>
      <c r="U12" s="85" t="s">
        <v>6</v>
      </c>
      <c r="V12" s="85" t="str">
        <f t="shared" ref="V12:V75" si="0">IFERROR(IF(AND(MONTH(K13)&gt;=6,MONTH(K13)&lt;=9),"Summer","Winter"),"-")</f>
        <v>Winter</v>
      </c>
    </row>
    <row r="13" spans="1:22">
      <c r="B13" s="339">
        <v>45658</v>
      </c>
      <c r="C13" s="215">
        <v>390409.09252133861</v>
      </c>
      <c r="D13" s="216">
        <f>IF(ISNUMBER($F13),VLOOKUP($J13,'Table 1'!$B$13:$C$33,2,FALSE)/12*1000*Study_MW,"")</f>
        <v>0</v>
      </c>
      <c r="E13" s="217">
        <f t="shared" ref="E13:E24" si="1">IF(ISNUMBER(C13+D13),C13+D13,"")</f>
        <v>390409.09252133861</v>
      </c>
      <c r="F13" s="215">
        <v>16962.172302200001</v>
      </c>
      <c r="G13" s="218">
        <f t="shared" ref="G13:G19" si="2">IF(ISNUMBER($F13),E13/$F13,"")</f>
        <v>23.016456003733815</v>
      </c>
      <c r="I13" s="219">
        <f>1</f>
        <v>1</v>
      </c>
      <c r="J13" s="220">
        <f>YEAR(B13)</f>
        <v>2025</v>
      </c>
      <c r="K13" s="214">
        <f t="shared" ref="K13:K24" si="3">IF(ISNUMBER(F13),B13,"")</f>
        <v>45658</v>
      </c>
      <c r="L13" s="85">
        <v>840</v>
      </c>
      <c r="M13" s="198" t="s">
        <v>117</v>
      </c>
      <c r="V13" s="85" t="str">
        <f t="shared" si="0"/>
        <v>Winter</v>
      </c>
    </row>
    <row r="14" spans="1:22">
      <c r="B14" s="221">
        <f t="shared" ref="B14:B77" si="4">EDATE(B13,1)</f>
        <v>45689</v>
      </c>
      <c r="C14" s="85">
        <v>416057.74671190738</v>
      </c>
      <c r="D14" s="217">
        <f>IF(ISNUMBER($F14),VLOOKUP($J14,'Table 1'!$B$13:$C$33,2,FALSE)/12*1000*Study_MW,"")</f>
        <v>0</v>
      </c>
      <c r="E14" s="217">
        <f t="shared" si="1"/>
        <v>416057.74671190738</v>
      </c>
      <c r="F14" s="85">
        <v>20624.67032782</v>
      </c>
      <c r="G14" s="222">
        <f t="shared" si="2"/>
        <v>20.17281925474947</v>
      </c>
      <c r="I14" s="223">
        <f>I13+1</f>
        <v>2</v>
      </c>
      <c r="J14" s="220">
        <f t="shared" ref="J14:J77" si="5">YEAR(B14)</f>
        <v>2025</v>
      </c>
      <c r="K14" s="221">
        <f t="shared" si="3"/>
        <v>45689</v>
      </c>
      <c r="L14" s="85">
        <v>1151</v>
      </c>
      <c r="M14" s="224" t="s">
        <v>347</v>
      </c>
      <c r="V14" s="85" t="str">
        <f t="shared" si="0"/>
        <v>Winter</v>
      </c>
    </row>
    <row r="15" spans="1:22">
      <c r="B15" s="221">
        <f t="shared" si="4"/>
        <v>45717</v>
      </c>
      <c r="C15" s="85">
        <v>258867.05716784491</v>
      </c>
      <c r="D15" s="217">
        <f>IF(ISNUMBER($F15),VLOOKUP($J15,'Table 1'!$B$13:$C$33,2,FALSE)/12*1000*Study_MW,"")</f>
        <v>0</v>
      </c>
      <c r="E15" s="217">
        <f t="shared" si="1"/>
        <v>258867.05716784491</v>
      </c>
      <c r="F15" s="85">
        <v>18952.858266089999</v>
      </c>
      <c r="G15" s="222">
        <f t="shared" si="2"/>
        <v>13.658470587046159</v>
      </c>
      <c r="I15" s="223">
        <f t="shared" ref="I15:I24" si="6">I14+1</f>
        <v>3</v>
      </c>
      <c r="J15" s="220">
        <f t="shared" si="5"/>
        <v>2025</v>
      </c>
      <c r="K15" s="221">
        <f t="shared" si="3"/>
        <v>45717</v>
      </c>
      <c r="V15" s="85" t="str">
        <f t="shared" si="0"/>
        <v>Winter</v>
      </c>
    </row>
    <row r="16" spans="1:22">
      <c r="B16" s="221">
        <f t="shared" si="4"/>
        <v>45748</v>
      </c>
      <c r="C16" s="85">
        <v>186302.70721954003</v>
      </c>
      <c r="D16" s="217">
        <f>IF(ISNUMBER($F16),VLOOKUP($J16,'Table 1'!$B$13:$C$33,2,FALSE)/12*1000*Study_MW,"")</f>
        <v>0</v>
      </c>
      <c r="E16" s="217">
        <f t="shared" si="1"/>
        <v>186302.70721954003</v>
      </c>
      <c r="F16" s="85">
        <v>19742.419320159999</v>
      </c>
      <c r="G16" s="222">
        <f t="shared" si="2"/>
        <v>9.4366705619152143</v>
      </c>
      <c r="I16" s="223">
        <f t="shared" si="6"/>
        <v>4</v>
      </c>
      <c r="J16" s="220">
        <f t="shared" si="5"/>
        <v>2025</v>
      </c>
      <c r="K16" s="221">
        <f t="shared" si="3"/>
        <v>45748</v>
      </c>
      <c r="L16" s="220">
        <f>YEAR(B13)</f>
        <v>2025</v>
      </c>
      <c r="M16" s="85">
        <f>SUMIF($J$13:$J$264,L16,$C$13:$C$264)</f>
        <v>4461887.4563747654</v>
      </c>
      <c r="N16" s="85">
        <f>SUMIF($J$13:$J$264,L16,$D$13:$D$264)</f>
        <v>0</v>
      </c>
      <c r="O16" s="85">
        <f t="shared" ref="O16:O25" si="7">SUMIF($J$13:$J$264,L16,$F$13:$F$264)</f>
        <v>212615.58447407</v>
      </c>
      <c r="P16" s="225">
        <f t="shared" ref="P16:P25" si="8">(M16+N16)/O16</f>
        <v>20.985702752748704</v>
      </c>
      <c r="Q16" s="226">
        <f>M16/O16</f>
        <v>20.985702752748704</v>
      </c>
      <c r="R16" s="226">
        <f>IFERROR(N16/O16,0)</f>
        <v>0</v>
      </c>
      <c r="S16" s="85">
        <f t="shared" ref="S16:S41" si="9">SUMIFS($C$13:$C$276,$J$13:$J$276,L16,$V$12:$V$275,"Summer")</f>
        <v>1702216.9958544038</v>
      </c>
      <c r="U16" s="85">
        <f>SUMIFS($D$13:$D$276,$J$13:$J$276,L16,$V$12:$V$275,"Summer")</f>
        <v>0</v>
      </c>
      <c r="V16" s="85" t="str">
        <f t="shared" si="0"/>
        <v>Winter</v>
      </c>
    </row>
    <row r="17" spans="2:22">
      <c r="B17" s="221">
        <f t="shared" si="4"/>
        <v>45778</v>
      </c>
      <c r="C17" s="85">
        <v>421540.97544662363</v>
      </c>
      <c r="D17" s="217">
        <f>IF(ISNUMBER($F17),VLOOKUP($J17,'Table 1'!$B$13:$C$33,2,FALSE)/12*1000*Study_MW,"")</f>
        <v>0</v>
      </c>
      <c r="E17" s="217">
        <f t="shared" si="1"/>
        <v>421540.97544662363</v>
      </c>
      <c r="F17" s="85">
        <v>22480.287469800009</v>
      </c>
      <c r="G17" s="222">
        <f t="shared" si="2"/>
        <v>18.751582959645035</v>
      </c>
      <c r="I17" s="223">
        <f t="shared" si="6"/>
        <v>5</v>
      </c>
      <c r="J17" s="220">
        <f t="shared" si="5"/>
        <v>2025</v>
      </c>
      <c r="K17" s="221">
        <f t="shared" si="3"/>
        <v>45778</v>
      </c>
      <c r="L17" s="220">
        <f>L16+1</f>
        <v>2026</v>
      </c>
      <c r="M17" s="85">
        <f>SUMIF($J$13:$J$264,L17,$C$13:$C$264)</f>
        <v>5140493.5482053366</v>
      </c>
      <c r="N17" s="85">
        <f t="shared" ref="N17:N36" si="10">SUMIF($J$13:$J$264,L17,$D$13:$D$264)</f>
        <v>0</v>
      </c>
      <c r="O17" s="85">
        <f t="shared" si="7"/>
        <v>212573.17494002005</v>
      </c>
      <c r="P17" s="225">
        <f t="shared" si="8"/>
        <v>24.182230658481654</v>
      </c>
      <c r="Q17" s="226">
        <f t="shared" ref="Q17:Q33" si="11">M17/O17</f>
        <v>24.182230658481654</v>
      </c>
      <c r="R17" s="226">
        <f t="shared" ref="R17:R33" si="12">IFERROR(N17/O17,0)</f>
        <v>0</v>
      </c>
      <c r="S17" s="85">
        <f t="shared" si="9"/>
        <v>1684841.742009914</v>
      </c>
      <c r="U17" s="85">
        <f t="shared" ref="U17:U41" si="13">SUMIFS($D$13:$D$276,$J$13:$J$276,L17,$V$12:$V$275,"Summer")</f>
        <v>0</v>
      </c>
      <c r="V17" s="85" t="str">
        <f t="shared" si="0"/>
        <v>Summer</v>
      </c>
    </row>
    <row r="18" spans="2:22">
      <c r="B18" s="221">
        <f t="shared" si="4"/>
        <v>45809</v>
      </c>
      <c r="C18" s="85">
        <v>467465.75779346313</v>
      </c>
      <c r="D18" s="217">
        <f>IF(ISNUMBER($F18),VLOOKUP($J18,'Table 1'!$B$13:$C$33,2,FALSE)/12*1000*Study_MW,"")</f>
        <v>0</v>
      </c>
      <c r="E18" s="217">
        <f t="shared" si="1"/>
        <v>467465.75779346313</v>
      </c>
      <c r="F18" s="85">
        <v>21828.513316659995</v>
      </c>
      <c r="G18" s="222">
        <f t="shared" si="2"/>
        <v>21.415373141178751</v>
      </c>
      <c r="I18" s="223">
        <f t="shared" si="6"/>
        <v>6</v>
      </c>
      <c r="J18" s="220">
        <f t="shared" si="5"/>
        <v>2025</v>
      </c>
      <c r="K18" s="221">
        <f t="shared" si="3"/>
        <v>45809</v>
      </c>
      <c r="L18" s="220">
        <f t="shared" ref="L18:L42" si="14">L17+1</f>
        <v>2027</v>
      </c>
      <c r="M18" s="85">
        <f t="shared" ref="M18:M36" si="15">SUMIF($J$13:$J$264,L18,$C$13:$C$264)</f>
        <v>5476395.4756450253</v>
      </c>
      <c r="N18" s="85">
        <f t="shared" si="10"/>
        <v>0</v>
      </c>
      <c r="O18" s="85">
        <f t="shared" si="7"/>
        <v>212240.34906478002</v>
      </c>
      <c r="P18" s="225">
        <f t="shared" si="8"/>
        <v>25.802800927233299</v>
      </c>
      <c r="Q18" s="226">
        <f t="shared" si="11"/>
        <v>25.802800927233299</v>
      </c>
      <c r="R18" s="226">
        <f t="shared" si="12"/>
        <v>0</v>
      </c>
      <c r="S18" s="85">
        <f t="shared" si="9"/>
        <v>1658303.746610465</v>
      </c>
      <c r="U18" s="85">
        <f t="shared" si="13"/>
        <v>0</v>
      </c>
      <c r="V18" s="85" t="str">
        <f t="shared" si="0"/>
        <v>Summer</v>
      </c>
    </row>
    <row r="19" spans="2:22">
      <c r="B19" s="221">
        <f t="shared" si="4"/>
        <v>45839</v>
      </c>
      <c r="C19" s="85">
        <v>440695.42834973254</v>
      </c>
      <c r="D19" s="217">
        <f>IF(ISNUMBER($F19),VLOOKUP($J19,'Table 1'!$B$13:$C$33,2,FALSE)/12*1000*Study_MW,"")</f>
        <v>0</v>
      </c>
      <c r="E19" s="217">
        <f t="shared" si="1"/>
        <v>440695.42834973254</v>
      </c>
      <c r="F19" s="85">
        <v>15662.846689080001</v>
      </c>
      <c r="G19" s="222">
        <f t="shared" si="2"/>
        <v>28.136355867990556</v>
      </c>
      <c r="I19" s="223">
        <f t="shared" si="6"/>
        <v>7</v>
      </c>
      <c r="J19" s="220">
        <f t="shared" si="5"/>
        <v>2025</v>
      </c>
      <c r="K19" s="221">
        <f t="shared" si="3"/>
        <v>45839</v>
      </c>
      <c r="L19" s="220">
        <f t="shared" si="14"/>
        <v>2028</v>
      </c>
      <c r="M19" s="85">
        <f t="shared" si="15"/>
        <v>5939177.5657355068</v>
      </c>
      <c r="N19" s="85">
        <f t="shared" si="10"/>
        <v>0</v>
      </c>
      <c r="O19" s="85">
        <f t="shared" si="7"/>
        <v>212236.90876235004</v>
      </c>
      <c r="P19" s="225">
        <f t="shared" si="8"/>
        <v>27.983716877377987</v>
      </c>
      <c r="Q19" s="226">
        <f t="shared" si="11"/>
        <v>27.983716877377987</v>
      </c>
      <c r="R19" s="226">
        <f t="shared" si="12"/>
        <v>0</v>
      </c>
      <c r="S19" s="85">
        <f t="shared" si="9"/>
        <v>1745491.2744484609</v>
      </c>
      <c r="U19" s="85">
        <f t="shared" si="13"/>
        <v>0</v>
      </c>
      <c r="V19" s="85" t="str">
        <f t="shared" si="0"/>
        <v>Summer</v>
      </c>
    </row>
    <row r="20" spans="2:22">
      <c r="B20" s="221">
        <f t="shared" si="4"/>
        <v>45870</v>
      </c>
      <c r="C20" s="85">
        <v>461464.52260453952</v>
      </c>
      <c r="D20" s="217">
        <f>IF(ISNUMBER($F20),VLOOKUP($J20,'Table 1'!$B$13:$C$33,2,FALSE)/12*1000*Study_MW,"")</f>
        <v>0</v>
      </c>
      <c r="E20" s="217">
        <f t="shared" si="1"/>
        <v>461464.52260453952</v>
      </c>
      <c r="F20" s="85">
        <v>11824.751846509998</v>
      </c>
      <c r="G20" s="222">
        <f t="shared" ref="G20:G77" si="16">IF(ISNUMBER($F20),E20/$F20,"")</f>
        <v>39.025302906524665</v>
      </c>
      <c r="I20" s="223">
        <f t="shared" si="6"/>
        <v>8</v>
      </c>
      <c r="J20" s="220">
        <f t="shared" si="5"/>
        <v>2025</v>
      </c>
      <c r="K20" s="221">
        <f t="shared" si="3"/>
        <v>45870</v>
      </c>
      <c r="L20" s="220">
        <f t="shared" si="14"/>
        <v>2029</v>
      </c>
      <c r="M20" s="85">
        <f t="shared" si="15"/>
        <v>-7953492.554388524</v>
      </c>
      <c r="N20" s="85">
        <f t="shared" si="10"/>
        <v>6960996.0577442022</v>
      </c>
      <c r="O20" s="85">
        <f t="shared" si="7"/>
        <v>212172.09844156998</v>
      </c>
      <c r="P20" s="225">
        <f t="shared" si="8"/>
        <v>-4.6777898881819526</v>
      </c>
      <c r="Q20" s="226">
        <f t="shared" si="11"/>
        <v>-37.486043701353289</v>
      </c>
      <c r="R20" s="226">
        <f t="shared" si="12"/>
        <v>32.808253813171333</v>
      </c>
      <c r="S20" s="85">
        <f t="shared" si="9"/>
        <v>-1248791.8564518841</v>
      </c>
      <c r="U20" s="85">
        <f t="shared" si="13"/>
        <v>2320332.0192480669</v>
      </c>
      <c r="V20" s="85" t="str">
        <f t="shared" si="0"/>
        <v>Summer</v>
      </c>
    </row>
    <row r="21" spans="2:22">
      <c r="B21" s="221">
        <f t="shared" si="4"/>
        <v>45901</v>
      </c>
      <c r="C21" s="85">
        <v>332591.28710666846</v>
      </c>
      <c r="D21" s="217">
        <f>IF(ISNUMBER($F21),VLOOKUP($J21,'Table 1'!$B$13:$C$33,2,FALSE)/12*1000*Study_MW,"")</f>
        <v>0</v>
      </c>
      <c r="E21" s="217">
        <f t="shared" si="1"/>
        <v>332591.28710666846</v>
      </c>
      <c r="F21" s="85">
        <v>12170.57831556</v>
      </c>
      <c r="G21" s="222">
        <f t="shared" si="16"/>
        <v>27.327484239713801</v>
      </c>
      <c r="I21" s="223">
        <f t="shared" si="6"/>
        <v>9</v>
      </c>
      <c r="J21" s="220">
        <f t="shared" si="5"/>
        <v>2025</v>
      </c>
      <c r="K21" s="221">
        <f t="shared" si="3"/>
        <v>45901</v>
      </c>
      <c r="L21" s="220">
        <f t="shared" si="14"/>
        <v>2030</v>
      </c>
      <c r="M21" s="85">
        <f t="shared" si="15"/>
        <v>-8530811.9989159703</v>
      </c>
      <c r="N21" s="85">
        <f t="shared" si="10"/>
        <v>7112745.7681370964</v>
      </c>
      <c r="O21" s="85">
        <f t="shared" si="7"/>
        <v>212496.24264709</v>
      </c>
      <c r="P21" s="225">
        <f t="shared" si="8"/>
        <v>-6.6733708470035076</v>
      </c>
      <c r="Q21" s="226">
        <f t="shared" si="11"/>
        <v>-40.14570748473794</v>
      </c>
      <c r="R21" s="226">
        <f t="shared" si="12"/>
        <v>33.472336637734429</v>
      </c>
      <c r="S21" s="85">
        <f t="shared" si="9"/>
        <v>-1353588.9084028031</v>
      </c>
      <c r="U21" s="85">
        <f t="shared" si="13"/>
        <v>2370915.2560456982</v>
      </c>
      <c r="V21" s="85" t="str">
        <f t="shared" si="0"/>
        <v>Winter</v>
      </c>
    </row>
    <row r="22" spans="2:22">
      <c r="B22" s="221">
        <f t="shared" si="4"/>
        <v>45931</v>
      </c>
      <c r="C22" s="85">
        <v>300322.39740242041</v>
      </c>
      <c r="D22" s="217">
        <f>IF(ISNUMBER($F22),VLOOKUP($J22,'Table 1'!$B$13:$C$33,2,FALSE)/12*1000*Study_MW,"")</f>
        <v>0</v>
      </c>
      <c r="E22" s="217">
        <f t="shared" si="1"/>
        <v>300322.39740242041</v>
      </c>
      <c r="F22" s="85">
        <v>23527.343133190003</v>
      </c>
      <c r="G22" s="222">
        <f t="shared" si="16"/>
        <v>12.76482413259642</v>
      </c>
      <c r="I22" s="223">
        <f t="shared" si="6"/>
        <v>10</v>
      </c>
      <c r="J22" s="220">
        <f t="shared" si="5"/>
        <v>2025</v>
      </c>
      <c r="K22" s="221">
        <f t="shared" si="3"/>
        <v>45931</v>
      </c>
      <c r="L22" s="220">
        <f t="shared" si="14"/>
        <v>2031</v>
      </c>
      <c r="M22" s="85">
        <f t="shared" si="15"/>
        <v>-9024213.2098871283</v>
      </c>
      <c r="N22" s="85">
        <f t="shared" si="10"/>
        <v>7267803.6256350065</v>
      </c>
      <c r="O22" s="85">
        <f t="shared" si="7"/>
        <v>212615.58447407</v>
      </c>
      <c r="P22" s="225">
        <f t="shared" si="8"/>
        <v>-8.2609635064937059</v>
      </c>
      <c r="Q22" s="226">
        <f t="shared" si="11"/>
        <v>-42.4437993678102</v>
      </c>
      <c r="R22" s="226">
        <f t="shared" si="12"/>
        <v>34.182835861316498</v>
      </c>
      <c r="S22" s="85">
        <f t="shared" si="9"/>
        <v>-1499094.7381840351</v>
      </c>
      <c r="U22" s="85">
        <f t="shared" si="13"/>
        <v>2422601.2085450017</v>
      </c>
      <c r="V22" s="85" t="str">
        <f t="shared" si="0"/>
        <v>Winter</v>
      </c>
    </row>
    <row r="23" spans="2:22">
      <c r="B23" s="221">
        <f t="shared" si="4"/>
        <v>45962</v>
      </c>
      <c r="C23" s="85">
        <v>357409.30622610176</v>
      </c>
      <c r="D23" s="217">
        <f>IF(ISNUMBER($F23),VLOOKUP($J23,'Table 1'!$B$13:$C$33,2,FALSE)/12*1000*Study_MW,"")</f>
        <v>0</v>
      </c>
      <c r="E23" s="217">
        <f t="shared" si="1"/>
        <v>357409.30622610176</v>
      </c>
      <c r="F23" s="85">
        <v>13776.181571250001</v>
      </c>
      <c r="G23" s="222">
        <f>IF(ISNUMBER($F23),E23/$F23,"")</f>
        <v>25.944003741355431</v>
      </c>
      <c r="I23" s="223">
        <f t="shared" si="6"/>
        <v>11</v>
      </c>
      <c r="J23" s="220">
        <f t="shared" si="5"/>
        <v>2025</v>
      </c>
      <c r="K23" s="221">
        <f t="shared" si="3"/>
        <v>45962</v>
      </c>
      <c r="L23" s="220">
        <f t="shared" si="14"/>
        <v>2032</v>
      </c>
      <c r="M23" s="85">
        <f t="shared" si="15"/>
        <v>-9755199.5179423057</v>
      </c>
      <c r="N23" s="85">
        <f t="shared" si="10"/>
        <v>7426241.7426577797</v>
      </c>
      <c r="O23" s="85">
        <f t="shared" si="7"/>
        <v>212573.17494002002</v>
      </c>
      <c r="P23" s="225">
        <f t="shared" si="8"/>
        <v>-10.956028557891504</v>
      </c>
      <c r="Q23" s="226">
        <f t="shared" si="11"/>
        <v>-45.891018566641101</v>
      </c>
      <c r="R23" s="226">
        <f t="shared" si="12"/>
        <v>34.934990008749594</v>
      </c>
      <c r="S23" s="85">
        <f t="shared" si="9"/>
        <v>-1739493.9273786806</v>
      </c>
      <c r="T23" s="36"/>
      <c r="U23" s="85">
        <f t="shared" si="13"/>
        <v>2475413.9142192593</v>
      </c>
      <c r="V23" s="85" t="str">
        <f t="shared" si="0"/>
        <v>Winter</v>
      </c>
    </row>
    <row r="24" spans="2:22">
      <c r="B24" s="227">
        <f t="shared" si="4"/>
        <v>45992</v>
      </c>
      <c r="C24" s="228">
        <v>428761.17782458459</v>
      </c>
      <c r="D24" s="229">
        <f>IF(F24&lt;&gt;0,VLOOKUP($J24,'Table 1'!$B$13:$C$33,2,FALSE)/12*1000*Study_MW,0)</f>
        <v>0</v>
      </c>
      <c r="E24" s="229">
        <f t="shared" si="1"/>
        <v>428761.17782458459</v>
      </c>
      <c r="F24" s="228">
        <v>15062.96191575</v>
      </c>
      <c r="G24" s="230">
        <f>IF(ISNUMBER($F24),E24/$F24,"")</f>
        <v>28.464599474042828</v>
      </c>
      <c r="I24" s="231">
        <f t="shared" si="6"/>
        <v>12</v>
      </c>
      <c r="J24" s="220">
        <f t="shared" si="5"/>
        <v>2025</v>
      </c>
      <c r="K24" s="227">
        <f t="shared" si="3"/>
        <v>45992</v>
      </c>
      <c r="L24" s="220">
        <f t="shared" si="14"/>
        <v>2033</v>
      </c>
      <c r="M24" s="85">
        <f t="shared" si="15"/>
        <v>-9498809.9282189459</v>
      </c>
      <c r="N24" s="85">
        <f t="shared" si="10"/>
        <v>7588133.8127364581</v>
      </c>
      <c r="O24" s="85">
        <f t="shared" si="7"/>
        <v>212236.90876234998</v>
      </c>
      <c r="P24" s="225">
        <f t="shared" si="8"/>
        <v>-9.0025628747822886</v>
      </c>
      <c r="Q24" s="226">
        <f t="shared" si="11"/>
        <v>-44.755692982953953</v>
      </c>
      <c r="R24" s="226">
        <f t="shared" si="12"/>
        <v>35.753130108171668</v>
      </c>
      <c r="S24" s="85">
        <f t="shared" si="9"/>
        <v>-1728015.1172573094</v>
      </c>
      <c r="U24" s="85">
        <f t="shared" si="13"/>
        <v>2529377.9375788192</v>
      </c>
      <c r="V24" s="85" t="str">
        <f t="shared" si="0"/>
        <v>Winter</v>
      </c>
    </row>
    <row r="25" spans="2:22">
      <c r="B25" s="214">
        <f t="shared" si="4"/>
        <v>46023</v>
      </c>
      <c r="C25" s="215">
        <v>582294.4807747117</v>
      </c>
      <c r="D25" s="216">
        <f>IF(F25&lt;&gt;0,VLOOKUP($J25,'Table 1'!$B$13:$C$33,2,FALSE)/12*1000*Study_MW,0)</f>
        <v>0</v>
      </c>
      <c r="E25" s="216">
        <f t="shared" ref="E25:E77" si="17">C25+D25</f>
        <v>582294.4807747117</v>
      </c>
      <c r="F25" s="215">
        <v>17943.308888460004</v>
      </c>
      <c r="G25" s="218">
        <f t="shared" si="16"/>
        <v>32.451900839159407</v>
      </c>
      <c r="I25" s="219">
        <f>I13+13</f>
        <v>14</v>
      </c>
      <c r="J25" s="220">
        <f t="shared" si="5"/>
        <v>2026</v>
      </c>
      <c r="K25" s="214">
        <f>IF(ISNUMBER(F25),IF(F25&lt;&gt;0,B25,""),"")</f>
        <v>46023</v>
      </c>
      <c r="L25" s="220">
        <f t="shared" si="14"/>
        <v>2034</v>
      </c>
      <c r="M25" s="85">
        <f t="shared" si="15"/>
        <v>-9893856.408903202</v>
      </c>
      <c r="N25" s="85">
        <f t="shared" si="10"/>
        <v>7753555.135511118</v>
      </c>
      <c r="O25" s="85">
        <f t="shared" si="7"/>
        <v>212290.18377245998</v>
      </c>
      <c r="P25" s="225">
        <f t="shared" si="8"/>
        <v>-10.081960622758391</v>
      </c>
      <c r="Q25" s="226">
        <f t="shared" si="11"/>
        <v>-46.605341015238757</v>
      </c>
      <c r="R25" s="226">
        <f t="shared" si="12"/>
        <v>36.523380392480362</v>
      </c>
      <c r="S25" s="85">
        <f t="shared" si="9"/>
        <v>-1831065.161131788</v>
      </c>
      <c r="U25" s="85">
        <f t="shared" si="13"/>
        <v>2584518.3785037054</v>
      </c>
      <c r="V25" s="85" t="str">
        <f t="shared" si="0"/>
        <v>Winter</v>
      </c>
    </row>
    <row r="26" spans="2:22">
      <c r="B26" s="221">
        <f t="shared" si="4"/>
        <v>46054</v>
      </c>
      <c r="C26" s="85">
        <v>607281.92928641511</v>
      </c>
      <c r="D26" s="217">
        <f>IF(F26&lt;&gt;0,VLOOKUP($J26,'Table 1'!$B$13:$C$33,2,FALSE)/12*1000*Study_MW,0)</f>
        <v>0</v>
      </c>
      <c r="E26" s="217">
        <f t="shared" si="17"/>
        <v>607281.92928641511</v>
      </c>
      <c r="F26" s="85">
        <v>20134.57358511</v>
      </c>
      <c r="G26" s="222">
        <f t="shared" si="16"/>
        <v>30.161151748230449</v>
      </c>
      <c r="I26" s="223">
        <f t="shared" ref="I26:I89" si="18">I14+13</f>
        <v>15</v>
      </c>
      <c r="J26" s="220">
        <f t="shared" si="5"/>
        <v>2026</v>
      </c>
      <c r="K26" s="221">
        <f t="shared" ref="K26:K89" si="19">IF(ISNUMBER(F26),IF(F26&lt;&gt;0,B26,""),"")</f>
        <v>46054</v>
      </c>
      <c r="L26" s="220">
        <f t="shared" si="14"/>
        <v>2035</v>
      </c>
      <c r="M26" s="85">
        <f t="shared" si="15"/>
        <v>-10095556.081751889</v>
      </c>
      <c r="N26" s="85">
        <f t="shared" si="10"/>
        <v>7922582.6354791792</v>
      </c>
      <c r="O26" s="85">
        <f t="shared" ref="O26:O36" si="20">SUMIF($J$13:$J$264,L26,$F$13:$F$264)</f>
        <v>212172.09844156998</v>
      </c>
      <c r="P26" s="225">
        <f t="shared" ref="P26:P41" si="21">(M26+N26)/O26</f>
        <v>-10.24156080009325</v>
      </c>
      <c r="Q26" s="226">
        <f t="shared" si="11"/>
        <v>-47.581921260641636</v>
      </c>
      <c r="R26" s="226">
        <f t="shared" si="12"/>
        <v>37.340360460548382</v>
      </c>
      <c r="S26" s="85">
        <f t="shared" si="9"/>
        <v>-1732412.1197263738</v>
      </c>
      <c r="U26" s="85">
        <f t="shared" si="13"/>
        <v>2640860.8784930599</v>
      </c>
      <c r="V26" s="85" t="str">
        <f t="shared" si="0"/>
        <v>Winter</v>
      </c>
    </row>
    <row r="27" spans="2:22">
      <c r="B27" s="221">
        <f t="shared" si="4"/>
        <v>46082</v>
      </c>
      <c r="C27" s="85">
        <v>249846.14664998662</v>
      </c>
      <c r="D27" s="217">
        <f>IF(F27&lt;&gt;0,VLOOKUP($J27,'Table 1'!$B$13:$C$33,2,FALSE)/12*1000*Study_MW,0)</f>
        <v>0</v>
      </c>
      <c r="E27" s="217">
        <f t="shared" si="17"/>
        <v>249846.14664998662</v>
      </c>
      <c r="F27" s="85">
        <v>18349.125429259999</v>
      </c>
      <c r="G27" s="222">
        <f t="shared" si="16"/>
        <v>13.61624278024583</v>
      </c>
      <c r="I27" s="223">
        <f t="shared" si="18"/>
        <v>16</v>
      </c>
      <c r="J27" s="220">
        <f t="shared" si="5"/>
        <v>2026</v>
      </c>
      <c r="K27" s="221">
        <f t="shared" si="19"/>
        <v>46082</v>
      </c>
      <c r="L27" s="220">
        <f t="shared" si="14"/>
        <v>2036</v>
      </c>
      <c r="M27" s="85">
        <f t="shared" si="15"/>
        <v>-10586057.801864184</v>
      </c>
      <c r="N27" s="85">
        <f t="shared" si="10"/>
        <v>8095294.9369888715</v>
      </c>
      <c r="O27" s="85">
        <f t="shared" si="20"/>
        <v>212213.58007860999</v>
      </c>
      <c r="P27" s="225">
        <f t="shared" si="21"/>
        <v>-11.737056902544422</v>
      </c>
      <c r="Q27" s="226">
        <f t="shared" si="11"/>
        <v>-49.88397913999097</v>
      </c>
      <c r="R27" s="226">
        <f t="shared" si="12"/>
        <v>38.146922237446553</v>
      </c>
      <c r="S27" s="85">
        <f t="shared" si="9"/>
        <v>-1852728.1725091015</v>
      </c>
      <c r="U27" s="85">
        <f t="shared" si="13"/>
        <v>2698431.6456629578</v>
      </c>
      <c r="V27" s="85" t="str">
        <f t="shared" si="0"/>
        <v>Winter</v>
      </c>
    </row>
    <row r="28" spans="2:22">
      <c r="B28" s="221">
        <f t="shared" si="4"/>
        <v>46113</v>
      </c>
      <c r="C28" s="85">
        <v>164688.61353753891</v>
      </c>
      <c r="D28" s="217">
        <f>IF(F28&lt;&gt;0,VLOOKUP($J28,'Table 1'!$B$13:$C$33,2,FALSE)/12*1000*Study_MW,0)</f>
        <v>0</v>
      </c>
      <c r="E28" s="217">
        <f t="shared" si="17"/>
        <v>164688.61353753891</v>
      </c>
      <c r="F28" s="85">
        <v>20661.518720159998</v>
      </c>
      <c r="G28" s="222">
        <f t="shared" si="16"/>
        <v>7.9707893581340565</v>
      </c>
      <c r="I28" s="223">
        <f t="shared" si="18"/>
        <v>17</v>
      </c>
      <c r="J28" s="220">
        <f t="shared" si="5"/>
        <v>2026</v>
      </c>
      <c r="K28" s="221">
        <f t="shared" si="19"/>
        <v>46113</v>
      </c>
      <c r="L28" s="220">
        <f t="shared" si="14"/>
        <v>2037</v>
      </c>
      <c r="M28" s="85">
        <f t="shared" si="15"/>
        <v>-10645460.602292992</v>
      </c>
      <c r="N28" s="85">
        <f t="shared" si="10"/>
        <v>8271772.364239187</v>
      </c>
      <c r="O28" s="85">
        <f t="shared" si="20"/>
        <v>212573.17494002005</v>
      </c>
      <c r="P28" s="225">
        <f t="shared" si="21"/>
        <v>-11.166452393269134</v>
      </c>
      <c r="Q28" s="226">
        <f t="shared" si="11"/>
        <v>-50.079040336565185</v>
      </c>
      <c r="R28" s="226">
        <f t="shared" si="12"/>
        <v>38.912587943296053</v>
      </c>
      <c r="S28" s="85">
        <f t="shared" si="9"/>
        <v>-1959317.8264071867</v>
      </c>
      <c r="U28" s="85">
        <f t="shared" si="13"/>
        <v>2757257.4547463958</v>
      </c>
      <c r="V28" s="85" t="str">
        <f t="shared" si="0"/>
        <v>Winter</v>
      </c>
    </row>
    <row r="29" spans="2:22">
      <c r="B29" s="221">
        <f t="shared" si="4"/>
        <v>46143</v>
      </c>
      <c r="C29" s="85">
        <v>367891.7145778978</v>
      </c>
      <c r="D29" s="217">
        <f>IF(F29&lt;&gt;0,VLOOKUP($J29,'Table 1'!$B$13:$C$33,2,FALSE)/12*1000*Study_MW,0)</f>
        <v>0</v>
      </c>
      <c r="E29" s="217">
        <f t="shared" si="17"/>
        <v>367891.7145778978</v>
      </c>
      <c r="F29" s="85">
        <v>22464.29332414001</v>
      </c>
      <c r="G29" s="222">
        <f t="shared" si="16"/>
        <v>16.376732144187386</v>
      </c>
      <c r="I29" s="223">
        <f t="shared" si="18"/>
        <v>18</v>
      </c>
      <c r="J29" s="220">
        <f t="shared" si="5"/>
        <v>2026</v>
      </c>
      <c r="K29" s="221">
        <f t="shared" si="19"/>
        <v>46143</v>
      </c>
      <c r="L29" s="220">
        <f t="shared" si="14"/>
        <v>2038</v>
      </c>
      <c r="M29" s="85">
        <f t="shared" si="15"/>
        <v>-10552967.899863446</v>
      </c>
      <c r="N29" s="85">
        <f t="shared" si="10"/>
        <v>8452097.0037744287</v>
      </c>
      <c r="O29" s="85">
        <f t="shared" si="20"/>
        <v>212240.34906478002</v>
      </c>
      <c r="P29" s="225">
        <f t="shared" si="21"/>
        <v>-9.8985461781717543</v>
      </c>
      <c r="Q29" s="226">
        <f t="shared" si="11"/>
        <v>-49.721779795238028</v>
      </c>
      <c r="R29" s="226">
        <f t="shared" si="12"/>
        <v>39.823233617066279</v>
      </c>
      <c r="S29" s="85">
        <f t="shared" si="9"/>
        <v>-1943002.4953295144</v>
      </c>
      <c r="U29" s="85">
        <f t="shared" si="13"/>
        <v>2817365.6679248093</v>
      </c>
      <c r="V29" s="85" t="str">
        <f t="shared" si="0"/>
        <v>Summer</v>
      </c>
    </row>
    <row r="30" spans="2:22">
      <c r="B30" s="221">
        <f t="shared" si="4"/>
        <v>46174</v>
      </c>
      <c r="C30" s="85">
        <v>471340.10455913085</v>
      </c>
      <c r="D30" s="217">
        <f>IF(F30&lt;&gt;0,VLOOKUP($J30,'Table 1'!$B$13:$C$33,2,FALSE)/12*1000*Study_MW,0)</f>
        <v>0</v>
      </c>
      <c r="E30" s="217">
        <f t="shared" si="17"/>
        <v>471340.10455913085</v>
      </c>
      <c r="F30" s="85">
        <v>21524.017336009998</v>
      </c>
      <c r="G30" s="222">
        <f t="shared" si="16"/>
        <v>21.898333252620638</v>
      </c>
      <c r="I30" s="223">
        <f t="shared" si="18"/>
        <v>19</v>
      </c>
      <c r="J30" s="220">
        <f t="shared" si="5"/>
        <v>2026</v>
      </c>
      <c r="K30" s="221">
        <f t="shared" si="19"/>
        <v>46174</v>
      </c>
      <c r="L30" s="220">
        <f t="shared" si="14"/>
        <v>2039</v>
      </c>
      <c r="M30" s="85">
        <f t="shared" si="15"/>
        <v>708079.97855633032</v>
      </c>
      <c r="N30" s="85">
        <f t="shared" si="10"/>
        <v>8636352.7169830892</v>
      </c>
      <c r="O30" s="85">
        <f t="shared" si="20"/>
        <v>212236.90876234998</v>
      </c>
      <c r="P30" s="225">
        <f t="shared" si="21"/>
        <v>44.028311333928954</v>
      </c>
      <c r="Q30" s="226">
        <f t="shared" si="11"/>
        <v>3.3362716347758123</v>
      </c>
      <c r="R30" s="226">
        <f t="shared" si="12"/>
        <v>40.692039699153142</v>
      </c>
      <c r="S30" s="85">
        <f t="shared" si="9"/>
        <v>433654.63916402217</v>
      </c>
      <c r="U30" s="85">
        <f t="shared" si="13"/>
        <v>2878784.2389943632</v>
      </c>
      <c r="V30" s="85" t="str">
        <f t="shared" si="0"/>
        <v>Summer</v>
      </c>
    </row>
    <row r="31" spans="2:22">
      <c r="B31" s="221">
        <f t="shared" si="4"/>
        <v>46204</v>
      </c>
      <c r="C31" s="85">
        <v>462486.71938992629</v>
      </c>
      <c r="D31" s="217">
        <f>IF(F31&lt;&gt;0,VLOOKUP($J31,'Table 1'!$B$13:$C$33,2,FALSE)/12*1000*Study_MW,0)</f>
        <v>0</v>
      </c>
      <c r="E31" s="217">
        <f t="shared" si="17"/>
        <v>462486.71938992629</v>
      </c>
      <c r="F31" s="85">
        <v>15147.51103519</v>
      </c>
      <c r="G31" s="222">
        <f t="shared" si="16"/>
        <v>30.532192273403759</v>
      </c>
      <c r="I31" s="223">
        <f t="shared" si="18"/>
        <v>20</v>
      </c>
      <c r="J31" s="220">
        <f t="shared" si="5"/>
        <v>2026</v>
      </c>
      <c r="K31" s="221">
        <f t="shared" si="19"/>
        <v>46204</v>
      </c>
      <c r="L31" s="220">
        <f t="shared" si="14"/>
        <v>2040</v>
      </c>
      <c r="M31" s="85">
        <f t="shared" si="15"/>
        <v>898476.90842359257</v>
      </c>
      <c r="N31" s="85">
        <f t="shared" si="10"/>
        <v>8824625.2088418417</v>
      </c>
      <c r="O31" s="85">
        <f t="shared" si="20"/>
        <v>212290.18377245998</v>
      </c>
      <c r="P31" s="225">
        <f t="shared" si="21"/>
        <v>45.800997222212565</v>
      </c>
      <c r="Q31" s="226">
        <f t="shared" si="11"/>
        <v>4.2323054813811432</v>
      </c>
      <c r="R31" s="226">
        <f t="shared" si="12"/>
        <v>41.568691740831419</v>
      </c>
      <c r="S31" s="85">
        <f t="shared" si="9"/>
        <v>558281.33125570999</v>
      </c>
      <c r="U31" s="85">
        <f t="shared" si="13"/>
        <v>2941541.7362806145</v>
      </c>
      <c r="V31" s="85" t="str">
        <f t="shared" si="0"/>
        <v>Summer</v>
      </c>
    </row>
    <row r="32" spans="2:22">
      <c r="B32" s="221">
        <f t="shared" si="4"/>
        <v>46235</v>
      </c>
      <c r="C32" s="85">
        <v>460422.70955858112</v>
      </c>
      <c r="D32" s="217">
        <f>IF(F32&lt;&gt;0,VLOOKUP($J32,'Table 1'!$B$13:$C$33,2,FALSE)/12*1000*Study_MW,0)</f>
        <v>0</v>
      </c>
      <c r="E32" s="217">
        <f t="shared" si="17"/>
        <v>460422.70955858112</v>
      </c>
      <c r="F32" s="85">
        <v>12548.558045939999</v>
      </c>
      <c r="G32" s="222">
        <f t="shared" si="16"/>
        <v>36.69128419958561</v>
      </c>
      <c r="I32" s="223">
        <f t="shared" si="18"/>
        <v>21</v>
      </c>
      <c r="J32" s="220">
        <f t="shared" si="5"/>
        <v>2026</v>
      </c>
      <c r="K32" s="221">
        <f t="shared" si="19"/>
        <v>46235</v>
      </c>
      <c r="L32" s="220">
        <f t="shared" si="14"/>
        <v>2041</v>
      </c>
      <c r="M32" s="85">
        <f t="shared" si="15"/>
        <v>475528.49994876247</v>
      </c>
      <c r="N32" s="85">
        <f t="shared" si="10"/>
        <v>9017002.0341649614</v>
      </c>
      <c r="O32" s="85">
        <f t="shared" si="20"/>
        <v>212496.24264709</v>
      </c>
      <c r="P32" s="225">
        <f t="shared" si="21"/>
        <v>44.671521791934694</v>
      </c>
      <c r="Q32" s="226">
        <f t="shared" si="11"/>
        <v>2.2378207446167027</v>
      </c>
      <c r="R32" s="226">
        <f t="shared" si="12"/>
        <v>42.433701047317996</v>
      </c>
      <c r="S32" s="85">
        <f t="shared" si="9"/>
        <v>412376.61845130427</v>
      </c>
      <c r="U32" s="85">
        <f t="shared" si="13"/>
        <v>3005667.3447216544</v>
      </c>
      <c r="V32" s="85" t="str">
        <f t="shared" si="0"/>
        <v>Summer</v>
      </c>
    </row>
    <row r="33" spans="2:22">
      <c r="B33" s="221">
        <f t="shared" si="4"/>
        <v>46266</v>
      </c>
      <c r="C33" s="85">
        <v>290592.20850227575</v>
      </c>
      <c r="D33" s="217">
        <f>IF(F33&lt;&gt;0,VLOOKUP($J33,'Table 1'!$B$13:$C$33,2,FALSE)/12*1000*Study_MW,0)</f>
        <v>0</v>
      </c>
      <c r="E33" s="217">
        <f t="shared" si="17"/>
        <v>290592.20850227575</v>
      </c>
      <c r="F33" s="85">
        <v>12296.434959349997</v>
      </c>
      <c r="G33" s="222">
        <f t="shared" si="16"/>
        <v>23.632232387917803</v>
      </c>
      <c r="I33" s="223">
        <f t="shared" si="18"/>
        <v>22</v>
      </c>
      <c r="J33" s="220">
        <f t="shared" si="5"/>
        <v>2026</v>
      </c>
      <c r="K33" s="221">
        <f t="shared" si="19"/>
        <v>46266</v>
      </c>
      <c r="L33" s="220">
        <f t="shared" si="14"/>
        <v>2042</v>
      </c>
      <c r="M33" s="85">
        <f t="shared" si="15"/>
        <v>790121.80989644537</v>
      </c>
      <c r="N33" s="85">
        <f t="shared" si="10"/>
        <v>9213572.6788472328</v>
      </c>
      <c r="O33" s="85">
        <f t="shared" si="20"/>
        <v>212615.58447407</v>
      </c>
      <c r="P33" s="225">
        <f t="shared" si="21"/>
        <v>47.050617260672631</v>
      </c>
      <c r="Q33" s="226">
        <f t="shared" si="11"/>
        <v>3.7161989411590213</v>
      </c>
      <c r="R33" s="226">
        <f t="shared" si="12"/>
        <v>43.33441831951361</v>
      </c>
      <c r="S33" s="85">
        <f t="shared" si="9"/>
        <v>642717.73453806236</v>
      </c>
      <c r="U33" s="85">
        <f t="shared" si="13"/>
        <v>3071190.8929490773</v>
      </c>
      <c r="V33" s="85" t="str">
        <f t="shared" si="0"/>
        <v>Winter</v>
      </c>
    </row>
    <row r="34" spans="2:22">
      <c r="B34" s="221">
        <f t="shared" si="4"/>
        <v>46296</v>
      </c>
      <c r="C34" s="85">
        <v>467050.73890738643</v>
      </c>
      <c r="D34" s="217">
        <f>IF(F34&lt;&gt;0,VLOOKUP($J34,'Table 1'!$B$13:$C$33,2,FALSE)/12*1000*Study_MW,0)</f>
        <v>0</v>
      </c>
      <c r="E34" s="217">
        <f t="shared" si="17"/>
        <v>467050.73890738643</v>
      </c>
      <c r="F34" s="85">
        <v>22788.968736790001</v>
      </c>
      <c r="G34" s="222">
        <f t="shared" si="16"/>
        <v>20.494597377431571</v>
      </c>
      <c r="I34" s="223">
        <f t="shared" si="18"/>
        <v>23</v>
      </c>
      <c r="J34" s="220">
        <f t="shared" si="5"/>
        <v>2026</v>
      </c>
      <c r="K34" s="221">
        <f t="shared" si="19"/>
        <v>46296</v>
      </c>
      <c r="L34" s="220">
        <f t="shared" si="14"/>
        <v>2043</v>
      </c>
      <c r="M34" s="85">
        <f t="shared" si="15"/>
        <v>1004004.8438985252</v>
      </c>
      <c r="N34" s="85">
        <f t="shared" si="10"/>
        <v>9414428.5661133509</v>
      </c>
      <c r="O34" s="85">
        <f t="shared" si="20"/>
        <v>212573.17494002005</v>
      </c>
      <c r="P34" s="225">
        <f t="shared" si="21"/>
        <v>49.011044845858642</v>
      </c>
      <c r="Q34" s="226">
        <f t="shared" ref="Q34:Q41" si="22">M34/O34</f>
        <v>4.723102264346462</v>
      </c>
      <c r="R34" s="226">
        <f t="shared" ref="R34:R41" si="23">IFERROR(N34/O34,0)</f>
        <v>44.287942581512176</v>
      </c>
      <c r="S34" s="85">
        <f t="shared" si="9"/>
        <v>720456.71619406494</v>
      </c>
      <c r="U34" s="85">
        <f t="shared" si="13"/>
        <v>3138142.8553711167</v>
      </c>
      <c r="V34" s="85" t="str">
        <f t="shared" si="0"/>
        <v>Winter</v>
      </c>
    </row>
    <row r="35" spans="2:22">
      <c r="B35" s="221">
        <f t="shared" si="4"/>
        <v>46327</v>
      </c>
      <c r="C35" s="85">
        <v>439873.42057409114</v>
      </c>
      <c r="D35" s="217">
        <f>IF(F35&lt;&gt;0,VLOOKUP($J35,'Table 1'!$B$13:$C$33,2,FALSE)/12*1000*Study_MW,0)</f>
        <v>0</v>
      </c>
      <c r="E35" s="217">
        <f t="shared" si="17"/>
        <v>439873.42057409114</v>
      </c>
      <c r="F35" s="85">
        <v>13895.100906430001</v>
      </c>
      <c r="G35" s="222">
        <f t="shared" si="16"/>
        <v>31.656727326862256</v>
      </c>
      <c r="I35" s="223">
        <f t="shared" si="18"/>
        <v>24</v>
      </c>
      <c r="J35" s="220">
        <f t="shared" si="5"/>
        <v>2026</v>
      </c>
      <c r="K35" s="221">
        <f t="shared" si="19"/>
        <v>46327</v>
      </c>
      <c r="L35" s="220">
        <f t="shared" si="14"/>
        <v>2044</v>
      </c>
      <c r="M35" s="85">
        <f t="shared" si="15"/>
        <v>461458.42344466643</v>
      </c>
      <c r="N35" s="85">
        <f t="shared" si="10"/>
        <v>9619663.1065135784</v>
      </c>
      <c r="O35" s="85">
        <f t="shared" si="20"/>
        <v>212240.34906477999</v>
      </c>
      <c r="P35" s="225">
        <f t="shared" si="21"/>
        <v>47.498609827866822</v>
      </c>
      <c r="Q35" s="226">
        <f t="shared" si="22"/>
        <v>2.1742257090984149</v>
      </c>
      <c r="R35" s="226">
        <f t="shared" si="23"/>
        <v>45.324384118768414</v>
      </c>
      <c r="S35" s="85">
        <f t="shared" si="9"/>
        <v>459226.26624527038</v>
      </c>
      <c r="U35" s="85">
        <f t="shared" si="13"/>
        <v>3206554.3688378595</v>
      </c>
      <c r="V35" s="85" t="str">
        <f t="shared" si="0"/>
        <v>Winter</v>
      </c>
    </row>
    <row r="36" spans="2:22">
      <c r="B36" s="227">
        <f t="shared" si="4"/>
        <v>46357</v>
      </c>
      <c r="C36" s="228">
        <v>576724.76188739529</v>
      </c>
      <c r="D36" s="229">
        <f>IF(F36&lt;&gt;0,VLOOKUP($J36,'Table 1'!$B$13:$C$33,2,FALSE)/12*1000*Study_MW,0)</f>
        <v>0</v>
      </c>
      <c r="E36" s="229">
        <f t="shared" si="17"/>
        <v>576724.76188739529</v>
      </c>
      <c r="F36" s="228">
        <v>14819.763973179999</v>
      </c>
      <c r="G36" s="230">
        <f t="shared" si="16"/>
        <v>38.915920856170203</v>
      </c>
      <c r="I36" s="231">
        <f t="shared" si="18"/>
        <v>25</v>
      </c>
      <c r="J36" s="220">
        <f t="shared" si="5"/>
        <v>2026</v>
      </c>
      <c r="K36" s="227">
        <f t="shared" si="19"/>
        <v>46357</v>
      </c>
      <c r="L36" s="220">
        <f t="shared" si="14"/>
        <v>2045</v>
      </c>
      <c r="M36" s="85">
        <f t="shared" si="15"/>
        <v>471518.21707576048</v>
      </c>
      <c r="N36" s="85">
        <f t="shared" si="10"/>
        <v>9829371.7622355763</v>
      </c>
      <c r="O36" s="85">
        <f t="shared" si="20"/>
        <v>212240.34906477999</v>
      </c>
      <c r="P36" s="225">
        <f t="shared" si="21"/>
        <v>48.534079522114332</v>
      </c>
      <c r="Q36" s="226">
        <f t="shared" si="22"/>
        <v>2.2216238295567621</v>
      </c>
      <c r="R36" s="226">
        <f t="shared" si="23"/>
        <v>46.31245569255757</v>
      </c>
      <c r="S36" s="85">
        <f t="shared" si="9"/>
        <v>469237.39884941728</v>
      </c>
      <c r="U36" s="85">
        <f t="shared" si="13"/>
        <v>3276457.2540785251</v>
      </c>
      <c r="V36" s="85" t="str">
        <f t="shared" si="0"/>
        <v>Winter</v>
      </c>
    </row>
    <row r="37" spans="2:22">
      <c r="B37" s="214">
        <f t="shared" si="4"/>
        <v>46388</v>
      </c>
      <c r="C37" s="215">
        <v>690143.4464789927</v>
      </c>
      <c r="D37" s="216">
        <f>IF(F37&lt;&gt;0,VLOOKUP($J37,'Table 1'!$B$13:$C$33,2,FALSE)/12*1000*Study_MW,0)</f>
        <v>0</v>
      </c>
      <c r="E37" s="216">
        <f t="shared" si="17"/>
        <v>690143.4464789927</v>
      </c>
      <c r="F37" s="215">
        <v>18859.187018470002</v>
      </c>
      <c r="G37" s="218">
        <f t="shared" si="16"/>
        <v>36.594549160740137</v>
      </c>
      <c r="I37" s="219">
        <f>I25+13</f>
        <v>27</v>
      </c>
      <c r="J37" s="220">
        <f t="shared" si="5"/>
        <v>2027</v>
      </c>
      <c r="K37" s="214">
        <f t="shared" si="19"/>
        <v>46388</v>
      </c>
      <c r="L37" s="220">
        <f t="shared" si="14"/>
        <v>2046</v>
      </c>
      <c r="M37" s="85">
        <f>SUMIF($J$13:$J$276,L37,$C$13:$C$276)</f>
        <v>481797.31420801196</v>
      </c>
      <c r="N37" s="85">
        <f>SUMIF($J$13:$J$276,L37,$D$13:$D$276)</f>
        <v>10043652.066652311</v>
      </c>
      <c r="O37" s="85">
        <f>SUMIF($J$13:$J$276,L37,$F$13:$F$276)</f>
        <v>212240.34906477999</v>
      </c>
      <c r="P37" s="225">
        <f t="shared" si="21"/>
        <v>49.592122455696426</v>
      </c>
      <c r="Q37" s="226">
        <f t="shared" si="22"/>
        <v>2.2700552290410991</v>
      </c>
      <c r="R37" s="226">
        <f t="shared" si="23"/>
        <v>47.322067226655321</v>
      </c>
      <c r="S37" s="85">
        <f t="shared" si="9"/>
        <v>479466.7741443346</v>
      </c>
      <c r="U37" s="85">
        <f t="shared" si="13"/>
        <v>3347884.0222174372</v>
      </c>
      <c r="V37" s="85" t="str">
        <f t="shared" si="0"/>
        <v>Winter</v>
      </c>
    </row>
    <row r="38" spans="2:22">
      <c r="B38" s="221">
        <f t="shared" si="4"/>
        <v>46419</v>
      </c>
      <c r="C38" s="85">
        <v>683701.64675369603</v>
      </c>
      <c r="D38" s="217">
        <f>IF(F38&lt;&gt;0,VLOOKUP($J38,'Table 1'!$B$13:$C$33,2,FALSE)/12*1000*Study_MW,0)</f>
        <v>0</v>
      </c>
      <c r="E38" s="217">
        <f t="shared" si="17"/>
        <v>683701.64675369603</v>
      </c>
      <c r="F38" s="85">
        <v>19028.330878009998</v>
      </c>
      <c r="G38" s="222">
        <f t="shared" si="16"/>
        <v>35.930720941152678</v>
      </c>
      <c r="I38" s="223">
        <f t="shared" si="18"/>
        <v>28</v>
      </c>
      <c r="J38" s="220">
        <f t="shared" si="5"/>
        <v>2027</v>
      </c>
      <c r="K38" s="221">
        <f t="shared" si="19"/>
        <v>46419</v>
      </c>
      <c r="L38" s="220">
        <f t="shared" si="14"/>
        <v>2047</v>
      </c>
      <c r="M38" s="85">
        <f>SUMIF($J$13:$J$276,L38,$C$13:$C$276)</f>
        <v>0</v>
      </c>
      <c r="N38" s="85">
        <f>SUMIF($J$13:$J$276,L38,$D$13:$D$276)</f>
        <v>0</v>
      </c>
      <c r="O38" s="85">
        <f>SUMIF($J$13:$J$276,L38,$F$13:$F$276)</f>
        <v>0</v>
      </c>
      <c r="P38" s="225" t="e">
        <f t="shared" si="21"/>
        <v>#DIV/0!</v>
      </c>
      <c r="Q38" s="226" t="e">
        <f t="shared" si="22"/>
        <v>#DIV/0!</v>
      </c>
      <c r="R38" s="226">
        <f t="shared" si="23"/>
        <v>0</v>
      </c>
      <c r="S38" s="85">
        <f t="shared" si="9"/>
        <v>0</v>
      </c>
      <c r="U38" s="85">
        <f t="shared" si="13"/>
        <v>0</v>
      </c>
      <c r="V38" s="85" t="str">
        <f t="shared" si="0"/>
        <v>Winter</v>
      </c>
    </row>
    <row r="39" spans="2:22">
      <c r="B39" s="221">
        <f t="shared" si="4"/>
        <v>46447</v>
      </c>
      <c r="C39" s="85">
        <v>310809.89083508757</v>
      </c>
      <c r="D39" s="217">
        <f>IF(F39&lt;&gt;0,VLOOKUP($J39,'Table 1'!$B$13:$C$33,2,FALSE)/12*1000*Study_MW,0)</f>
        <v>0</v>
      </c>
      <c r="E39" s="217">
        <f t="shared" si="17"/>
        <v>310809.89083508757</v>
      </c>
      <c r="F39" s="85">
        <v>18220.792456949996</v>
      </c>
      <c r="G39" s="222">
        <f t="shared" si="16"/>
        <v>17.057978766260231</v>
      </c>
      <c r="I39" s="223">
        <f t="shared" si="18"/>
        <v>29</v>
      </c>
      <c r="J39" s="220">
        <f t="shared" si="5"/>
        <v>2027</v>
      </c>
      <c r="K39" s="221">
        <f t="shared" si="19"/>
        <v>46447</v>
      </c>
      <c r="L39" s="220">
        <f t="shared" si="14"/>
        <v>2048</v>
      </c>
      <c r="M39" s="85">
        <f>SUMIF($J$13:$J$352,L39,$C$13:$C$352)</f>
        <v>0</v>
      </c>
      <c r="N39" s="85">
        <f>SUMIF($J$13:$J$352,L39,$D$13:$D$352)</f>
        <v>0</v>
      </c>
      <c r="O39" s="85">
        <f>SUMIF($J$13:$J$352,L39,$F$13:$F$352)</f>
        <v>0</v>
      </c>
      <c r="P39" s="225" t="e">
        <f t="shared" si="21"/>
        <v>#DIV/0!</v>
      </c>
      <c r="Q39" s="226" t="e">
        <f t="shared" si="22"/>
        <v>#DIV/0!</v>
      </c>
      <c r="R39" s="226">
        <f t="shared" si="23"/>
        <v>0</v>
      </c>
      <c r="S39" s="85">
        <f t="shared" si="9"/>
        <v>0</v>
      </c>
      <c r="U39" s="85">
        <f t="shared" si="13"/>
        <v>0</v>
      </c>
      <c r="V39" s="85" t="str">
        <f t="shared" si="0"/>
        <v>Winter</v>
      </c>
    </row>
    <row r="40" spans="2:22">
      <c r="B40" s="221">
        <f t="shared" si="4"/>
        <v>46478</v>
      </c>
      <c r="C40" s="85">
        <v>274672.74183056725</v>
      </c>
      <c r="D40" s="217">
        <f>IF(F40&lt;&gt;0,VLOOKUP($J40,'Table 1'!$B$13:$C$33,2,FALSE)/12*1000*Study_MW,0)</f>
        <v>0</v>
      </c>
      <c r="E40" s="217">
        <f t="shared" si="17"/>
        <v>274672.74183056725</v>
      </c>
      <c r="F40" s="85">
        <v>21563.636811889999</v>
      </c>
      <c r="G40" s="222">
        <f t="shared" si="16"/>
        <v>12.737774440678537</v>
      </c>
      <c r="I40" s="223">
        <f t="shared" si="18"/>
        <v>30</v>
      </c>
      <c r="J40" s="220">
        <f t="shared" si="5"/>
        <v>2027</v>
      </c>
      <c r="K40" s="221">
        <f t="shared" si="19"/>
        <v>46478</v>
      </c>
      <c r="L40" s="220">
        <f t="shared" si="14"/>
        <v>2049</v>
      </c>
      <c r="M40" s="85">
        <f>SUMIF($J$13:$J$352,L40,$C$13:$C$352)</f>
        <v>0</v>
      </c>
      <c r="N40" s="85">
        <f>SUMIF($J$13:$J$352,L40,$D$13:$D$352)</f>
        <v>0</v>
      </c>
      <c r="O40" s="85">
        <f>SUMIF($J$13:$J$352,L40,$F$13:$F$352)</f>
        <v>0</v>
      </c>
      <c r="P40" s="225" t="e">
        <f t="shared" si="21"/>
        <v>#DIV/0!</v>
      </c>
      <c r="Q40" s="226" t="e">
        <f t="shared" si="22"/>
        <v>#DIV/0!</v>
      </c>
      <c r="R40" s="226">
        <f t="shared" si="23"/>
        <v>0</v>
      </c>
      <c r="S40" s="85">
        <f t="shared" si="9"/>
        <v>0</v>
      </c>
      <c r="T40" s="201"/>
      <c r="U40" s="85">
        <f t="shared" si="13"/>
        <v>0</v>
      </c>
      <c r="V40" s="85" t="str">
        <f t="shared" si="0"/>
        <v>Winter</v>
      </c>
    </row>
    <row r="41" spans="2:22">
      <c r="B41" s="221">
        <f t="shared" si="4"/>
        <v>46508</v>
      </c>
      <c r="C41" s="85">
        <v>379136.44067945279</v>
      </c>
      <c r="D41" s="217">
        <f>IF(F41&lt;&gt;0,VLOOKUP($J41,'Table 1'!$B$13:$C$33,2,FALSE)/12*1000*Study_MW,0)</f>
        <v>0</v>
      </c>
      <c r="E41" s="217">
        <f t="shared" si="17"/>
        <v>379136.44067945279</v>
      </c>
      <c r="F41" s="85">
        <v>22851.848039540004</v>
      </c>
      <c r="G41" s="222">
        <f t="shared" si="16"/>
        <v>16.59106257067009</v>
      </c>
      <c r="I41" s="223">
        <f t="shared" si="18"/>
        <v>31</v>
      </c>
      <c r="J41" s="220">
        <f t="shared" si="5"/>
        <v>2027</v>
      </c>
      <c r="K41" s="221">
        <f t="shared" si="19"/>
        <v>46508</v>
      </c>
      <c r="L41" s="220">
        <f t="shared" si="14"/>
        <v>2050</v>
      </c>
      <c r="M41" s="85">
        <f>SUMIF($J$13:$J$352,L41,$C$13:$C$352)</f>
        <v>0</v>
      </c>
      <c r="N41" s="85">
        <f>SUMIF($J$13:$J$352,L41,$D$13:$D$352)</f>
        <v>0</v>
      </c>
      <c r="O41" s="85">
        <f>SUMIF($J$13:$J$352,L41,$F$13:$F$352)</f>
        <v>0</v>
      </c>
      <c r="P41" s="225" t="e">
        <f t="shared" si="21"/>
        <v>#DIV/0!</v>
      </c>
      <c r="Q41" s="226" t="e">
        <f t="shared" si="22"/>
        <v>#DIV/0!</v>
      </c>
      <c r="R41" s="226">
        <f t="shared" si="23"/>
        <v>0</v>
      </c>
      <c r="S41" s="85">
        <f t="shared" si="9"/>
        <v>0</v>
      </c>
      <c r="T41" s="201"/>
      <c r="U41" s="85">
        <f t="shared" si="13"/>
        <v>0</v>
      </c>
      <c r="V41" s="85" t="str">
        <f t="shared" si="0"/>
        <v>Summer</v>
      </c>
    </row>
    <row r="42" spans="2:22">
      <c r="B42" s="221">
        <f t="shared" si="4"/>
        <v>46539</v>
      </c>
      <c r="C42" s="85">
        <v>418204.1724220544</v>
      </c>
      <c r="D42" s="217">
        <f>IF(F42&lt;&gt;0,VLOOKUP($J42,'Table 1'!$B$13:$C$33,2,FALSE)/12*1000*Study_MW,0)</f>
        <v>0</v>
      </c>
      <c r="E42" s="217">
        <f t="shared" si="17"/>
        <v>418204.1724220544</v>
      </c>
      <c r="F42" s="85">
        <v>21964.394641799998</v>
      </c>
      <c r="G42" s="222">
        <f t="shared" si="16"/>
        <v>19.040095538357267</v>
      </c>
      <c r="I42" s="223">
        <f t="shared" si="18"/>
        <v>32</v>
      </c>
      <c r="J42" s="220">
        <f t="shared" si="5"/>
        <v>2027</v>
      </c>
      <c r="K42" s="221">
        <f t="shared" si="19"/>
        <v>46539</v>
      </c>
      <c r="L42" s="220">
        <f t="shared" si="14"/>
        <v>2051</v>
      </c>
      <c r="P42" s="225"/>
      <c r="Q42" s="226"/>
      <c r="R42" s="226"/>
      <c r="V42" s="85" t="str">
        <f t="shared" si="0"/>
        <v>Summer</v>
      </c>
    </row>
    <row r="43" spans="2:22">
      <c r="B43" s="221">
        <f t="shared" si="4"/>
        <v>46569</v>
      </c>
      <c r="C43" s="85">
        <v>450964.84106018033</v>
      </c>
      <c r="D43" s="217">
        <f>IF(F43&lt;&gt;0,VLOOKUP($J43,'Table 1'!$B$13:$C$33,2,FALSE)/12*1000*Study_MW,0)</f>
        <v>0</v>
      </c>
      <c r="E43" s="217">
        <f t="shared" si="17"/>
        <v>450964.84106018033</v>
      </c>
      <c r="F43" s="85">
        <v>13744.05520639</v>
      </c>
      <c r="G43" s="222">
        <f t="shared" si="16"/>
        <v>32.811629048937029</v>
      </c>
      <c r="I43" s="223">
        <f t="shared" si="18"/>
        <v>33</v>
      </c>
      <c r="J43" s="220">
        <f t="shared" si="5"/>
        <v>2027</v>
      </c>
      <c r="K43" s="221">
        <f t="shared" si="19"/>
        <v>46569</v>
      </c>
      <c r="V43" s="85" t="str">
        <f t="shared" si="0"/>
        <v>Summer</v>
      </c>
    </row>
    <row r="44" spans="2:22">
      <c r="B44" s="221">
        <f t="shared" si="4"/>
        <v>46600</v>
      </c>
      <c r="C44" s="85">
        <v>514101.01633628074</v>
      </c>
      <c r="D44" s="217">
        <f>IF(F44&lt;&gt;0,VLOOKUP($J44,'Table 1'!$B$13:$C$33,2,FALSE)/12*1000*Study_MW,0)</f>
        <v>0</v>
      </c>
      <c r="E44" s="217">
        <f t="shared" si="17"/>
        <v>514101.01633628074</v>
      </c>
      <c r="F44" s="85">
        <v>12918.0700767</v>
      </c>
      <c r="G44" s="222">
        <f t="shared" si="16"/>
        <v>39.797045013987955</v>
      </c>
      <c r="I44" s="223">
        <f t="shared" si="18"/>
        <v>34</v>
      </c>
      <c r="J44" s="220">
        <f t="shared" si="5"/>
        <v>2027</v>
      </c>
      <c r="K44" s="221">
        <f t="shared" si="19"/>
        <v>46600</v>
      </c>
      <c r="V44" s="85" t="str">
        <f t="shared" si="0"/>
        <v>Summer</v>
      </c>
    </row>
    <row r="45" spans="2:22">
      <c r="B45" s="221">
        <f t="shared" si="4"/>
        <v>46631</v>
      </c>
      <c r="C45" s="85">
        <v>275033.7167919497</v>
      </c>
      <c r="D45" s="217">
        <f>IF(F45&lt;&gt;0,VLOOKUP($J45,'Table 1'!$B$13:$C$33,2,FALSE)/12*1000*Study_MW,0)</f>
        <v>0</v>
      </c>
      <c r="E45" s="217">
        <f t="shared" si="17"/>
        <v>275033.7167919497</v>
      </c>
      <c r="F45" s="85">
        <v>11871.487103879999</v>
      </c>
      <c r="G45" s="222">
        <f t="shared" si="16"/>
        <v>23.167587546977117</v>
      </c>
      <c r="I45" s="223">
        <f t="shared" si="18"/>
        <v>35</v>
      </c>
      <c r="J45" s="220">
        <f t="shared" si="5"/>
        <v>2027</v>
      </c>
      <c r="K45" s="221">
        <f t="shared" si="19"/>
        <v>46631</v>
      </c>
      <c r="V45" s="85" t="str">
        <f t="shared" si="0"/>
        <v>Winter</v>
      </c>
    </row>
    <row r="46" spans="2:22">
      <c r="B46" s="221">
        <f t="shared" si="4"/>
        <v>46661</v>
      </c>
      <c r="C46" s="85">
        <v>492549.20506587223</v>
      </c>
      <c r="D46" s="217">
        <f>IF(F46&lt;&gt;0,VLOOKUP($J46,'Table 1'!$B$13:$C$33,2,FALSE)/12*1000*Study_MW,0)</f>
        <v>0</v>
      </c>
      <c r="E46" s="217">
        <f t="shared" si="17"/>
        <v>492549.20506587223</v>
      </c>
      <c r="F46" s="85">
        <v>23100.34310405</v>
      </c>
      <c r="G46" s="222">
        <f t="shared" si="16"/>
        <v>21.322159711970578</v>
      </c>
      <c r="I46" s="223">
        <f t="shared" si="18"/>
        <v>36</v>
      </c>
      <c r="J46" s="220">
        <f t="shared" si="5"/>
        <v>2027</v>
      </c>
      <c r="K46" s="221">
        <f t="shared" si="19"/>
        <v>46661</v>
      </c>
      <c r="V46" s="85" t="str">
        <f t="shared" si="0"/>
        <v>Winter</v>
      </c>
    </row>
    <row r="47" spans="2:22">
      <c r="B47" s="221">
        <f t="shared" si="4"/>
        <v>46692</v>
      </c>
      <c r="C47" s="85">
        <v>412206.66602628626</v>
      </c>
      <c r="D47" s="217">
        <f>IF(F47&lt;&gt;0,VLOOKUP($J47,'Table 1'!$B$13:$C$33,2,FALSE)/12*1000*Study_MW,0)</f>
        <v>0</v>
      </c>
      <c r="E47" s="217">
        <f t="shared" si="17"/>
        <v>412206.66602628626</v>
      </c>
      <c r="F47" s="85">
        <v>13580.216540810003</v>
      </c>
      <c r="G47" s="222">
        <f t="shared" si="16"/>
        <v>30.353467839600434</v>
      </c>
      <c r="I47" s="223">
        <f t="shared" si="18"/>
        <v>37</v>
      </c>
      <c r="J47" s="220">
        <f t="shared" si="5"/>
        <v>2027</v>
      </c>
      <c r="K47" s="221">
        <f t="shared" si="19"/>
        <v>46692</v>
      </c>
      <c r="V47" s="85" t="str">
        <f t="shared" si="0"/>
        <v>Winter</v>
      </c>
    </row>
    <row r="48" spans="2:22">
      <c r="B48" s="227">
        <f t="shared" si="4"/>
        <v>46722</v>
      </c>
      <c r="C48" s="228">
        <v>574871.69136460579</v>
      </c>
      <c r="D48" s="229">
        <f>IF(F48&lt;&gt;0,VLOOKUP($J48,'Table 1'!$B$13:$C$33,2,FALSE)/12*1000*Study_MW,0)</f>
        <v>0</v>
      </c>
      <c r="E48" s="229">
        <f t="shared" si="17"/>
        <v>574871.69136460579</v>
      </c>
      <c r="F48" s="228">
        <v>14537.987186290002</v>
      </c>
      <c r="G48" s="230">
        <f t="shared" si="16"/>
        <v>39.542729264938174</v>
      </c>
      <c r="I48" s="231">
        <f t="shared" si="18"/>
        <v>38</v>
      </c>
      <c r="J48" s="220">
        <f t="shared" si="5"/>
        <v>2027</v>
      </c>
      <c r="K48" s="227">
        <f t="shared" si="19"/>
        <v>46722</v>
      </c>
      <c r="V48" s="85" t="str">
        <f t="shared" si="0"/>
        <v>Winter</v>
      </c>
    </row>
    <row r="49" spans="2:22" hidden="1" outlineLevel="1">
      <c r="B49" s="214">
        <f t="shared" si="4"/>
        <v>46753</v>
      </c>
      <c r="C49" s="215">
        <v>706289.84337850846</v>
      </c>
      <c r="D49" s="216">
        <f>IF(F49&lt;&gt;0,VLOOKUP($J49,'Table 1'!$B$13:$C$33,2,FALSE)/12*1000*Study_MW,0)</f>
        <v>0</v>
      </c>
      <c r="E49" s="216">
        <f t="shared" si="17"/>
        <v>706289.84337850846</v>
      </c>
      <c r="F49" s="215">
        <v>19018.897428480002</v>
      </c>
      <c r="G49" s="218">
        <f t="shared" si="16"/>
        <v>37.136213917472894</v>
      </c>
      <c r="I49" s="219">
        <f>I37+13</f>
        <v>40</v>
      </c>
      <c r="J49" s="220">
        <f t="shared" si="5"/>
        <v>2028</v>
      </c>
      <c r="K49" s="214">
        <f t="shared" si="19"/>
        <v>46753</v>
      </c>
      <c r="V49" s="85" t="str">
        <f t="shared" si="0"/>
        <v>Winter</v>
      </c>
    </row>
    <row r="50" spans="2:22" hidden="1" outlineLevel="1">
      <c r="B50" s="221">
        <f t="shared" si="4"/>
        <v>46784</v>
      </c>
      <c r="C50" s="85">
        <v>674281.59632415918</v>
      </c>
      <c r="D50" s="217">
        <f>IF(F50&lt;&gt;0,VLOOKUP($J50,'Table 1'!$B$13:$C$33,2,FALSE)/12*1000*Study_MW,0)</f>
        <v>0</v>
      </c>
      <c r="E50" s="217">
        <f t="shared" si="17"/>
        <v>674281.59632415918</v>
      </c>
      <c r="F50" s="85">
        <v>19877.56870222</v>
      </c>
      <c r="G50" s="222">
        <f t="shared" si="16"/>
        <v>33.921733911494563</v>
      </c>
      <c r="I50" s="223">
        <f t="shared" si="18"/>
        <v>41</v>
      </c>
      <c r="J50" s="220">
        <f t="shared" si="5"/>
        <v>2028</v>
      </c>
      <c r="K50" s="221">
        <f t="shared" si="19"/>
        <v>46784</v>
      </c>
      <c r="V50" s="85" t="str">
        <f t="shared" si="0"/>
        <v>Winter</v>
      </c>
    </row>
    <row r="51" spans="2:22" hidden="1" outlineLevel="1">
      <c r="B51" s="221">
        <f t="shared" si="4"/>
        <v>46813</v>
      </c>
      <c r="C51" s="85">
        <v>293263.17630269844</v>
      </c>
      <c r="D51" s="217">
        <f>IF(F51&lt;&gt;0,VLOOKUP($J51,'Table 1'!$B$13:$C$33,2,FALSE)/12*1000*Study_MW,0)</f>
        <v>0</v>
      </c>
      <c r="E51" s="217">
        <f t="shared" si="17"/>
        <v>293263.17630269844</v>
      </c>
      <c r="F51" s="85">
        <v>17408.180495410001</v>
      </c>
      <c r="G51" s="222">
        <f t="shared" si="16"/>
        <v>16.846285364517151</v>
      </c>
      <c r="I51" s="223">
        <f t="shared" si="18"/>
        <v>42</v>
      </c>
      <c r="J51" s="220">
        <f t="shared" si="5"/>
        <v>2028</v>
      </c>
      <c r="K51" s="221">
        <f t="shared" si="19"/>
        <v>46813</v>
      </c>
      <c r="V51" s="85" t="str">
        <f t="shared" si="0"/>
        <v>Winter</v>
      </c>
    </row>
    <row r="52" spans="2:22" hidden="1" outlineLevel="1">
      <c r="B52" s="221">
        <f t="shared" si="4"/>
        <v>46844</v>
      </c>
      <c r="C52" s="85">
        <v>356606.20534342161</v>
      </c>
      <c r="D52" s="217">
        <f>IF(F52&lt;&gt;0,VLOOKUP($J52,'Table 1'!$B$13:$C$33,2,FALSE)/12*1000*Study_MW,0)</f>
        <v>0</v>
      </c>
      <c r="E52" s="217">
        <f t="shared" si="17"/>
        <v>356606.20534342161</v>
      </c>
      <c r="F52" s="85">
        <v>23588.34631157</v>
      </c>
      <c r="G52" s="222">
        <f t="shared" si="16"/>
        <v>15.117897653067249</v>
      </c>
      <c r="I52" s="223">
        <f t="shared" si="18"/>
        <v>43</v>
      </c>
      <c r="J52" s="220">
        <f t="shared" si="5"/>
        <v>2028</v>
      </c>
      <c r="K52" s="221">
        <f t="shared" si="19"/>
        <v>46844</v>
      </c>
      <c r="V52" s="85" t="str">
        <f t="shared" si="0"/>
        <v>Winter</v>
      </c>
    </row>
    <row r="53" spans="2:22" hidden="1" outlineLevel="1">
      <c r="B53" s="221">
        <f t="shared" si="4"/>
        <v>46874</v>
      </c>
      <c r="C53" s="85">
        <v>346547.6105131238</v>
      </c>
      <c r="D53" s="217">
        <f>IF(F53&lt;&gt;0,VLOOKUP($J53,'Table 1'!$B$13:$C$33,2,FALSE)/12*1000*Study_MW,0)</f>
        <v>0</v>
      </c>
      <c r="E53" s="217">
        <f t="shared" si="17"/>
        <v>346547.6105131238</v>
      </c>
      <c r="F53" s="85">
        <v>21850.675363670001</v>
      </c>
      <c r="G53" s="222">
        <f t="shared" si="16"/>
        <v>15.859812328240928</v>
      </c>
      <c r="I53" s="223">
        <f t="shared" si="18"/>
        <v>44</v>
      </c>
      <c r="J53" s="220">
        <f t="shared" si="5"/>
        <v>2028</v>
      </c>
      <c r="K53" s="221">
        <f t="shared" si="19"/>
        <v>46874</v>
      </c>
      <c r="V53" s="85" t="str">
        <f t="shared" si="0"/>
        <v>Summer</v>
      </c>
    </row>
    <row r="54" spans="2:22" hidden="1" outlineLevel="1">
      <c r="B54" s="221">
        <f t="shared" si="4"/>
        <v>46905</v>
      </c>
      <c r="C54" s="85">
        <v>407058.14143750467</v>
      </c>
      <c r="D54" s="217">
        <f>IF(F54&lt;&gt;0,VLOOKUP($J54,'Table 1'!$B$13:$C$33,2,FALSE)/12*1000*Study_MW,0)</f>
        <v>0</v>
      </c>
      <c r="E54" s="217">
        <f t="shared" si="17"/>
        <v>407058.14143750467</v>
      </c>
      <c r="F54" s="85">
        <v>21727.221439299999</v>
      </c>
      <c r="G54" s="222">
        <f t="shared" si="16"/>
        <v>18.734937763428029</v>
      </c>
      <c r="I54" s="223">
        <f t="shared" si="18"/>
        <v>45</v>
      </c>
      <c r="J54" s="220">
        <f t="shared" si="5"/>
        <v>2028</v>
      </c>
      <c r="K54" s="221">
        <f t="shared" si="19"/>
        <v>46905</v>
      </c>
      <c r="V54" s="85" t="str">
        <f t="shared" si="0"/>
        <v>Summer</v>
      </c>
    </row>
    <row r="55" spans="2:22" hidden="1" outlineLevel="1">
      <c r="B55" s="221">
        <f t="shared" si="4"/>
        <v>46935</v>
      </c>
      <c r="C55" s="85">
        <v>415463.79715180956</v>
      </c>
      <c r="D55" s="217">
        <f>IF(F55&lt;&gt;0,VLOOKUP($J55,'Table 1'!$B$13:$C$33,2,FALSE)/12*1000*Study_MW,0)</f>
        <v>0</v>
      </c>
      <c r="E55" s="217">
        <f t="shared" si="17"/>
        <v>415463.79715180956</v>
      </c>
      <c r="F55" s="85">
        <v>13087.66273665</v>
      </c>
      <c r="G55" s="222">
        <f t="shared" si="16"/>
        <v>31.744690057481897</v>
      </c>
      <c r="I55" s="223">
        <f t="shared" si="18"/>
        <v>46</v>
      </c>
      <c r="J55" s="220">
        <f t="shared" si="5"/>
        <v>2028</v>
      </c>
      <c r="K55" s="221">
        <f t="shared" si="19"/>
        <v>46935</v>
      </c>
      <c r="V55" s="85" t="str">
        <f t="shared" si="0"/>
        <v>Summer</v>
      </c>
    </row>
    <row r="56" spans="2:22" hidden="1" outlineLevel="1">
      <c r="B56" s="221">
        <f t="shared" si="4"/>
        <v>46966</v>
      </c>
      <c r="C56" s="85">
        <v>545716.84066504531</v>
      </c>
      <c r="D56" s="217">
        <f>IF(F56&lt;&gt;0,VLOOKUP($J56,'Table 1'!$B$13:$C$33,2,FALSE)/12*1000*Study_MW,0)</f>
        <v>0</v>
      </c>
      <c r="E56" s="217">
        <f t="shared" si="17"/>
        <v>545716.84066504531</v>
      </c>
      <c r="F56" s="85">
        <v>13352.837596360001</v>
      </c>
      <c r="G56" s="222">
        <f t="shared" si="16"/>
        <v>40.868979101027065</v>
      </c>
      <c r="I56" s="223">
        <f t="shared" si="18"/>
        <v>47</v>
      </c>
      <c r="J56" s="220">
        <f t="shared" si="5"/>
        <v>2028</v>
      </c>
      <c r="K56" s="221">
        <f t="shared" si="19"/>
        <v>46966</v>
      </c>
      <c r="V56" s="85" t="str">
        <f t="shared" si="0"/>
        <v>Summer</v>
      </c>
    </row>
    <row r="57" spans="2:22" hidden="1" outlineLevel="1">
      <c r="B57" s="221">
        <f t="shared" si="4"/>
        <v>46997</v>
      </c>
      <c r="C57" s="85">
        <v>377252.49519410136</v>
      </c>
      <c r="D57" s="217">
        <f>IF(F57&lt;&gt;0,VLOOKUP($J57,'Table 1'!$B$13:$C$33,2,FALSE)/12*1000*Study_MW,0)</f>
        <v>0</v>
      </c>
      <c r="E57" s="217">
        <f t="shared" si="17"/>
        <v>377252.49519410136</v>
      </c>
      <c r="F57" s="85">
        <v>11306.15984007</v>
      </c>
      <c r="G57" s="222">
        <f t="shared" si="16"/>
        <v>33.36698760060743</v>
      </c>
      <c r="I57" s="223">
        <f t="shared" si="18"/>
        <v>48</v>
      </c>
      <c r="J57" s="220">
        <f t="shared" si="5"/>
        <v>2028</v>
      </c>
      <c r="K57" s="221">
        <f t="shared" si="19"/>
        <v>46997</v>
      </c>
      <c r="V57" s="85" t="str">
        <f t="shared" si="0"/>
        <v>Winter</v>
      </c>
    </row>
    <row r="58" spans="2:22" hidden="1" outlineLevel="1">
      <c r="B58" s="221">
        <f t="shared" si="4"/>
        <v>47027</v>
      </c>
      <c r="C58" s="85">
        <v>659035.32166244253</v>
      </c>
      <c r="D58" s="217">
        <f>IF(F58&lt;&gt;0,VLOOKUP($J58,'Table 1'!$B$13:$C$33,2,FALSE)/12*1000*Study_MW,0)</f>
        <v>0</v>
      </c>
      <c r="E58" s="217">
        <f t="shared" si="17"/>
        <v>659035.32166244253</v>
      </c>
      <c r="F58" s="85">
        <v>23404.872506280004</v>
      </c>
      <c r="G58" s="222">
        <f t="shared" si="16"/>
        <v>28.158039377724016</v>
      </c>
      <c r="I58" s="223">
        <f t="shared" si="18"/>
        <v>49</v>
      </c>
      <c r="J58" s="220">
        <f t="shared" si="5"/>
        <v>2028</v>
      </c>
      <c r="K58" s="221">
        <f t="shared" si="19"/>
        <v>47027</v>
      </c>
      <c r="V58" s="85" t="str">
        <f t="shared" si="0"/>
        <v>Winter</v>
      </c>
    </row>
    <row r="59" spans="2:22" hidden="1" outlineLevel="1">
      <c r="B59" s="221">
        <f t="shared" si="4"/>
        <v>47058</v>
      </c>
      <c r="C59" s="85">
        <v>545512.4195197277</v>
      </c>
      <c r="D59" s="217">
        <f>IF(F59&lt;&gt;0,VLOOKUP($J59,'Table 1'!$B$13:$C$33,2,FALSE)/12*1000*Study_MW,0)</f>
        <v>0</v>
      </c>
      <c r="E59" s="217">
        <f t="shared" si="17"/>
        <v>545512.4195197277</v>
      </c>
      <c r="F59" s="85">
        <v>14273.345559230002</v>
      </c>
      <c r="G59" s="222">
        <f t="shared" si="16"/>
        <v>38.218959756562931</v>
      </c>
      <c r="I59" s="223">
        <f t="shared" si="18"/>
        <v>50</v>
      </c>
      <c r="J59" s="220">
        <f t="shared" si="5"/>
        <v>2028</v>
      </c>
      <c r="K59" s="221">
        <f t="shared" si="19"/>
        <v>47058</v>
      </c>
      <c r="V59" s="85" t="str">
        <f t="shared" si="0"/>
        <v>Winter</v>
      </c>
    </row>
    <row r="60" spans="2:22" hidden="1" outlineLevel="1">
      <c r="B60" s="227">
        <f t="shared" si="4"/>
        <v>47088</v>
      </c>
      <c r="C60" s="228">
        <v>612150.1182429638</v>
      </c>
      <c r="D60" s="229">
        <f>IF(F60&lt;&gt;0,VLOOKUP($J60,'Table 1'!$B$13:$C$33,2,FALSE)/12*1000*Study_MW,0)</f>
        <v>0</v>
      </c>
      <c r="E60" s="229">
        <f t="shared" si="17"/>
        <v>612150.1182429638</v>
      </c>
      <c r="F60" s="228">
        <v>13341.14078311</v>
      </c>
      <c r="G60" s="230">
        <f t="shared" si="16"/>
        <v>45.88439086243293</v>
      </c>
      <c r="I60" s="231">
        <f t="shared" si="18"/>
        <v>51</v>
      </c>
      <c r="J60" s="220">
        <f t="shared" si="5"/>
        <v>2028</v>
      </c>
      <c r="K60" s="227">
        <f t="shared" si="19"/>
        <v>47088</v>
      </c>
      <c r="V60" s="85" t="str">
        <f t="shared" si="0"/>
        <v>Winter</v>
      </c>
    </row>
    <row r="61" spans="2:22" hidden="1" outlineLevel="1">
      <c r="B61" s="214">
        <f t="shared" si="4"/>
        <v>47119</v>
      </c>
      <c r="C61" s="215">
        <v>-940044.05251830758</v>
      </c>
      <c r="D61" s="216">
        <f>IF(F61&lt;&gt;0,VLOOKUP($J61,'Table 1'!$B$13:$C$33,2,FALSE)/12*1000*Study_MW,0)</f>
        <v>580083.00481201673</v>
      </c>
      <c r="E61" s="216">
        <f t="shared" si="17"/>
        <v>-359961.04770629085</v>
      </c>
      <c r="F61" s="215">
        <v>20955.288234849999</v>
      </c>
      <c r="G61" s="218">
        <f t="shared" si="16"/>
        <v>-17.177575592000323</v>
      </c>
      <c r="I61" s="219">
        <f>I49+13</f>
        <v>53</v>
      </c>
      <c r="J61" s="220">
        <f t="shared" si="5"/>
        <v>2029</v>
      </c>
      <c r="K61" s="214">
        <f t="shared" si="19"/>
        <v>47119</v>
      </c>
      <c r="V61" s="85" t="str">
        <f t="shared" si="0"/>
        <v>Winter</v>
      </c>
    </row>
    <row r="62" spans="2:22" hidden="1" outlineLevel="1">
      <c r="B62" s="221">
        <f t="shared" si="4"/>
        <v>47150</v>
      </c>
      <c r="C62" s="85">
        <v>-429008.30751685135</v>
      </c>
      <c r="D62" s="217">
        <f>IF(F62&lt;&gt;0,VLOOKUP($J62,'Table 1'!$B$13:$C$33,2,FALSE)/12*1000*Study_MW,0)</f>
        <v>580083.00481201673</v>
      </c>
      <c r="E62" s="217">
        <f t="shared" si="17"/>
        <v>151074.69729516539</v>
      </c>
      <c r="F62" s="85">
        <v>17419.669062789999</v>
      </c>
      <c r="G62" s="222">
        <f t="shared" si="16"/>
        <v>8.6726502524594284</v>
      </c>
      <c r="I62" s="223">
        <f t="shared" si="18"/>
        <v>54</v>
      </c>
      <c r="J62" s="220">
        <f t="shared" si="5"/>
        <v>2029</v>
      </c>
      <c r="K62" s="221">
        <f t="shared" si="19"/>
        <v>47150</v>
      </c>
      <c r="V62" s="85" t="str">
        <f t="shared" si="0"/>
        <v>Winter</v>
      </c>
    </row>
    <row r="63" spans="2:22" hidden="1" outlineLevel="1">
      <c r="B63" s="221">
        <f t="shared" si="4"/>
        <v>47178</v>
      </c>
      <c r="C63" s="85">
        <v>-734266.92821697355</v>
      </c>
      <c r="D63" s="217">
        <f>IF(F63&lt;&gt;0,VLOOKUP($J63,'Table 1'!$B$13:$C$33,2,FALSE)/12*1000*Study_MW,0)</f>
        <v>580083.00481201673</v>
      </c>
      <c r="E63" s="217">
        <f t="shared" si="17"/>
        <v>-154183.92340495682</v>
      </c>
      <c r="F63" s="85">
        <v>17461.912206590001</v>
      </c>
      <c r="G63" s="222">
        <f t="shared" si="16"/>
        <v>-8.8297273277304029</v>
      </c>
      <c r="I63" s="223">
        <f t="shared" si="18"/>
        <v>55</v>
      </c>
      <c r="J63" s="220">
        <f t="shared" si="5"/>
        <v>2029</v>
      </c>
      <c r="K63" s="221">
        <f t="shared" si="19"/>
        <v>47178</v>
      </c>
      <c r="V63" s="85" t="str">
        <f t="shared" si="0"/>
        <v>Winter</v>
      </c>
    </row>
    <row r="64" spans="2:22" hidden="1" outlineLevel="1">
      <c r="B64" s="221">
        <f t="shared" si="4"/>
        <v>47209</v>
      </c>
      <c r="C64" s="85">
        <v>-656609.63891387382</v>
      </c>
      <c r="D64" s="217">
        <f>IF(F64&lt;&gt;0,VLOOKUP($J64,'Table 1'!$B$13:$C$33,2,FALSE)/12*1000*Study_MW,0)</f>
        <v>580083.00481201673</v>
      </c>
      <c r="E64" s="217">
        <f t="shared" si="17"/>
        <v>-76526.634101857082</v>
      </c>
      <c r="F64" s="85">
        <v>23966.333635690004</v>
      </c>
      <c r="G64" s="222">
        <f t="shared" si="16"/>
        <v>-3.1930889081797531</v>
      </c>
      <c r="I64" s="223">
        <f t="shared" si="18"/>
        <v>56</v>
      </c>
      <c r="J64" s="220">
        <f t="shared" si="5"/>
        <v>2029</v>
      </c>
      <c r="K64" s="221">
        <f t="shared" si="19"/>
        <v>47209</v>
      </c>
      <c r="V64" s="85" t="str">
        <f t="shared" si="0"/>
        <v>Winter</v>
      </c>
    </row>
    <row r="65" spans="2:22" hidden="1" outlineLevel="1">
      <c r="B65" s="221">
        <f t="shared" si="4"/>
        <v>47239</v>
      </c>
      <c r="C65" s="85">
        <v>-438769.65551696776</v>
      </c>
      <c r="D65" s="217">
        <f>IF(F65&lt;&gt;0,VLOOKUP($J65,'Table 1'!$B$13:$C$33,2,FALSE)/12*1000*Study_MW,0)</f>
        <v>580083.00481201673</v>
      </c>
      <c r="E65" s="217">
        <f t="shared" si="17"/>
        <v>141313.34929504897</v>
      </c>
      <c r="F65" s="85">
        <v>22571.998863140001</v>
      </c>
      <c r="G65" s="222">
        <f t="shared" si="16"/>
        <v>6.2605598268841494</v>
      </c>
      <c r="I65" s="223">
        <f t="shared" si="18"/>
        <v>57</v>
      </c>
      <c r="J65" s="220">
        <f t="shared" si="5"/>
        <v>2029</v>
      </c>
      <c r="K65" s="221">
        <f t="shared" si="19"/>
        <v>47239</v>
      </c>
      <c r="V65" s="85" t="str">
        <f t="shared" si="0"/>
        <v>Summer</v>
      </c>
    </row>
    <row r="66" spans="2:22" hidden="1" outlineLevel="1">
      <c r="B66" s="221">
        <f t="shared" si="4"/>
        <v>47270</v>
      </c>
      <c r="C66" s="85">
        <v>-298651.81490456598</v>
      </c>
      <c r="D66" s="217">
        <f>IF(F66&lt;&gt;0,VLOOKUP($J66,'Table 1'!$B$13:$C$33,2,FALSE)/12*1000*Study_MW,0)</f>
        <v>580083.00481201673</v>
      </c>
      <c r="E66" s="217">
        <f t="shared" si="17"/>
        <v>281431.18990745075</v>
      </c>
      <c r="F66" s="85">
        <v>21093.46980789</v>
      </c>
      <c r="G66" s="222">
        <f t="shared" si="16"/>
        <v>13.342100302634021</v>
      </c>
      <c r="I66" s="223">
        <f t="shared" si="18"/>
        <v>58</v>
      </c>
      <c r="J66" s="220">
        <f t="shared" si="5"/>
        <v>2029</v>
      </c>
      <c r="K66" s="221">
        <f t="shared" si="19"/>
        <v>47270</v>
      </c>
      <c r="V66" s="85" t="str">
        <f t="shared" si="0"/>
        <v>Summer</v>
      </c>
    </row>
    <row r="67" spans="2:22" hidden="1" outlineLevel="1">
      <c r="B67" s="221">
        <f t="shared" si="4"/>
        <v>47300</v>
      </c>
      <c r="C67" s="85">
        <v>-264049.11347404413</v>
      </c>
      <c r="D67" s="217">
        <f>IF(F67&lt;&gt;0,VLOOKUP($J67,'Table 1'!$B$13:$C$33,2,FALSE)/12*1000*Study_MW,0)</f>
        <v>580083.00481201673</v>
      </c>
      <c r="E67" s="217">
        <f t="shared" si="17"/>
        <v>316033.8913379726</v>
      </c>
      <c r="F67" s="85">
        <v>12599.71663126</v>
      </c>
      <c r="G67" s="222">
        <f t="shared" si="16"/>
        <v>25.082618965722602</v>
      </c>
      <c r="I67" s="223">
        <f t="shared" si="18"/>
        <v>59</v>
      </c>
      <c r="J67" s="220">
        <f t="shared" si="5"/>
        <v>2029</v>
      </c>
      <c r="K67" s="221">
        <f t="shared" si="19"/>
        <v>47300</v>
      </c>
      <c r="V67" s="85" t="str">
        <f t="shared" si="0"/>
        <v>Summer</v>
      </c>
    </row>
    <row r="68" spans="2:22" hidden="1" outlineLevel="1">
      <c r="B68" s="221">
        <f t="shared" si="4"/>
        <v>47331</v>
      </c>
      <c r="C68" s="85">
        <v>-392608.12964996148</v>
      </c>
      <c r="D68" s="217">
        <f>IF(F68&lt;&gt;0,VLOOKUP($J68,'Table 1'!$B$13:$C$33,2,FALSE)/12*1000*Study_MW,0)</f>
        <v>580083.00481201673</v>
      </c>
      <c r="E68" s="217">
        <f t="shared" si="17"/>
        <v>187474.87516205525</v>
      </c>
      <c r="F68" s="85">
        <v>13274.537031640002</v>
      </c>
      <c r="G68" s="222">
        <f t="shared" si="16"/>
        <v>14.122893680977866</v>
      </c>
      <c r="I68" s="223">
        <f t="shared" si="18"/>
        <v>60</v>
      </c>
      <c r="J68" s="220">
        <f t="shared" si="5"/>
        <v>2029</v>
      </c>
      <c r="K68" s="221">
        <f t="shared" si="19"/>
        <v>47331</v>
      </c>
      <c r="V68" s="85" t="str">
        <f t="shared" si="0"/>
        <v>Summer</v>
      </c>
    </row>
    <row r="69" spans="2:22" hidden="1" outlineLevel="1">
      <c r="B69" s="221">
        <f t="shared" si="4"/>
        <v>47362</v>
      </c>
      <c r="C69" s="85">
        <v>-293482.79842331249</v>
      </c>
      <c r="D69" s="217">
        <f>IF(F69&lt;&gt;0,VLOOKUP($J69,'Table 1'!$B$13:$C$33,2,FALSE)/12*1000*Study_MW,0)</f>
        <v>580083.00481201673</v>
      </c>
      <c r="E69" s="217">
        <f t="shared" si="17"/>
        <v>286600.20638870425</v>
      </c>
      <c r="F69" s="85">
        <v>11262.100543829998</v>
      </c>
      <c r="G69" s="222">
        <f t="shared" si="16"/>
        <v>25.448201716305906</v>
      </c>
      <c r="I69" s="223">
        <f t="shared" si="18"/>
        <v>61</v>
      </c>
      <c r="J69" s="220">
        <f t="shared" si="5"/>
        <v>2029</v>
      </c>
      <c r="K69" s="221">
        <f t="shared" si="19"/>
        <v>47362</v>
      </c>
      <c r="V69" s="85" t="str">
        <f t="shared" si="0"/>
        <v>Winter</v>
      </c>
    </row>
    <row r="70" spans="2:22" hidden="1" outlineLevel="1">
      <c r="B70" s="221">
        <f t="shared" si="4"/>
        <v>47392</v>
      </c>
      <c r="C70" s="85">
        <v>-756513.8911345948</v>
      </c>
      <c r="D70" s="217">
        <f>IF(F70&lt;&gt;0,VLOOKUP($J70,'Table 1'!$B$13:$C$33,2,FALSE)/12*1000*Study_MW,0)</f>
        <v>580083.00481201673</v>
      </c>
      <c r="E70" s="217">
        <f t="shared" si="17"/>
        <v>-176430.88632257807</v>
      </c>
      <c r="F70" s="85">
        <v>23306.767880120002</v>
      </c>
      <c r="G70" s="222">
        <f t="shared" si="16"/>
        <v>-7.5699422257973614</v>
      </c>
      <c r="I70" s="223">
        <f t="shared" si="18"/>
        <v>62</v>
      </c>
      <c r="J70" s="220">
        <f t="shared" si="5"/>
        <v>2029</v>
      </c>
      <c r="K70" s="221">
        <f t="shared" si="19"/>
        <v>47392</v>
      </c>
      <c r="V70" s="85" t="str">
        <f t="shared" si="0"/>
        <v>Winter</v>
      </c>
    </row>
    <row r="71" spans="2:22" hidden="1" outlineLevel="1">
      <c r="B71" s="221">
        <f t="shared" si="4"/>
        <v>47423</v>
      </c>
      <c r="C71" s="85">
        <v>-1012276.3986876307</v>
      </c>
      <c r="D71" s="217">
        <f>IF(F71&lt;&gt;0,VLOOKUP($J71,'Table 1'!$B$13:$C$33,2,FALSE)/12*1000*Study_MW,0)</f>
        <v>580083.00481201673</v>
      </c>
      <c r="E71" s="217">
        <f t="shared" si="17"/>
        <v>-432193.39387561393</v>
      </c>
      <c r="F71" s="85">
        <v>15087.522923910003</v>
      </c>
      <c r="G71" s="222">
        <f t="shared" si="16"/>
        <v>-28.645748944692173</v>
      </c>
      <c r="I71" s="223">
        <f t="shared" si="18"/>
        <v>63</v>
      </c>
      <c r="J71" s="220">
        <f t="shared" si="5"/>
        <v>2029</v>
      </c>
      <c r="K71" s="221">
        <f t="shared" si="19"/>
        <v>47423</v>
      </c>
      <c r="V71" s="85" t="str">
        <f t="shared" si="0"/>
        <v>Winter</v>
      </c>
    </row>
    <row r="72" spans="2:22" hidden="1" outlineLevel="1">
      <c r="B72" s="227">
        <f t="shared" si="4"/>
        <v>47453</v>
      </c>
      <c r="C72" s="228">
        <v>-1737211.825431441</v>
      </c>
      <c r="D72" s="229">
        <f>IF(F72&lt;&gt;0,VLOOKUP($J72,'Table 1'!$B$13:$C$33,2,FALSE)/12*1000*Study_MW,0)</f>
        <v>580083.00481201673</v>
      </c>
      <c r="E72" s="229">
        <f t="shared" si="17"/>
        <v>-1157128.8206194243</v>
      </c>
      <c r="F72" s="228">
        <v>13172.781619860001</v>
      </c>
      <c r="G72" s="230">
        <f t="shared" si="16"/>
        <v>-87.842405196703027</v>
      </c>
      <c r="I72" s="231">
        <f t="shared" si="18"/>
        <v>64</v>
      </c>
      <c r="J72" s="220">
        <f t="shared" si="5"/>
        <v>2029</v>
      </c>
      <c r="K72" s="227">
        <f t="shared" si="19"/>
        <v>47453</v>
      </c>
      <c r="V72" s="85" t="str">
        <f t="shared" si="0"/>
        <v>Winter</v>
      </c>
    </row>
    <row r="73" spans="2:22" hidden="1" outlineLevel="1">
      <c r="B73" s="214">
        <f t="shared" si="4"/>
        <v>47484</v>
      </c>
      <c r="C73" s="215">
        <v>-841821.53993110114</v>
      </c>
      <c r="D73" s="216">
        <f>IF(F73&lt;&gt;0,VLOOKUP($J73,'Table 1'!$B$13:$C$33,2,FALSE)/12*1000*Study_MW,0)</f>
        <v>592728.81401142455</v>
      </c>
      <c r="E73" s="216">
        <f t="shared" si="17"/>
        <v>-249092.7259196766</v>
      </c>
      <c r="F73" s="215">
        <v>21721.678344020002</v>
      </c>
      <c r="G73" s="218">
        <f t="shared" si="16"/>
        <v>-11.467471434510587</v>
      </c>
      <c r="I73" s="219">
        <f>I61+13</f>
        <v>66</v>
      </c>
      <c r="J73" s="220">
        <f t="shared" si="5"/>
        <v>2030</v>
      </c>
      <c r="K73" s="214">
        <f t="shared" si="19"/>
        <v>47484</v>
      </c>
      <c r="V73" s="85" t="str">
        <f t="shared" si="0"/>
        <v>Winter</v>
      </c>
    </row>
    <row r="74" spans="2:22" hidden="1" outlineLevel="1">
      <c r="B74" s="221">
        <f t="shared" si="4"/>
        <v>47515</v>
      </c>
      <c r="C74" s="85">
        <v>-438927.03452593926</v>
      </c>
      <c r="D74" s="217">
        <f>IF(F74&lt;&gt;0,VLOOKUP($J74,'Table 1'!$B$13:$C$33,2,FALSE)/12*1000*Study_MW,0)</f>
        <v>592728.81401142455</v>
      </c>
      <c r="E74" s="217">
        <f t="shared" si="17"/>
        <v>153801.77948548528</v>
      </c>
      <c r="F74" s="85">
        <v>17114.06280498</v>
      </c>
      <c r="G74" s="222">
        <f t="shared" si="16"/>
        <v>8.9868654356422422</v>
      </c>
      <c r="I74" s="223">
        <f t="shared" si="18"/>
        <v>67</v>
      </c>
      <c r="J74" s="220">
        <f t="shared" si="5"/>
        <v>2030</v>
      </c>
      <c r="K74" s="221">
        <f t="shared" si="19"/>
        <v>47515</v>
      </c>
      <c r="V74" s="85" t="str">
        <f t="shared" si="0"/>
        <v>Winter</v>
      </c>
    </row>
    <row r="75" spans="2:22" hidden="1" outlineLevel="1">
      <c r="B75" s="221">
        <f t="shared" si="4"/>
        <v>47543</v>
      </c>
      <c r="C75" s="85">
        <v>-717086.84964635177</v>
      </c>
      <c r="D75" s="217">
        <f>IF(F75&lt;&gt;0,VLOOKUP($J75,'Table 1'!$B$13:$C$33,2,FALSE)/12*1000*Study_MW,0)</f>
        <v>592728.81401142455</v>
      </c>
      <c r="E75" s="217">
        <f t="shared" si="17"/>
        <v>-124358.03563492722</v>
      </c>
      <c r="F75" s="85">
        <v>18128.276000130001</v>
      </c>
      <c r="G75" s="222">
        <f t="shared" si="16"/>
        <v>-6.8598931103010248</v>
      </c>
      <c r="I75" s="223">
        <f t="shared" si="18"/>
        <v>68</v>
      </c>
      <c r="J75" s="220">
        <f t="shared" si="5"/>
        <v>2030</v>
      </c>
      <c r="K75" s="221">
        <f t="shared" si="19"/>
        <v>47543</v>
      </c>
      <c r="V75" s="85" t="str">
        <f t="shared" si="0"/>
        <v>Winter</v>
      </c>
    </row>
    <row r="76" spans="2:22" hidden="1" outlineLevel="1">
      <c r="B76" s="221">
        <f t="shared" si="4"/>
        <v>47574</v>
      </c>
      <c r="C76" s="85">
        <v>-813697.95567067922</v>
      </c>
      <c r="D76" s="217">
        <f>IF(F76&lt;&gt;0,VLOOKUP($J76,'Table 1'!$B$13:$C$33,2,FALSE)/12*1000*Study_MW,0)</f>
        <v>592728.81401142455</v>
      </c>
      <c r="E76" s="217">
        <f t="shared" si="17"/>
        <v>-220969.14165925467</v>
      </c>
      <c r="F76" s="85">
        <v>22846.704080700001</v>
      </c>
      <c r="G76" s="222">
        <f t="shared" si="16"/>
        <v>-9.6718170322834762</v>
      </c>
      <c r="I76" s="223">
        <f t="shared" si="18"/>
        <v>69</v>
      </c>
      <c r="J76" s="220">
        <f t="shared" si="5"/>
        <v>2030</v>
      </c>
      <c r="K76" s="221">
        <f t="shared" si="19"/>
        <v>47574</v>
      </c>
      <c r="V76" s="85" t="str">
        <f t="shared" ref="V76:V139" si="24">IFERROR(IF(AND(MONTH(K77)&gt;=6,MONTH(K77)&lt;=9),"Summer","Winter"),"-")</f>
        <v>Winter</v>
      </c>
    </row>
    <row r="77" spans="2:22" hidden="1" outlineLevel="1">
      <c r="B77" s="221">
        <f t="shared" si="4"/>
        <v>47604</v>
      </c>
      <c r="C77" s="85">
        <v>-607292.89255927142</v>
      </c>
      <c r="D77" s="217">
        <f>IF(F77&lt;&gt;0,VLOOKUP($J77,'Table 1'!$B$13:$C$33,2,FALSE)/12*1000*Study_MW,0)</f>
        <v>592728.81401142455</v>
      </c>
      <c r="E77" s="217">
        <f t="shared" si="17"/>
        <v>-14564.078547846875</v>
      </c>
      <c r="F77" s="85">
        <v>23562.79290335</v>
      </c>
      <c r="G77" s="222">
        <f t="shared" si="16"/>
        <v>-0.61809644584943291</v>
      </c>
      <c r="I77" s="223">
        <f t="shared" si="18"/>
        <v>70</v>
      </c>
      <c r="J77" s="220">
        <f t="shared" si="5"/>
        <v>2030</v>
      </c>
      <c r="K77" s="221">
        <f t="shared" si="19"/>
        <v>47604</v>
      </c>
      <c r="V77" s="85" t="str">
        <f t="shared" si="24"/>
        <v>Summer</v>
      </c>
    </row>
    <row r="78" spans="2:22" hidden="1" outlineLevel="1">
      <c r="B78" s="221">
        <f t="shared" ref="B78:B141" si="25">EDATE(B77,1)</f>
        <v>47635</v>
      </c>
      <c r="C78" s="85">
        <v>-268604.29690267483</v>
      </c>
      <c r="D78" s="217">
        <f>IF(F78&lt;&gt;0,VLOOKUP($J78,'Table 1'!$B$13:$C$33,2,FALSE)/12*1000*Study_MW,0)</f>
        <v>592728.81401142455</v>
      </c>
      <c r="E78" s="217">
        <f t="shared" ref="E78:E141" si="26">C78+D78</f>
        <v>324124.51710874971</v>
      </c>
      <c r="F78" s="85">
        <v>20755.61726345</v>
      </c>
      <c r="G78" s="222">
        <f t="shared" ref="G78:G141" si="27">IF(ISNUMBER($F78),E78/$F78,"")</f>
        <v>15.616231162612685</v>
      </c>
      <c r="I78" s="223">
        <f t="shared" si="18"/>
        <v>71</v>
      </c>
      <c r="J78" s="220">
        <f t="shared" ref="J78:J141" si="28">YEAR(B78)</f>
        <v>2030</v>
      </c>
      <c r="K78" s="221">
        <f t="shared" si="19"/>
        <v>47635</v>
      </c>
      <c r="V78" s="85" t="str">
        <f t="shared" si="24"/>
        <v>Summer</v>
      </c>
    </row>
    <row r="79" spans="2:22" hidden="1" outlineLevel="1">
      <c r="B79" s="221">
        <f t="shared" si="25"/>
        <v>47665</v>
      </c>
      <c r="C79" s="85">
        <v>-326076.40361254563</v>
      </c>
      <c r="D79" s="217">
        <f>IF(F79&lt;&gt;0,VLOOKUP($J79,'Table 1'!$B$13:$C$33,2,FALSE)/12*1000*Study_MW,0)</f>
        <v>592728.81401142455</v>
      </c>
      <c r="E79" s="217">
        <f t="shared" si="26"/>
        <v>266652.41039887891</v>
      </c>
      <c r="F79" s="85">
        <v>11919.739425549998</v>
      </c>
      <c r="G79" s="222">
        <f t="shared" si="27"/>
        <v>22.370657686300479</v>
      </c>
      <c r="I79" s="223">
        <f t="shared" si="18"/>
        <v>72</v>
      </c>
      <c r="J79" s="220">
        <f t="shared" si="28"/>
        <v>2030</v>
      </c>
      <c r="K79" s="221">
        <f t="shared" si="19"/>
        <v>47665</v>
      </c>
      <c r="V79" s="85" t="str">
        <f t="shared" si="24"/>
        <v>Summer</v>
      </c>
    </row>
    <row r="80" spans="2:22" hidden="1" outlineLevel="1">
      <c r="B80" s="221">
        <f t="shared" si="25"/>
        <v>47696</v>
      </c>
      <c r="C80" s="85">
        <v>-421348.37498535583</v>
      </c>
      <c r="D80" s="217">
        <f>IF(F80&lt;&gt;0,VLOOKUP($J80,'Table 1'!$B$13:$C$33,2,FALSE)/12*1000*Study_MW,0)</f>
        <v>592728.81401142455</v>
      </c>
      <c r="E80" s="217">
        <f t="shared" si="26"/>
        <v>171380.43902606872</v>
      </c>
      <c r="F80" s="85">
        <v>13400.009111429999</v>
      </c>
      <c r="G80" s="222">
        <f t="shared" si="27"/>
        <v>12.789576305577574</v>
      </c>
      <c r="I80" s="223">
        <f t="shared" si="18"/>
        <v>73</v>
      </c>
      <c r="J80" s="220">
        <f t="shared" si="28"/>
        <v>2030</v>
      </c>
      <c r="K80" s="221">
        <f t="shared" si="19"/>
        <v>47696</v>
      </c>
      <c r="V80" s="85" t="str">
        <f t="shared" si="24"/>
        <v>Summer</v>
      </c>
    </row>
    <row r="81" spans="2:22" hidden="1" outlineLevel="1">
      <c r="B81" s="221">
        <f t="shared" si="25"/>
        <v>47727</v>
      </c>
      <c r="C81" s="85">
        <v>-337559.83290222683</v>
      </c>
      <c r="D81" s="217">
        <f>IF(F81&lt;&gt;0,VLOOKUP($J81,'Table 1'!$B$13:$C$33,2,FALSE)/12*1000*Study_MW,0)</f>
        <v>592728.81401142455</v>
      </c>
      <c r="E81" s="217">
        <f t="shared" si="26"/>
        <v>255168.98110919772</v>
      </c>
      <c r="F81" s="85">
        <v>11326.96957904</v>
      </c>
      <c r="G81" s="222">
        <f t="shared" si="27"/>
        <v>22.527559496705575</v>
      </c>
      <c r="I81" s="223">
        <f t="shared" si="18"/>
        <v>74</v>
      </c>
      <c r="J81" s="220">
        <f t="shared" si="28"/>
        <v>2030</v>
      </c>
      <c r="K81" s="221">
        <f t="shared" si="19"/>
        <v>47727</v>
      </c>
      <c r="V81" s="85" t="str">
        <f t="shared" si="24"/>
        <v>Winter</v>
      </c>
    </row>
    <row r="82" spans="2:22" hidden="1" outlineLevel="1">
      <c r="B82" s="221">
        <f t="shared" si="25"/>
        <v>47757</v>
      </c>
      <c r="C82" s="85">
        <v>-780040.66259602411</v>
      </c>
      <c r="D82" s="217">
        <f>IF(F82&lt;&gt;0,VLOOKUP($J82,'Table 1'!$B$13:$C$33,2,FALSE)/12*1000*Study_MW,0)</f>
        <v>592728.81401142455</v>
      </c>
      <c r="E82" s="217">
        <f t="shared" si="26"/>
        <v>-187311.84858459956</v>
      </c>
      <c r="F82" s="85">
        <v>23084.924245520004</v>
      </c>
      <c r="G82" s="222">
        <f t="shared" si="27"/>
        <v>-8.1140334961658098</v>
      </c>
      <c r="I82" s="223">
        <f t="shared" si="18"/>
        <v>75</v>
      </c>
      <c r="J82" s="220">
        <f t="shared" si="28"/>
        <v>2030</v>
      </c>
      <c r="K82" s="221">
        <f t="shared" si="19"/>
        <v>47757</v>
      </c>
      <c r="V82" s="85" t="str">
        <f t="shared" si="24"/>
        <v>Winter</v>
      </c>
    </row>
    <row r="83" spans="2:22" hidden="1" outlineLevel="1">
      <c r="B83" s="221">
        <f t="shared" si="25"/>
        <v>47788</v>
      </c>
      <c r="C83" s="85">
        <v>-1039965.4345164917</v>
      </c>
      <c r="D83" s="217">
        <f>IF(F83&lt;&gt;0,VLOOKUP($J83,'Table 1'!$B$13:$C$33,2,FALSE)/12*1000*Study_MW,0)</f>
        <v>592728.81401142455</v>
      </c>
      <c r="E83" s="217">
        <f t="shared" si="26"/>
        <v>-447236.62050506717</v>
      </c>
      <c r="F83" s="85">
        <v>16305.06483669</v>
      </c>
      <c r="G83" s="222">
        <f t="shared" si="27"/>
        <v>-27.429306475291401</v>
      </c>
      <c r="I83" s="223">
        <f t="shared" si="18"/>
        <v>76</v>
      </c>
      <c r="J83" s="220">
        <f t="shared" si="28"/>
        <v>2030</v>
      </c>
      <c r="K83" s="221">
        <f t="shared" si="19"/>
        <v>47788</v>
      </c>
      <c r="V83" s="85" t="str">
        <f t="shared" si="24"/>
        <v>Winter</v>
      </c>
    </row>
    <row r="84" spans="2:22" hidden="1" outlineLevel="1">
      <c r="B84" s="227">
        <f t="shared" si="25"/>
        <v>47818</v>
      </c>
      <c r="C84" s="228">
        <v>-1938390.7210673096</v>
      </c>
      <c r="D84" s="229">
        <f>IF(F84&lt;&gt;0,VLOOKUP($J84,'Table 1'!$B$13:$C$33,2,FALSE)/12*1000*Study_MW,0)</f>
        <v>592728.81401142455</v>
      </c>
      <c r="E84" s="229">
        <f t="shared" si="26"/>
        <v>-1345661.9070558851</v>
      </c>
      <c r="F84" s="228">
        <v>12330.404052230002</v>
      </c>
      <c r="G84" s="230">
        <f t="shared" si="27"/>
        <v>-109.13364244641414</v>
      </c>
      <c r="I84" s="231">
        <f t="shared" si="18"/>
        <v>77</v>
      </c>
      <c r="J84" s="220">
        <f t="shared" si="28"/>
        <v>2030</v>
      </c>
      <c r="K84" s="227">
        <f t="shared" si="19"/>
        <v>47818</v>
      </c>
      <c r="V84" s="85" t="str">
        <f t="shared" si="24"/>
        <v>Winter</v>
      </c>
    </row>
    <row r="85" spans="2:22" hidden="1" outlineLevel="1">
      <c r="B85" s="214">
        <f t="shared" si="25"/>
        <v>47849</v>
      </c>
      <c r="C85" s="215">
        <v>-1206731.5553597382</v>
      </c>
      <c r="D85" s="216">
        <f>IF(F85&lt;&gt;0,VLOOKUP($J85,'Table 1'!$B$13:$C$33,2,FALSE)/12*1000*Study_MW,0)</f>
        <v>605650.30213625042</v>
      </c>
      <c r="E85" s="216">
        <f t="shared" si="26"/>
        <v>-601081.25322348776</v>
      </c>
      <c r="F85" s="215">
        <v>16962.172302200001</v>
      </c>
      <c r="G85" s="218">
        <f t="shared" si="27"/>
        <v>-35.436572775854145</v>
      </c>
      <c r="I85" s="219">
        <f>I73+13</f>
        <v>79</v>
      </c>
      <c r="J85" s="220">
        <f t="shared" si="28"/>
        <v>2031</v>
      </c>
      <c r="K85" s="214">
        <f t="shared" si="19"/>
        <v>47849</v>
      </c>
      <c r="V85" s="85" t="str">
        <f t="shared" si="24"/>
        <v>Winter</v>
      </c>
    </row>
    <row r="86" spans="2:22" hidden="1" outlineLevel="1">
      <c r="B86" s="221">
        <f t="shared" si="25"/>
        <v>47880</v>
      </c>
      <c r="C86" s="85">
        <v>-575101.19361570105</v>
      </c>
      <c r="D86" s="217">
        <f>IF(F86&lt;&gt;0,VLOOKUP($J86,'Table 1'!$B$13:$C$33,2,FALSE)/12*1000*Study_MW,0)</f>
        <v>605650.30213625042</v>
      </c>
      <c r="E86" s="217">
        <f t="shared" si="26"/>
        <v>30549.108520549373</v>
      </c>
      <c r="F86" s="85">
        <v>20624.67032782</v>
      </c>
      <c r="G86" s="222">
        <f t="shared" si="27"/>
        <v>1.4811925735046827</v>
      </c>
      <c r="I86" s="223">
        <f t="shared" si="18"/>
        <v>80</v>
      </c>
      <c r="J86" s="220">
        <f t="shared" si="28"/>
        <v>2031</v>
      </c>
      <c r="K86" s="221">
        <f t="shared" si="19"/>
        <v>47880</v>
      </c>
      <c r="V86" s="85" t="str">
        <f t="shared" si="24"/>
        <v>Winter</v>
      </c>
    </row>
    <row r="87" spans="2:22" hidden="1" outlineLevel="1">
      <c r="B87" s="221">
        <f t="shared" si="25"/>
        <v>47908</v>
      </c>
      <c r="C87" s="85">
        <v>-762876.90671329619</v>
      </c>
      <c r="D87" s="217">
        <f>IF(F87&lt;&gt;0,VLOOKUP($J87,'Table 1'!$B$13:$C$33,2,FALSE)/12*1000*Study_MW,0)</f>
        <v>605650.30213625042</v>
      </c>
      <c r="E87" s="217">
        <f t="shared" si="26"/>
        <v>-157226.60457704577</v>
      </c>
      <c r="F87" s="85">
        <v>18952.858266089999</v>
      </c>
      <c r="G87" s="222">
        <f t="shared" si="27"/>
        <v>-8.2956671953987993</v>
      </c>
      <c r="I87" s="223">
        <f t="shared" si="18"/>
        <v>81</v>
      </c>
      <c r="J87" s="220">
        <f t="shared" si="28"/>
        <v>2031</v>
      </c>
      <c r="K87" s="221">
        <f t="shared" si="19"/>
        <v>47908</v>
      </c>
      <c r="V87" s="85" t="str">
        <f t="shared" si="24"/>
        <v>Winter</v>
      </c>
    </row>
    <row r="88" spans="2:22" hidden="1" outlineLevel="1">
      <c r="B88" s="221">
        <f t="shared" si="25"/>
        <v>47939</v>
      </c>
      <c r="C88" s="85">
        <v>-758288.24365706532</v>
      </c>
      <c r="D88" s="217">
        <f>IF(F88&lt;&gt;0,VLOOKUP($J88,'Table 1'!$B$13:$C$33,2,FALSE)/12*1000*Study_MW,0)</f>
        <v>605650.30213625042</v>
      </c>
      <c r="E88" s="217">
        <f t="shared" si="26"/>
        <v>-152637.9415208149</v>
      </c>
      <c r="F88" s="85">
        <v>19742.419320159999</v>
      </c>
      <c r="G88" s="222">
        <f t="shared" si="27"/>
        <v>-7.7314709532558883</v>
      </c>
      <c r="I88" s="223">
        <f t="shared" si="18"/>
        <v>82</v>
      </c>
      <c r="J88" s="220">
        <f t="shared" si="28"/>
        <v>2031</v>
      </c>
      <c r="K88" s="221">
        <f t="shared" si="19"/>
        <v>47939</v>
      </c>
      <c r="V88" s="85" t="str">
        <f t="shared" si="24"/>
        <v>Winter</v>
      </c>
    </row>
    <row r="89" spans="2:22" hidden="1" outlineLevel="1">
      <c r="B89" s="221">
        <f t="shared" si="25"/>
        <v>47969</v>
      </c>
      <c r="C89" s="85">
        <v>-546528.23145590082</v>
      </c>
      <c r="D89" s="217">
        <f>IF(F89&lt;&gt;0,VLOOKUP($J89,'Table 1'!$B$13:$C$33,2,FALSE)/12*1000*Study_MW,0)</f>
        <v>605650.30213625042</v>
      </c>
      <c r="E89" s="217">
        <f t="shared" si="26"/>
        <v>59122.0706803496</v>
      </c>
      <c r="F89" s="85">
        <v>22480.287469800009</v>
      </c>
      <c r="G89" s="222">
        <f t="shared" si="27"/>
        <v>2.6299517192462116</v>
      </c>
      <c r="I89" s="223">
        <f t="shared" si="18"/>
        <v>83</v>
      </c>
      <c r="J89" s="220">
        <f t="shared" si="28"/>
        <v>2031</v>
      </c>
      <c r="K89" s="221">
        <f t="shared" si="19"/>
        <v>47969</v>
      </c>
      <c r="V89" s="85" t="str">
        <f t="shared" si="24"/>
        <v>Summer</v>
      </c>
    </row>
    <row r="90" spans="2:22" hidden="1" outlineLevel="1">
      <c r="B90" s="221">
        <f t="shared" si="25"/>
        <v>48000</v>
      </c>
      <c r="C90" s="85">
        <v>-528888.0589203327</v>
      </c>
      <c r="D90" s="217">
        <f>IF(F90&lt;&gt;0,VLOOKUP($J90,'Table 1'!$B$13:$C$33,2,FALSE)/12*1000*Study_MW,0)</f>
        <v>605650.30213625042</v>
      </c>
      <c r="E90" s="217">
        <f t="shared" si="26"/>
        <v>76762.243215917726</v>
      </c>
      <c r="F90" s="85">
        <v>21828.513316659995</v>
      </c>
      <c r="G90" s="222">
        <f t="shared" si="27"/>
        <v>3.5166042736099263</v>
      </c>
      <c r="I90" s="223">
        <f t="shared" ref="I90:I96" si="29">I78+13</f>
        <v>84</v>
      </c>
      <c r="J90" s="220">
        <f t="shared" si="28"/>
        <v>2031</v>
      </c>
      <c r="K90" s="221">
        <f t="shared" ref="K90:K153" si="30">IF(ISNUMBER(F90),IF(F90&lt;&gt;0,B90,""),"")</f>
        <v>48000</v>
      </c>
      <c r="V90" s="85" t="str">
        <f t="shared" si="24"/>
        <v>Summer</v>
      </c>
    </row>
    <row r="91" spans="2:22" hidden="1" outlineLevel="1">
      <c r="B91" s="221">
        <f t="shared" si="25"/>
        <v>48030</v>
      </c>
      <c r="C91" s="85">
        <v>-270634.51341728435</v>
      </c>
      <c r="D91" s="217">
        <f>IF(F91&lt;&gt;0,VLOOKUP($J91,'Table 1'!$B$13:$C$33,2,FALSE)/12*1000*Study_MW,0)</f>
        <v>605650.30213625042</v>
      </c>
      <c r="E91" s="217">
        <f t="shared" si="26"/>
        <v>335015.78871896607</v>
      </c>
      <c r="F91" s="85">
        <v>15662.846689080001</v>
      </c>
      <c r="G91" s="222">
        <f t="shared" si="27"/>
        <v>21.389201807902271</v>
      </c>
      <c r="I91" s="223">
        <f t="shared" si="29"/>
        <v>85</v>
      </c>
      <c r="J91" s="220">
        <f t="shared" si="28"/>
        <v>2031</v>
      </c>
      <c r="K91" s="221">
        <f t="shared" si="30"/>
        <v>48030</v>
      </c>
      <c r="V91" s="85" t="str">
        <f t="shared" si="24"/>
        <v>Summer</v>
      </c>
    </row>
    <row r="92" spans="2:22" hidden="1" outlineLevel="1">
      <c r="B92" s="221">
        <f t="shared" si="25"/>
        <v>48061</v>
      </c>
      <c r="C92" s="85">
        <v>-434981.82790261036</v>
      </c>
      <c r="D92" s="217">
        <f>IF(F92&lt;&gt;0,VLOOKUP($J92,'Table 1'!$B$13:$C$33,2,FALSE)/12*1000*Study_MW,0)</f>
        <v>605650.30213625042</v>
      </c>
      <c r="E92" s="217">
        <f t="shared" si="26"/>
        <v>170668.47423364007</v>
      </c>
      <c r="F92" s="85">
        <v>11824.751846509998</v>
      </c>
      <c r="G92" s="222">
        <f t="shared" si="27"/>
        <v>14.43315483056093</v>
      </c>
      <c r="I92" s="223">
        <f t="shared" si="29"/>
        <v>86</v>
      </c>
      <c r="J92" s="220">
        <f t="shared" si="28"/>
        <v>2031</v>
      </c>
      <c r="K92" s="221">
        <f t="shared" si="30"/>
        <v>48061</v>
      </c>
      <c r="V92" s="85" t="str">
        <f t="shared" si="24"/>
        <v>Summer</v>
      </c>
    </row>
    <row r="93" spans="2:22" hidden="1" outlineLevel="1">
      <c r="B93" s="221">
        <f t="shared" si="25"/>
        <v>48092</v>
      </c>
      <c r="C93" s="85">
        <v>-264590.33794380777</v>
      </c>
      <c r="D93" s="217">
        <f>IF(F93&lt;&gt;0,VLOOKUP($J93,'Table 1'!$B$13:$C$33,2,FALSE)/12*1000*Study_MW,0)</f>
        <v>605650.30213625042</v>
      </c>
      <c r="E93" s="217">
        <f t="shared" si="26"/>
        <v>341059.96419244265</v>
      </c>
      <c r="F93" s="85">
        <v>12170.57831556</v>
      </c>
      <c r="G93" s="222">
        <f t="shared" si="27"/>
        <v>28.023316176882066</v>
      </c>
      <c r="I93" s="223">
        <f t="shared" si="29"/>
        <v>87</v>
      </c>
      <c r="J93" s="220">
        <f t="shared" si="28"/>
        <v>2031</v>
      </c>
      <c r="K93" s="221">
        <f t="shared" si="30"/>
        <v>48092</v>
      </c>
      <c r="V93" s="85" t="str">
        <f t="shared" si="24"/>
        <v>Winter</v>
      </c>
    </row>
    <row r="94" spans="2:22" hidden="1" outlineLevel="1">
      <c r="B94" s="221">
        <f t="shared" si="25"/>
        <v>48122</v>
      </c>
      <c r="C94" s="85">
        <v>-961134.02148917527</v>
      </c>
      <c r="D94" s="217">
        <f>IF(F94&lt;&gt;0,VLOOKUP($J94,'Table 1'!$B$13:$C$33,2,FALSE)/12*1000*Study_MW,0)</f>
        <v>605650.30213625042</v>
      </c>
      <c r="E94" s="217">
        <f t="shared" si="26"/>
        <v>-355483.71935292485</v>
      </c>
      <c r="F94" s="85">
        <v>23527.343133190003</v>
      </c>
      <c r="G94" s="222">
        <f t="shared" si="27"/>
        <v>-15.109386442000936</v>
      </c>
      <c r="I94" s="223">
        <f t="shared" si="29"/>
        <v>88</v>
      </c>
      <c r="J94" s="220">
        <f t="shared" si="28"/>
        <v>2031</v>
      </c>
      <c r="K94" s="221">
        <f t="shared" si="30"/>
        <v>48122</v>
      </c>
      <c r="V94" s="85" t="str">
        <f t="shared" si="24"/>
        <v>Winter</v>
      </c>
    </row>
    <row r="95" spans="2:22" hidden="1" outlineLevel="1">
      <c r="B95" s="221">
        <f t="shared" si="25"/>
        <v>48153</v>
      </c>
      <c r="C95" s="85">
        <v>-1014764.2549838111</v>
      </c>
      <c r="D95" s="217">
        <f>IF(F95&lt;&gt;0,VLOOKUP($J95,'Table 1'!$B$13:$C$33,2,FALSE)/12*1000*Study_MW,0)</f>
        <v>605650.30213625042</v>
      </c>
      <c r="E95" s="217">
        <f t="shared" si="26"/>
        <v>-409113.95284756063</v>
      </c>
      <c r="F95" s="85">
        <v>13776.181571250001</v>
      </c>
      <c r="G95" s="222">
        <f t="shared" si="27"/>
        <v>-29.697195172089991</v>
      </c>
      <c r="I95" s="223">
        <f t="shared" si="29"/>
        <v>89</v>
      </c>
      <c r="J95" s="220">
        <f t="shared" si="28"/>
        <v>2031</v>
      </c>
      <c r="K95" s="221">
        <f t="shared" si="30"/>
        <v>48153</v>
      </c>
      <c r="V95" s="85" t="str">
        <f t="shared" si="24"/>
        <v>Winter</v>
      </c>
    </row>
    <row r="96" spans="2:22" hidden="1" outlineLevel="1">
      <c r="B96" s="227">
        <f t="shared" si="25"/>
        <v>48183</v>
      </c>
      <c r="C96" s="228">
        <v>-1699694.064428404</v>
      </c>
      <c r="D96" s="229">
        <f>IF(F96&lt;&gt;0,VLOOKUP($J96,'Table 1'!$B$13:$C$33,2,FALSE)/12*1000*Study_MW,0)</f>
        <v>605650.30213625042</v>
      </c>
      <c r="E96" s="229">
        <f t="shared" si="26"/>
        <v>-1094043.7622921537</v>
      </c>
      <c r="F96" s="228">
        <v>15062.96191575</v>
      </c>
      <c r="G96" s="230">
        <f t="shared" si="27"/>
        <v>-72.631383416578203</v>
      </c>
      <c r="I96" s="231">
        <f t="shared" si="29"/>
        <v>90</v>
      </c>
      <c r="J96" s="220">
        <f t="shared" si="28"/>
        <v>2031</v>
      </c>
      <c r="K96" s="227">
        <f t="shared" si="30"/>
        <v>48183</v>
      </c>
      <c r="V96" s="85" t="str">
        <f t="shared" si="24"/>
        <v>Winter</v>
      </c>
    </row>
    <row r="97" spans="2:22" hidden="1" outlineLevel="1">
      <c r="B97" s="214">
        <f t="shared" si="25"/>
        <v>48214</v>
      </c>
      <c r="C97" s="215">
        <v>-1305158.5099024305</v>
      </c>
      <c r="D97" s="216">
        <f>IF(F97&lt;&gt;0,VLOOKUP($J97,'Table 1'!$B$13:$C$33,2,FALSE)/12*1000*Study_MW,0)</f>
        <v>618853.47855481482</v>
      </c>
      <c r="E97" s="216">
        <f t="shared" si="26"/>
        <v>-686305.03134761564</v>
      </c>
      <c r="F97" s="215">
        <v>17943.308888460004</v>
      </c>
      <c r="G97" s="218">
        <f t="shared" si="27"/>
        <v>-38.248521251785583</v>
      </c>
      <c r="I97" s="219">
        <f>I85+13</f>
        <v>92</v>
      </c>
      <c r="J97" s="220">
        <f t="shared" si="28"/>
        <v>2032</v>
      </c>
      <c r="K97" s="214">
        <f t="shared" si="30"/>
        <v>48214</v>
      </c>
      <c r="V97" s="85" t="str">
        <f t="shared" si="24"/>
        <v>Winter</v>
      </c>
    </row>
    <row r="98" spans="2:22" hidden="1" outlineLevel="1">
      <c r="B98" s="221">
        <f t="shared" si="25"/>
        <v>48245</v>
      </c>
      <c r="C98" s="85">
        <v>-544372.6655152787</v>
      </c>
      <c r="D98" s="217">
        <f>IF(F98&lt;&gt;0,VLOOKUP($J98,'Table 1'!$B$13:$C$33,2,FALSE)/12*1000*Study_MW,0)</f>
        <v>618853.47855481482</v>
      </c>
      <c r="E98" s="217">
        <f t="shared" si="26"/>
        <v>74480.813039536122</v>
      </c>
      <c r="F98" s="85">
        <v>20298.237131269998</v>
      </c>
      <c r="G98" s="222">
        <f t="shared" si="27"/>
        <v>3.6693242155889667</v>
      </c>
      <c r="I98" s="223">
        <f t="shared" ref="I98:I120" si="31">I86+13</f>
        <v>93</v>
      </c>
      <c r="J98" s="220">
        <f t="shared" si="28"/>
        <v>2032</v>
      </c>
      <c r="K98" s="221">
        <f t="shared" si="30"/>
        <v>48245</v>
      </c>
      <c r="V98" s="85" t="str">
        <f t="shared" si="24"/>
        <v>Winter</v>
      </c>
    </row>
    <row r="99" spans="2:22" hidden="1" outlineLevel="1">
      <c r="B99" s="221">
        <f t="shared" si="25"/>
        <v>48274</v>
      </c>
      <c r="C99" s="85">
        <v>-846463.62798262271</v>
      </c>
      <c r="D99" s="217">
        <f>IF(F99&lt;&gt;0,VLOOKUP($J99,'Table 1'!$B$13:$C$33,2,FALSE)/12*1000*Study_MW,0)</f>
        <v>618853.47855481482</v>
      </c>
      <c r="E99" s="217">
        <f t="shared" si="26"/>
        <v>-227610.14942780789</v>
      </c>
      <c r="F99" s="85">
        <v>18220.792456949996</v>
      </c>
      <c r="G99" s="222">
        <f t="shared" si="27"/>
        <v>-12.491781022454381</v>
      </c>
      <c r="I99" s="223">
        <f t="shared" si="31"/>
        <v>94</v>
      </c>
      <c r="J99" s="220">
        <f t="shared" si="28"/>
        <v>2032</v>
      </c>
      <c r="K99" s="221">
        <f t="shared" si="30"/>
        <v>48274</v>
      </c>
      <c r="V99" s="85" t="str">
        <f t="shared" si="24"/>
        <v>Winter</v>
      </c>
    </row>
    <row r="100" spans="2:22" hidden="1" outlineLevel="1">
      <c r="B100" s="221">
        <f t="shared" si="25"/>
        <v>48305</v>
      </c>
      <c r="C100" s="85">
        <v>-865820.47721093113</v>
      </c>
      <c r="D100" s="217">
        <f>IF(F100&lt;&gt;0,VLOOKUP($J100,'Table 1'!$B$13:$C$33,2,FALSE)/12*1000*Study_MW,0)</f>
        <v>618853.47855481482</v>
      </c>
      <c r="E100" s="217">
        <f t="shared" si="26"/>
        <v>-246966.99865611631</v>
      </c>
      <c r="F100" s="85">
        <v>21563.636811889999</v>
      </c>
      <c r="G100" s="222">
        <f t="shared" si="27"/>
        <v>-11.452938148167144</v>
      </c>
      <c r="I100" s="223">
        <f t="shared" si="31"/>
        <v>95</v>
      </c>
      <c r="J100" s="220">
        <f t="shared" si="28"/>
        <v>2032</v>
      </c>
      <c r="K100" s="221">
        <f t="shared" si="30"/>
        <v>48305</v>
      </c>
      <c r="V100" s="85" t="str">
        <f t="shared" si="24"/>
        <v>Winter</v>
      </c>
    </row>
    <row r="101" spans="2:22" hidden="1" outlineLevel="1">
      <c r="B101" s="221">
        <f t="shared" si="25"/>
        <v>48335</v>
      </c>
      <c r="C101" s="85">
        <v>-562334.87720243284</v>
      </c>
      <c r="D101" s="217">
        <f>IF(F101&lt;&gt;0,VLOOKUP($J101,'Table 1'!$B$13:$C$33,2,FALSE)/12*1000*Study_MW,0)</f>
        <v>618853.47855481482</v>
      </c>
      <c r="E101" s="217">
        <f t="shared" si="26"/>
        <v>56518.601352381986</v>
      </c>
      <c r="F101" s="85">
        <v>22851.848039540004</v>
      </c>
      <c r="G101" s="222">
        <f t="shared" si="27"/>
        <v>2.4732617359694151</v>
      </c>
      <c r="I101" s="223">
        <f t="shared" si="31"/>
        <v>96</v>
      </c>
      <c r="J101" s="220">
        <f t="shared" si="28"/>
        <v>2032</v>
      </c>
      <c r="K101" s="221">
        <f t="shared" si="30"/>
        <v>48335</v>
      </c>
      <c r="V101" s="85" t="str">
        <f t="shared" si="24"/>
        <v>Summer</v>
      </c>
    </row>
    <row r="102" spans="2:22" hidden="1" outlineLevel="1">
      <c r="B102" s="221">
        <f t="shared" si="25"/>
        <v>48366</v>
      </c>
      <c r="C102" s="85">
        <v>-585442.2942216479</v>
      </c>
      <c r="D102" s="217">
        <f>IF(F102&lt;&gt;0,VLOOKUP($J102,'Table 1'!$B$13:$C$33,2,FALSE)/12*1000*Study_MW,0)</f>
        <v>618853.47855481482</v>
      </c>
      <c r="E102" s="217">
        <f t="shared" si="26"/>
        <v>33411.184333166922</v>
      </c>
      <c r="F102" s="85">
        <v>21964.394641799998</v>
      </c>
      <c r="G102" s="222">
        <f t="shared" si="27"/>
        <v>1.5211520680648658</v>
      </c>
      <c r="I102" s="223">
        <f t="shared" si="31"/>
        <v>97</v>
      </c>
      <c r="J102" s="220">
        <f t="shared" si="28"/>
        <v>2032</v>
      </c>
      <c r="K102" s="221">
        <f t="shared" si="30"/>
        <v>48366</v>
      </c>
      <c r="V102" s="85" t="str">
        <f t="shared" si="24"/>
        <v>Summer</v>
      </c>
    </row>
    <row r="103" spans="2:22" hidden="1" outlineLevel="1">
      <c r="B103" s="221">
        <f t="shared" si="25"/>
        <v>48396</v>
      </c>
      <c r="C103" s="85">
        <v>-355135.62867455767</v>
      </c>
      <c r="D103" s="217">
        <f>IF(F103&lt;&gt;0,VLOOKUP($J103,'Table 1'!$B$13:$C$33,2,FALSE)/12*1000*Study_MW,0)</f>
        <v>618853.47855481482</v>
      </c>
      <c r="E103" s="217">
        <f t="shared" si="26"/>
        <v>263717.84988025716</v>
      </c>
      <c r="F103" s="85">
        <v>13744.05520639</v>
      </c>
      <c r="G103" s="222">
        <f t="shared" si="27"/>
        <v>19.187775799797958</v>
      </c>
      <c r="I103" s="223">
        <f t="shared" si="31"/>
        <v>98</v>
      </c>
      <c r="J103" s="220">
        <f t="shared" si="28"/>
        <v>2032</v>
      </c>
      <c r="K103" s="221">
        <f t="shared" si="30"/>
        <v>48396</v>
      </c>
      <c r="V103" s="85" t="str">
        <f t="shared" si="24"/>
        <v>Summer</v>
      </c>
    </row>
    <row r="104" spans="2:22" hidden="1" outlineLevel="1">
      <c r="B104" s="221">
        <f t="shared" si="25"/>
        <v>48427</v>
      </c>
      <c r="C104" s="85">
        <v>-439433.93264144106</v>
      </c>
      <c r="D104" s="217">
        <f>IF(F104&lt;&gt;0,VLOOKUP($J104,'Table 1'!$B$13:$C$33,2,FALSE)/12*1000*Study_MW,0)</f>
        <v>618853.47855481482</v>
      </c>
      <c r="E104" s="217">
        <f t="shared" si="26"/>
        <v>179419.54591337376</v>
      </c>
      <c r="F104" s="85">
        <v>12918.0700767</v>
      </c>
      <c r="G104" s="222">
        <f t="shared" si="27"/>
        <v>13.889036430990439</v>
      </c>
      <c r="I104" s="223">
        <f t="shared" si="31"/>
        <v>99</v>
      </c>
      <c r="J104" s="220">
        <f t="shared" si="28"/>
        <v>2032</v>
      </c>
      <c r="K104" s="221">
        <f t="shared" si="30"/>
        <v>48427</v>
      </c>
      <c r="V104" s="85" t="str">
        <f t="shared" si="24"/>
        <v>Summer</v>
      </c>
    </row>
    <row r="105" spans="2:22" hidden="1" outlineLevel="1">
      <c r="B105" s="221">
        <f t="shared" si="25"/>
        <v>48458</v>
      </c>
      <c r="C105" s="85">
        <v>-359482.07184103376</v>
      </c>
      <c r="D105" s="217">
        <f>IF(F105&lt;&gt;0,VLOOKUP($J105,'Table 1'!$B$13:$C$33,2,FALSE)/12*1000*Study_MW,0)</f>
        <v>618853.47855481482</v>
      </c>
      <c r="E105" s="217">
        <f t="shared" si="26"/>
        <v>259371.40671378106</v>
      </c>
      <c r="F105" s="85">
        <v>11871.487103879999</v>
      </c>
      <c r="G105" s="222">
        <f t="shared" si="27"/>
        <v>21.848265886504631</v>
      </c>
      <c r="I105" s="223">
        <f t="shared" si="31"/>
        <v>100</v>
      </c>
      <c r="J105" s="220">
        <f t="shared" si="28"/>
        <v>2032</v>
      </c>
      <c r="K105" s="221">
        <f t="shared" si="30"/>
        <v>48458</v>
      </c>
      <c r="V105" s="85" t="str">
        <f t="shared" si="24"/>
        <v>Winter</v>
      </c>
    </row>
    <row r="106" spans="2:22" hidden="1" outlineLevel="1">
      <c r="B106" s="221">
        <f t="shared" si="25"/>
        <v>48488</v>
      </c>
      <c r="C106" s="85">
        <v>-1024054.4728398381</v>
      </c>
      <c r="D106" s="217">
        <f>IF(F106&lt;&gt;0,VLOOKUP($J106,'Table 1'!$B$13:$C$33,2,FALSE)/12*1000*Study_MW,0)</f>
        <v>618853.47855481482</v>
      </c>
      <c r="E106" s="217">
        <f t="shared" si="26"/>
        <v>-405200.99428502331</v>
      </c>
      <c r="F106" s="85">
        <v>23100.34310405</v>
      </c>
      <c r="G106" s="222">
        <f t="shared" si="27"/>
        <v>-17.540908048849829</v>
      </c>
      <c r="I106" s="223">
        <f t="shared" si="31"/>
        <v>101</v>
      </c>
      <c r="J106" s="220">
        <f t="shared" si="28"/>
        <v>2032</v>
      </c>
      <c r="K106" s="221">
        <f t="shared" si="30"/>
        <v>48488</v>
      </c>
      <c r="V106" s="85" t="str">
        <f t="shared" si="24"/>
        <v>Winter</v>
      </c>
    </row>
    <row r="107" spans="2:22" hidden="1" outlineLevel="1">
      <c r="B107" s="221">
        <f t="shared" si="25"/>
        <v>48519</v>
      </c>
      <c r="C107" s="85">
        <v>-1104771.5686678831</v>
      </c>
      <c r="D107" s="217">
        <f>IF(F107&lt;&gt;0,VLOOKUP($J107,'Table 1'!$B$13:$C$33,2,FALSE)/12*1000*Study_MW,0)</f>
        <v>618853.47855481482</v>
      </c>
      <c r="E107" s="217">
        <f t="shared" si="26"/>
        <v>-485918.09011306823</v>
      </c>
      <c r="F107" s="85">
        <v>13580.216540810003</v>
      </c>
      <c r="G107" s="222">
        <f t="shared" si="27"/>
        <v>-35.781321207422017</v>
      </c>
      <c r="I107" s="223">
        <f t="shared" si="31"/>
        <v>102</v>
      </c>
      <c r="J107" s="220">
        <f t="shared" si="28"/>
        <v>2032</v>
      </c>
      <c r="K107" s="221">
        <f t="shared" si="30"/>
        <v>48519</v>
      </c>
      <c r="V107" s="85" t="str">
        <f t="shared" si="24"/>
        <v>Winter</v>
      </c>
    </row>
    <row r="108" spans="2:22" hidden="1" outlineLevel="1">
      <c r="B108" s="227">
        <f t="shared" si="25"/>
        <v>48549</v>
      </c>
      <c r="C108" s="228">
        <v>-1762729.3912422082</v>
      </c>
      <c r="D108" s="229">
        <f>IF(F108&lt;&gt;0,VLOOKUP($J108,'Table 1'!$B$13:$C$33,2,FALSE)/12*1000*Study_MW,0)</f>
        <v>618853.47855481482</v>
      </c>
      <c r="E108" s="229">
        <f t="shared" si="26"/>
        <v>-1143875.9126873934</v>
      </c>
      <c r="F108" s="228">
        <v>14516.784938280001</v>
      </c>
      <c r="G108" s="230">
        <f t="shared" si="27"/>
        <v>-78.796780247880676</v>
      </c>
      <c r="I108" s="231">
        <f t="shared" si="31"/>
        <v>103</v>
      </c>
      <c r="J108" s="220">
        <f t="shared" si="28"/>
        <v>2032</v>
      </c>
      <c r="K108" s="227">
        <f t="shared" si="30"/>
        <v>48549</v>
      </c>
      <c r="V108" s="85" t="str">
        <f t="shared" si="24"/>
        <v>Winter</v>
      </c>
    </row>
    <row r="109" spans="2:22" hidden="1" outlineLevel="1">
      <c r="B109" s="214">
        <f t="shared" si="25"/>
        <v>48580</v>
      </c>
      <c r="C109" s="215">
        <v>-1198285.6732094006</v>
      </c>
      <c r="D109" s="216">
        <f>IF(F109&lt;&gt;0,VLOOKUP($J109,'Table 1'!$B$13:$C$33,2,FALSE)/12*1000*Study_MW,0)</f>
        <v>632344.48439470481</v>
      </c>
      <c r="E109" s="216">
        <f t="shared" si="26"/>
        <v>-565941.18881469581</v>
      </c>
      <c r="F109" s="215">
        <v>19018.897428480002</v>
      </c>
      <c r="G109" s="218">
        <f t="shared" si="27"/>
        <v>-29.756782218469855</v>
      </c>
      <c r="I109" s="219">
        <f>I97+13</f>
        <v>105</v>
      </c>
      <c r="J109" s="220">
        <f t="shared" si="28"/>
        <v>2033</v>
      </c>
      <c r="K109" s="214">
        <f t="shared" si="30"/>
        <v>48580</v>
      </c>
      <c r="V109" s="85" t="str">
        <f t="shared" si="24"/>
        <v>Winter</v>
      </c>
    </row>
    <row r="110" spans="2:22" hidden="1" outlineLevel="1">
      <c r="B110" s="221">
        <f t="shared" si="25"/>
        <v>48611</v>
      </c>
      <c r="C110" s="85">
        <v>-499827.68575170485</v>
      </c>
      <c r="D110" s="217">
        <f>IF(F110&lt;&gt;0,VLOOKUP($J110,'Table 1'!$B$13:$C$33,2,FALSE)/12*1000*Study_MW,0)</f>
        <v>632344.48439470481</v>
      </c>
      <c r="E110" s="217">
        <f t="shared" si="26"/>
        <v>132516.79864299996</v>
      </c>
      <c r="F110" s="85">
        <v>19008.25200674</v>
      </c>
      <c r="G110" s="222">
        <f t="shared" si="27"/>
        <v>6.9715404970436934</v>
      </c>
      <c r="I110" s="223">
        <f t="shared" si="31"/>
        <v>106</v>
      </c>
      <c r="J110" s="220">
        <f t="shared" si="28"/>
        <v>2033</v>
      </c>
      <c r="K110" s="221">
        <f t="shared" si="30"/>
        <v>48611</v>
      </c>
      <c r="V110" s="85" t="str">
        <f t="shared" si="24"/>
        <v>Winter</v>
      </c>
    </row>
    <row r="111" spans="2:22" hidden="1" outlineLevel="1">
      <c r="B111" s="221">
        <f t="shared" si="25"/>
        <v>48639</v>
      </c>
      <c r="C111" s="85">
        <v>-876129.41308873997</v>
      </c>
      <c r="D111" s="217">
        <f>IF(F111&lt;&gt;0,VLOOKUP($J111,'Table 1'!$B$13:$C$33,2,FALSE)/12*1000*Study_MW,0)</f>
        <v>632344.48439470481</v>
      </c>
      <c r="E111" s="217">
        <f t="shared" si="26"/>
        <v>-243784.92869403516</v>
      </c>
      <c r="F111" s="85">
        <v>17956.003675159998</v>
      </c>
      <c r="G111" s="222">
        <f t="shared" si="27"/>
        <v>-13.576792091621295</v>
      </c>
      <c r="I111" s="223">
        <f t="shared" si="31"/>
        <v>107</v>
      </c>
      <c r="J111" s="220">
        <f t="shared" si="28"/>
        <v>2033</v>
      </c>
      <c r="K111" s="221">
        <f t="shared" si="30"/>
        <v>48639</v>
      </c>
      <c r="V111" s="85" t="str">
        <f t="shared" si="24"/>
        <v>Winter</v>
      </c>
    </row>
    <row r="112" spans="2:22" hidden="1" outlineLevel="1">
      <c r="B112" s="221">
        <f t="shared" si="25"/>
        <v>48670</v>
      </c>
      <c r="C112" s="85">
        <v>-828560.82365011389</v>
      </c>
      <c r="D112" s="217">
        <f>IF(F112&lt;&gt;0,VLOOKUP($J112,'Table 1'!$B$13:$C$33,2,FALSE)/12*1000*Study_MW,0)</f>
        <v>632344.48439470481</v>
      </c>
      <c r="E112" s="217">
        <f t="shared" si="26"/>
        <v>-196216.33925540908</v>
      </c>
      <c r="F112" s="85">
        <v>22296.220530250001</v>
      </c>
      <c r="G112" s="222">
        <f t="shared" si="27"/>
        <v>-8.8004305029722882</v>
      </c>
      <c r="I112" s="223">
        <f t="shared" si="31"/>
        <v>108</v>
      </c>
      <c r="J112" s="220">
        <f t="shared" si="28"/>
        <v>2033</v>
      </c>
      <c r="K112" s="221">
        <f t="shared" si="30"/>
        <v>48670</v>
      </c>
      <c r="V112" s="85" t="str">
        <f t="shared" si="24"/>
        <v>Winter</v>
      </c>
    </row>
    <row r="113" spans="2:22" hidden="1" outlineLevel="1">
      <c r="B113" s="221">
        <f t="shared" si="25"/>
        <v>48700</v>
      </c>
      <c r="C113" s="85">
        <v>-597975.71293398505</v>
      </c>
      <c r="D113" s="217">
        <f>IF(F113&lt;&gt;0,VLOOKUP($J113,'Table 1'!$B$13:$C$33,2,FALSE)/12*1000*Study_MW,0)</f>
        <v>632344.48439470481</v>
      </c>
      <c r="E113" s="217">
        <f t="shared" si="26"/>
        <v>34368.771460719756</v>
      </c>
      <c r="F113" s="85">
        <v>22706.788430020009</v>
      </c>
      <c r="G113" s="222">
        <f t="shared" si="27"/>
        <v>1.5135901568220791</v>
      </c>
      <c r="I113" s="223">
        <f t="shared" si="31"/>
        <v>109</v>
      </c>
      <c r="J113" s="220">
        <f t="shared" si="28"/>
        <v>2033</v>
      </c>
      <c r="K113" s="221">
        <f t="shared" si="30"/>
        <v>48700</v>
      </c>
      <c r="V113" s="85" t="str">
        <f t="shared" si="24"/>
        <v>Summer</v>
      </c>
    </row>
    <row r="114" spans="2:22" hidden="1" outlineLevel="1">
      <c r="B114" s="221">
        <f t="shared" si="25"/>
        <v>48731</v>
      </c>
      <c r="C114" s="85">
        <v>-587308.48973432148</v>
      </c>
      <c r="D114" s="217">
        <f>IF(F114&lt;&gt;0,VLOOKUP($J114,'Table 1'!$B$13:$C$33,2,FALSE)/12*1000*Study_MW,0)</f>
        <v>632344.48439470481</v>
      </c>
      <c r="E114" s="217">
        <f t="shared" si="26"/>
        <v>45035.994660383323</v>
      </c>
      <c r="F114" s="85">
        <v>21745.812183619997</v>
      </c>
      <c r="G114" s="222">
        <f t="shared" si="27"/>
        <v>2.0710192049900358</v>
      </c>
      <c r="I114" s="223">
        <f t="shared" si="31"/>
        <v>110</v>
      </c>
      <c r="J114" s="220">
        <f t="shared" si="28"/>
        <v>2033</v>
      </c>
      <c r="K114" s="221">
        <f t="shared" si="30"/>
        <v>48731</v>
      </c>
      <c r="V114" s="85" t="str">
        <f t="shared" si="24"/>
        <v>Summer</v>
      </c>
    </row>
    <row r="115" spans="2:22" hidden="1" outlineLevel="1">
      <c r="B115" s="221">
        <f t="shared" si="25"/>
        <v>48761</v>
      </c>
      <c r="C115" s="85">
        <v>-360076.70260415034</v>
      </c>
      <c r="D115" s="217">
        <f>IF(F115&lt;&gt;0,VLOOKUP($J115,'Table 1'!$B$13:$C$33,2,FALSE)/12*1000*Study_MW,0)</f>
        <v>632344.48439470481</v>
      </c>
      <c r="E115" s="217">
        <f t="shared" si="26"/>
        <v>272267.78179055447</v>
      </c>
      <c r="F115" s="85">
        <v>13611.277785999999</v>
      </c>
      <c r="G115" s="222">
        <f t="shared" si="27"/>
        <v>20.003102285561898</v>
      </c>
      <c r="I115" s="223">
        <f t="shared" si="31"/>
        <v>111</v>
      </c>
      <c r="J115" s="220">
        <f t="shared" si="28"/>
        <v>2033</v>
      </c>
      <c r="K115" s="221">
        <f t="shared" si="30"/>
        <v>48761</v>
      </c>
      <c r="V115" s="85" t="str">
        <f t="shared" si="24"/>
        <v>Summer</v>
      </c>
    </row>
    <row r="116" spans="2:22" hidden="1" outlineLevel="1">
      <c r="B116" s="221">
        <f t="shared" si="25"/>
        <v>48792</v>
      </c>
      <c r="C116" s="85">
        <v>-479422.71678459656</v>
      </c>
      <c r="D116" s="217">
        <f>IF(F116&lt;&gt;0,VLOOKUP($J116,'Table 1'!$B$13:$C$33,2,FALSE)/12*1000*Study_MW,0)</f>
        <v>632344.48439470481</v>
      </c>
      <c r="E116" s="217">
        <f t="shared" si="26"/>
        <v>152921.76761010825</v>
      </c>
      <c r="F116" s="85">
        <v>13189.19712069</v>
      </c>
      <c r="G116" s="222">
        <f t="shared" si="27"/>
        <v>11.594471309418724</v>
      </c>
      <c r="I116" s="223">
        <f t="shared" si="31"/>
        <v>112</v>
      </c>
      <c r="J116" s="220">
        <f t="shared" si="28"/>
        <v>2033</v>
      </c>
      <c r="K116" s="221">
        <f t="shared" si="30"/>
        <v>48792</v>
      </c>
      <c r="V116" s="85" t="str">
        <f t="shared" si="24"/>
        <v>Summer</v>
      </c>
    </row>
    <row r="117" spans="2:22" hidden="1" outlineLevel="1">
      <c r="B117" s="221">
        <f t="shared" si="25"/>
        <v>48823</v>
      </c>
      <c r="C117" s="85">
        <v>-301207.20813424123</v>
      </c>
      <c r="D117" s="217">
        <f>IF(F117&lt;&gt;0,VLOOKUP($J117,'Table 1'!$B$13:$C$33,2,FALSE)/12*1000*Study_MW,0)</f>
        <v>632344.48439470481</v>
      </c>
      <c r="E117" s="217">
        <f t="shared" si="26"/>
        <v>331137.27626046358</v>
      </c>
      <c r="F117" s="85">
        <v>11582.931032570001</v>
      </c>
      <c r="G117" s="222">
        <f t="shared" si="27"/>
        <v>28.588383659484798</v>
      </c>
      <c r="I117" s="223">
        <f t="shared" si="31"/>
        <v>113</v>
      </c>
      <c r="J117" s="220">
        <f t="shared" si="28"/>
        <v>2033</v>
      </c>
      <c r="K117" s="221">
        <f t="shared" si="30"/>
        <v>48823</v>
      </c>
      <c r="V117" s="85" t="str">
        <f t="shared" si="24"/>
        <v>Winter</v>
      </c>
    </row>
    <row r="118" spans="2:22" hidden="1" outlineLevel="1">
      <c r="B118" s="221">
        <f t="shared" si="25"/>
        <v>48853</v>
      </c>
      <c r="C118" s="85">
        <v>-1032639.014322398</v>
      </c>
      <c r="D118" s="217">
        <f>IF(F118&lt;&gt;0,VLOOKUP($J118,'Table 1'!$B$13:$C$33,2,FALSE)/12*1000*Study_MW,0)</f>
        <v>632344.48439470481</v>
      </c>
      <c r="E118" s="217">
        <f t="shared" si="26"/>
        <v>-400294.52992769319</v>
      </c>
      <c r="F118" s="85">
        <v>23195.825556000003</v>
      </c>
      <c r="G118" s="222">
        <f t="shared" si="27"/>
        <v>-17.25717970077379</v>
      </c>
      <c r="I118" s="223">
        <f t="shared" si="31"/>
        <v>114</v>
      </c>
      <c r="J118" s="220">
        <f t="shared" si="28"/>
        <v>2033</v>
      </c>
      <c r="K118" s="221">
        <f t="shared" si="30"/>
        <v>48853</v>
      </c>
      <c r="V118" s="85" t="str">
        <f t="shared" si="24"/>
        <v>Winter</v>
      </c>
    </row>
    <row r="119" spans="2:22" hidden="1" outlineLevel="1">
      <c r="B119" s="221">
        <f t="shared" si="25"/>
        <v>48884</v>
      </c>
      <c r="C119" s="85">
        <v>-1068817.2609569451</v>
      </c>
      <c r="D119" s="217">
        <f>IF(F119&lt;&gt;0,VLOOKUP($J119,'Table 1'!$B$13:$C$33,2,FALSE)/12*1000*Study_MW,0)</f>
        <v>632344.48439470481</v>
      </c>
      <c r="E119" s="217">
        <f t="shared" si="26"/>
        <v>-436472.77656224032</v>
      </c>
      <c r="F119" s="85">
        <v>14022.606174700002</v>
      </c>
      <c r="G119" s="222">
        <f t="shared" si="27"/>
        <v>-31.126366320530153</v>
      </c>
      <c r="I119" s="223">
        <f t="shared" si="31"/>
        <v>115</v>
      </c>
      <c r="J119" s="220">
        <f t="shared" si="28"/>
        <v>2033</v>
      </c>
      <c r="K119" s="221">
        <f t="shared" si="30"/>
        <v>48884</v>
      </c>
      <c r="V119" s="85" t="str">
        <f t="shared" si="24"/>
        <v>Winter</v>
      </c>
    </row>
    <row r="120" spans="2:22" hidden="1" outlineLevel="1">
      <c r="B120" s="227">
        <f t="shared" si="25"/>
        <v>48914</v>
      </c>
      <c r="C120" s="228">
        <v>-1668559.2270483493</v>
      </c>
      <c r="D120" s="229">
        <f>IF(F120&lt;&gt;0,VLOOKUP($J120,'Table 1'!$B$13:$C$33,2,FALSE)/12*1000*Study_MW,0)</f>
        <v>632344.48439470481</v>
      </c>
      <c r="E120" s="229">
        <f t="shared" si="26"/>
        <v>-1036214.7426536445</v>
      </c>
      <c r="F120" s="228">
        <v>13903.096838120002</v>
      </c>
      <c r="G120" s="230">
        <f t="shared" si="27"/>
        <v>-74.531218096137721</v>
      </c>
      <c r="I120" s="231">
        <f t="shared" si="31"/>
        <v>116</v>
      </c>
      <c r="J120" s="220">
        <f t="shared" si="28"/>
        <v>2033</v>
      </c>
      <c r="K120" s="227">
        <f t="shared" si="30"/>
        <v>48914</v>
      </c>
      <c r="V120" s="85" t="str">
        <f t="shared" si="24"/>
        <v>Winter</v>
      </c>
    </row>
    <row r="121" spans="2:22" hidden="1" outlineLevel="1">
      <c r="B121" s="214">
        <f t="shared" si="25"/>
        <v>48945</v>
      </c>
      <c r="C121" s="215">
        <v>-1096066.0887343548</v>
      </c>
      <c r="D121" s="216">
        <f>IF(F121&lt;&gt;0,VLOOKUP($J121,'Table 1'!$B$13:$C$33,2,FALSE)/12*1000*Study_MW,0)</f>
        <v>646129.59462592634</v>
      </c>
      <c r="E121" s="216">
        <f t="shared" si="26"/>
        <v>-449936.49410842848</v>
      </c>
      <c r="F121" s="215">
        <v>20415.319112959998</v>
      </c>
      <c r="G121" s="218">
        <f t="shared" si="27"/>
        <v>-22.039160476448345</v>
      </c>
      <c r="I121" s="219">
        <f>I109+13</f>
        <v>118</v>
      </c>
      <c r="J121" s="220">
        <f t="shared" si="28"/>
        <v>2034</v>
      </c>
      <c r="K121" s="214">
        <f t="shared" si="30"/>
        <v>48945</v>
      </c>
      <c r="V121" s="85" t="str">
        <f t="shared" si="24"/>
        <v>Winter</v>
      </c>
    </row>
    <row r="122" spans="2:22" hidden="1" outlineLevel="1">
      <c r="B122" s="221">
        <f t="shared" si="25"/>
        <v>48976</v>
      </c>
      <c r="C122" s="85">
        <v>-557108.25283294253</v>
      </c>
      <c r="D122" s="217">
        <f>IF(F122&lt;&gt;0,VLOOKUP($J122,'Table 1'!$B$13:$C$33,2,FALSE)/12*1000*Study_MW,0)</f>
        <v>646129.59462592634</v>
      </c>
      <c r="E122" s="217">
        <f t="shared" si="26"/>
        <v>89021.341792983818</v>
      </c>
      <c r="F122" s="85">
        <v>18180.393904599998</v>
      </c>
      <c r="G122" s="222">
        <f t="shared" si="27"/>
        <v>4.8965573716452679</v>
      </c>
      <c r="I122" s="223">
        <f t="shared" ref="I122:I185" si="32">I110+13</f>
        <v>119</v>
      </c>
      <c r="J122" s="220">
        <f t="shared" si="28"/>
        <v>2034</v>
      </c>
      <c r="K122" s="221">
        <f t="shared" si="30"/>
        <v>48976</v>
      </c>
      <c r="V122" s="85" t="str">
        <f t="shared" si="24"/>
        <v>Winter</v>
      </c>
    </row>
    <row r="123" spans="2:22" hidden="1" outlineLevel="1">
      <c r="B123" s="221">
        <f t="shared" si="25"/>
        <v>49004</v>
      </c>
      <c r="C123" s="85">
        <v>-908659.59167169058</v>
      </c>
      <c r="D123" s="217">
        <f>IF(F123&lt;&gt;0,VLOOKUP($J123,'Table 1'!$B$13:$C$33,2,FALSE)/12*1000*Study_MW,0)</f>
        <v>646129.59462592634</v>
      </c>
      <c r="E123" s="217">
        <f t="shared" si="26"/>
        <v>-262529.99704576423</v>
      </c>
      <c r="F123" s="85">
        <v>17408.180495410001</v>
      </c>
      <c r="G123" s="222">
        <f t="shared" si="27"/>
        <v>-15.08084070675768</v>
      </c>
      <c r="I123" s="223">
        <f t="shared" si="32"/>
        <v>120</v>
      </c>
      <c r="J123" s="220">
        <f t="shared" si="28"/>
        <v>2034</v>
      </c>
      <c r="K123" s="221">
        <f t="shared" si="30"/>
        <v>49004</v>
      </c>
      <c r="V123" s="85" t="str">
        <f t="shared" si="24"/>
        <v>Winter</v>
      </c>
    </row>
    <row r="124" spans="2:22" hidden="1" outlineLevel="1">
      <c r="B124" s="221">
        <f t="shared" si="25"/>
        <v>49035</v>
      </c>
      <c r="C124" s="85">
        <v>-904252.68457039783</v>
      </c>
      <c r="D124" s="217">
        <f>IF(F124&lt;&gt;0,VLOOKUP($J124,'Table 1'!$B$13:$C$33,2,FALSE)/12*1000*Study_MW,0)</f>
        <v>646129.59462592634</v>
      </c>
      <c r="E124" s="217">
        <f t="shared" si="26"/>
        <v>-258123.08994447149</v>
      </c>
      <c r="F124" s="85">
        <v>23588.34631157</v>
      </c>
      <c r="G124" s="222">
        <f t="shared" si="27"/>
        <v>-10.942822635169767</v>
      </c>
      <c r="I124" s="223">
        <f t="shared" si="32"/>
        <v>121</v>
      </c>
      <c r="J124" s="220">
        <f t="shared" si="28"/>
        <v>2034</v>
      </c>
      <c r="K124" s="221">
        <f t="shared" si="30"/>
        <v>49035</v>
      </c>
      <c r="V124" s="85" t="str">
        <f t="shared" si="24"/>
        <v>Winter</v>
      </c>
    </row>
    <row r="125" spans="2:22" hidden="1" outlineLevel="1">
      <c r="B125" s="221">
        <f t="shared" si="25"/>
        <v>49065</v>
      </c>
      <c r="C125" s="85">
        <v>-627069.48706576077</v>
      </c>
      <c r="D125" s="217">
        <f>IF(F125&lt;&gt;0,VLOOKUP($J125,'Table 1'!$B$13:$C$33,2,FALSE)/12*1000*Study_MW,0)</f>
        <v>646129.59462592634</v>
      </c>
      <c r="E125" s="217">
        <f t="shared" si="26"/>
        <v>19060.107560165576</v>
      </c>
      <c r="F125" s="85">
        <v>21850.675363670001</v>
      </c>
      <c r="G125" s="222">
        <f t="shared" si="27"/>
        <v>0.87228917380997018</v>
      </c>
      <c r="I125" s="223">
        <f t="shared" si="32"/>
        <v>122</v>
      </c>
      <c r="J125" s="220">
        <f t="shared" si="28"/>
        <v>2034</v>
      </c>
      <c r="K125" s="221">
        <f t="shared" si="30"/>
        <v>49065</v>
      </c>
      <c r="V125" s="85" t="str">
        <f t="shared" si="24"/>
        <v>Summer</v>
      </c>
    </row>
    <row r="126" spans="2:22" hidden="1" outlineLevel="1">
      <c r="B126" s="221">
        <f t="shared" si="25"/>
        <v>49096</v>
      </c>
      <c r="C126" s="85">
        <v>-603419.97161420295</v>
      </c>
      <c r="D126" s="217">
        <f>IF(F126&lt;&gt;0,VLOOKUP($J126,'Table 1'!$B$13:$C$33,2,FALSE)/12*1000*Study_MW,0)</f>
        <v>646129.59462592634</v>
      </c>
      <c r="E126" s="217">
        <f t="shared" si="26"/>
        <v>42709.623011723394</v>
      </c>
      <c r="F126" s="85">
        <v>21727.221439299999</v>
      </c>
      <c r="G126" s="222">
        <f t="shared" si="27"/>
        <v>1.9657195067966959</v>
      </c>
      <c r="I126" s="223">
        <f t="shared" si="32"/>
        <v>123</v>
      </c>
      <c r="J126" s="220">
        <f t="shared" si="28"/>
        <v>2034</v>
      </c>
      <c r="K126" s="221">
        <f t="shared" si="30"/>
        <v>49096</v>
      </c>
      <c r="V126" s="85" t="str">
        <f t="shared" si="24"/>
        <v>Summer</v>
      </c>
    </row>
    <row r="127" spans="2:22" hidden="1" outlineLevel="1">
      <c r="B127" s="221">
        <f t="shared" si="25"/>
        <v>49126</v>
      </c>
      <c r="C127" s="85">
        <v>-388867.01557935157</v>
      </c>
      <c r="D127" s="217">
        <f>IF(F127&lt;&gt;0,VLOOKUP($J127,'Table 1'!$B$13:$C$33,2,FALSE)/12*1000*Study_MW,0)</f>
        <v>646129.59462592634</v>
      </c>
      <c r="E127" s="217">
        <f t="shared" si="26"/>
        <v>257262.57904657477</v>
      </c>
      <c r="F127" s="85">
        <v>13087.66273665</v>
      </c>
      <c r="G127" s="222">
        <f t="shared" si="27"/>
        <v>19.656877184506765</v>
      </c>
      <c r="I127" s="223">
        <f t="shared" si="32"/>
        <v>124</v>
      </c>
      <c r="J127" s="220">
        <f t="shared" si="28"/>
        <v>2034</v>
      </c>
      <c r="K127" s="221">
        <f t="shared" si="30"/>
        <v>49126</v>
      </c>
      <c r="V127" s="85" t="str">
        <f t="shared" si="24"/>
        <v>Summer</v>
      </c>
    </row>
    <row r="128" spans="2:22" hidden="1" outlineLevel="1">
      <c r="B128" s="221">
        <f t="shared" si="25"/>
        <v>49157</v>
      </c>
      <c r="C128" s="85">
        <v>-464716.09896700102</v>
      </c>
      <c r="D128" s="217">
        <f>IF(F128&lt;&gt;0,VLOOKUP($J128,'Table 1'!$B$13:$C$33,2,FALSE)/12*1000*Study_MW,0)</f>
        <v>646129.59462592634</v>
      </c>
      <c r="E128" s="217">
        <f t="shared" si="26"/>
        <v>181413.49565892533</v>
      </c>
      <c r="F128" s="85">
        <v>13352.837596360001</v>
      </c>
      <c r="G128" s="222">
        <f t="shared" si="27"/>
        <v>13.586138103587723</v>
      </c>
      <c r="I128" s="223">
        <f t="shared" si="32"/>
        <v>125</v>
      </c>
      <c r="J128" s="220">
        <f t="shared" si="28"/>
        <v>2034</v>
      </c>
      <c r="K128" s="221">
        <f t="shared" si="30"/>
        <v>49157</v>
      </c>
      <c r="V128" s="85" t="str">
        <f t="shared" si="24"/>
        <v>Summer</v>
      </c>
    </row>
    <row r="129" spans="2:22" hidden="1" outlineLevel="1">
      <c r="B129" s="221">
        <f t="shared" si="25"/>
        <v>49188</v>
      </c>
      <c r="C129" s="85">
        <v>-374062.07497123251</v>
      </c>
      <c r="D129" s="217">
        <f>IF(F129&lt;&gt;0,VLOOKUP($J129,'Table 1'!$B$13:$C$33,2,FALSE)/12*1000*Study_MW,0)</f>
        <v>646129.59462592634</v>
      </c>
      <c r="E129" s="217">
        <f t="shared" si="26"/>
        <v>272067.51965469384</v>
      </c>
      <c r="F129" s="85">
        <v>11306.15984007</v>
      </c>
      <c r="G129" s="222">
        <f t="shared" si="27"/>
        <v>24.06365410565515</v>
      </c>
      <c r="I129" s="223">
        <f t="shared" si="32"/>
        <v>126</v>
      </c>
      <c r="J129" s="220">
        <f t="shared" si="28"/>
        <v>2034</v>
      </c>
      <c r="K129" s="221">
        <f t="shared" si="30"/>
        <v>49188</v>
      </c>
      <c r="V129" s="85" t="str">
        <f t="shared" si="24"/>
        <v>Winter</v>
      </c>
    </row>
    <row r="130" spans="2:22" hidden="1" outlineLevel="1">
      <c r="B130" s="221">
        <f t="shared" si="25"/>
        <v>49218</v>
      </c>
      <c r="C130" s="85">
        <v>-1047072.3194695165</v>
      </c>
      <c r="D130" s="217">
        <f>IF(F130&lt;&gt;0,VLOOKUP($J130,'Table 1'!$B$13:$C$33,2,FALSE)/12*1000*Study_MW,0)</f>
        <v>646129.59462592634</v>
      </c>
      <c r="E130" s="217">
        <f t="shared" si="26"/>
        <v>-400942.72484359017</v>
      </c>
      <c r="F130" s="85">
        <v>23404.872506280004</v>
      </c>
      <c r="G130" s="222">
        <f t="shared" si="27"/>
        <v>-17.130737402479294</v>
      </c>
      <c r="I130" s="223">
        <f t="shared" si="32"/>
        <v>127</v>
      </c>
      <c r="J130" s="220">
        <f t="shared" si="28"/>
        <v>2034</v>
      </c>
      <c r="K130" s="221">
        <f t="shared" si="30"/>
        <v>49218</v>
      </c>
      <c r="V130" s="85" t="str">
        <f t="shared" si="24"/>
        <v>Winter</v>
      </c>
    </row>
    <row r="131" spans="2:22" hidden="1" outlineLevel="1">
      <c r="B131" s="221">
        <f t="shared" si="25"/>
        <v>49249</v>
      </c>
      <c r="C131" s="85">
        <v>-1174780.8738572111</v>
      </c>
      <c r="D131" s="217">
        <f>IF(F131&lt;&gt;0,VLOOKUP($J131,'Table 1'!$B$13:$C$33,2,FALSE)/12*1000*Study_MW,0)</f>
        <v>646129.59462592634</v>
      </c>
      <c r="E131" s="217">
        <f t="shared" si="26"/>
        <v>-528651.27923128475</v>
      </c>
      <c r="F131" s="85">
        <v>14273.345559230002</v>
      </c>
      <c r="G131" s="222">
        <f t="shared" si="27"/>
        <v>-37.037657151754942</v>
      </c>
      <c r="I131" s="223">
        <f t="shared" si="32"/>
        <v>128</v>
      </c>
      <c r="J131" s="220">
        <f t="shared" si="28"/>
        <v>2034</v>
      </c>
      <c r="K131" s="221">
        <f t="shared" si="30"/>
        <v>49249</v>
      </c>
      <c r="V131" s="85" t="str">
        <f t="shared" si="24"/>
        <v>Winter</v>
      </c>
    </row>
    <row r="132" spans="2:22" hidden="1" outlineLevel="1">
      <c r="B132" s="227">
        <f t="shared" si="25"/>
        <v>49279</v>
      </c>
      <c r="C132" s="228">
        <v>-1747781.9495695403</v>
      </c>
      <c r="D132" s="229">
        <f>IF(F132&lt;&gt;0,VLOOKUP($J132,'Table 1'!$B$13:$C$33,2,FALSE)/12*1000*Study_MW,0)</f>
        <v>646129.59462592634</v>
      </c>
      <c r="E132" s="229">
        <f t="shared" si="26"/>
        <v>-1101652.354943614</v>
      </c>
      <c r="F132" s="228">
        <v>13695.168906360001</v>
      </c>
      <c r="G132" s="230">
        <f t="shared" si="27"/>
        <v>-80.440946911725163</v>
      </c>
      <c r="I132" s="231">
        <f t="shared" si="32"/>
        <v>129</v>
      </c>
      <c r="J132" s="220">
        <f t="shared" si="28"/>
        <v>2034</v>
      </c>
      <c r="K132" s="227">
        <f t="shared" si="30"/>
        <v>49279</v>
      </c>
      <c r="V132" s="85" t="str">
        <f t="shared" si="24"/>
        <v>Winter</v>
      </c>
    </row>
    <row r="133" spans="2:22" hidden="1" outlineLevel="1">
      <c r="B133" s="214">
        <f t="shared" si="25"/>
        <v>49310</v>
      </c>
      <c r="C133" s="215">
        <v>-1108669.1948488224</v>
      </c>
      <c r="D133" s="216">
        <f>IF(F133&lt;&gt;0,VLOOKUP($J133,'Table 1'!$B$13:$C$33,2,FALSE)/12*1000*Study_MW,0)</f>
        <v>660215.21962326497</v>
      </c>
      <c r="E133" s="216">
        <f t="shared" si="26"/>
        <v>-448453.97522555746</v>
      </c>
      <c r="F133" s="215">
        <v>20955.288234849999</v>
      </c>
      <c r="G133" s="218">
        <f t="shared" si="27"/>
        <v>-21.400515717066085</v>
      </c>
      <c r="I133" s="219">
        <f t="shared" si="32"/>
        <v>131</v>
      </c>
      <c r="J133" s="220">
        <f t="shared" si="28"/>
        <v>2035</v>
      </c>
      <c r="K133" s="214">
        <f t="shared" si="30"/>
        <v>49310</v>
      </c>
      <c r="V133" s="85" t="str">
        <f t="shared" si="24"/>
        <v>Winter</v>
      </c>
    </row>
    <row r="134" spans="2:22" hidden="1" outlineLevel="1">
      <c r="B134" s="221">
        <f t="shared" si="25"/>
        <v>49341</v>
      </c>
      <c r="C134" s="85">
        <v>-637355.08931713412</v>
      </c>
      <c r="D134" s="217">
        <f>IF(F134&lt;&gt;0,VLOOKUP($J134,'Table 1'!$B$13:$C$33,2,FALSE)/12*1000*Study_MW,0)</f>
        <v>660215.21962326497</v>
      </c>
      <c r="E134" s="217">
        <f t="shared" si="26"/>
        <v>22860.130306130857</v>
      </c>
      <c r="F134" s="85">
        <v>17419.669062789999</v>
      </c>
      <c r="G134" s="222">
        <f t="shared" si="27"/>
        <v>1.3123171412574179</v>
      </c>
      <c r="I134" s="223">
        <f t="shared" si="32"/>
        <v>132</v>
      </c>
      <c r="J134" s="220">
        <f t="shared" si="28"/>
        <v>2035</v>
      </c>
      <c r="K134" s="221">
        <f t="shared" si="30"/>
        <v>49341</v>
      </c>
      <c r="V134" s="85" t="str">
        <f t="shared" si="24"/>
        <v>Winter</v>
      </c>
    </row>
    <row r="135" spans="2:22" hidden="1" outlineLevel="1">
      <c r="B135" s="221">
        <f t="shared" si="25"/>
        <v>49369</v>
      </c>
      <c r="C135" s="85">
        <v>-868445.6401993375</v>
      </c>
      <c r="D135" s="217">
        <f>IF(F135&lt;&gt;0,VLOOKUP($J135,'Table 1'!$B$13:$C$33,2,FALSE)/12*1000*Study_MW,0)</f>
        <v>660215.21962326497</v>
      </c>
      <c r="E135" s="217">
        <f t="shared" si="26"/>
        <v>-208230.42057607253</v>
      </c>
      <c r="F135" s="85">
        <v>17461.912206590001</v>
      </c>
      <c r="G135" s="222">
        <f t="shared" si="27"/>
        <v>-11.924834927155793</v>
      </c>
      <c r="I135" s="223">
        <f t="shared" si="32"/>
        <v>133</v>
      </c>
      <c r="J135" s="220">
        <f t="shared" si="28"/>
        <v>2035</v>
      </c>
      <c r="K135" s="221">
        <f t="shared" si="30"/>
        <v>49369</v>
      </c>
      <c r="V135" s="85" t="str">
        <f t="shared" si="24"/>
        <v>Winter</v>
      </c>
    </row>
    <row r="136" spans="2:22" hidden="1" outlineLevel="1">
      <c r="B136" s="221">
        <f t="shared" si="25"/>
        <v>49400</v>
      </c>
      <c r="C136" s="85">
        <v>-883600.25005065836</v>
      </c>
      <c r="D136" s="217">
        <f>IF(F136&lt;&gt;0,VLOOKUP($J136,'Table 1'!$B$13:$C$33,2,FALSE)/12*1000*Study_MW,0)</f>
        <v>660215.21962326497</v>
      </c>
      <c r="E136" s="217">
        <f t="shared" si="26"/>
        <v>-223385.03042739339</v>
      </c>
      <c r="F136" s="85">
        <v>23966.333635690004</v>
      </c>
      <c r="G136" s="222">
        <f t="shared" si="27"/>
        <v>-9.3207844730465812</v>
      </c>
      <c r="I136" s="223">
        <f t="shared" si="32"/>
        <v>134</v>
      </c>
      <c r="J136" s="220">
        <f t="shared" si="28"/>
        <v>2035</v>
      </c>
      <c r="K136" s="221">
        <f t="shared" si="30"/>
        <v>49400</v>
      </c>
      <c r="V136" s="85" t="str">
        <f t="shared" si="24"/>
        <v>Winter</v>
      </c>
    </row>
    <row r="137" spans="2:22" hidden="1" outlineLevel="1">
      <c r="B137" s="221">
        <f t="shared" si="25"/>
        <v>49430</v>
      </c>
      <c r="C137" s="85">
        <v>-681372.23240071035</v>
      </c>
      <c r="D137" s="217">
        <f>IF(F137&lt;&gt;0,VLOOKUP($J137,'Table 1'!$B$13:$C$33,2,FALSE)/12*1000*Study_MW,0)</f>
        <v>660215.21962326497</v>
      </c>
      <c r="E137" s="217">
        <f t="shared" si="26"/>
        <v>-21157.012777445372</v>
      </c>
      <c r="F137" s="85">
        <v>22571.998863140001</v>
      </c>
      <c r="G137" s="222">
        <f t="shared" si="27"/>
        <v>-0.93731232691114053</v>
      </c>
      <c r="I137" s="223">
        <f t="shared" si="32"/>
        <v>135</v>
      </c>
      <c r="J137" s="220">
        <f t="shared" si="28"/>
        <v>2035</v>
      </c>
      <c r="K137" s="221">
        <f t="shared" si="30"/>
        <v>49430</v>
      </c>
      <c r="V137" s="85" t="str">
        <f t="shared" si="24"/>
        <v>Summer</v>
      </c>
    </row>
    <row r="138" spans="2:22" hidden="1" outlineLevel="1">
      <c r="B138" s="221">
        <f t="shared" si="25"/>
        <v>49461</v>
      </c>
      <c r="C138" s="85">
        <v>-526544.08894374501</v>
      </c>
      <c r="D138" s="217">
        <f>IF(F138&lt;&gt;0,VLOOKUP($J138,'Table 1'!$B$13:$C$33,2,FALSE)/12*1000*Study_MW,0)</f>
        <v>660215.21962326497</v>
      </c>
      <c r="E138" s="217">
        <f t="shared" si="26"/>
        <v>133671.13067951996</v>
      </c>
      <c r="F138" s="85">
        <v>21093.46980789</v>
      </c>
      <c r="G138" s="222">
        <f t="shared" si="27"/>
        <v>6.3370859273954236</v>
      </c>
      <c r="I138" s="223">
        <f t="shared" si="32"/>
        <v>136</v>
      </c>
      <c r="J138" s="220">
        <f t="shared" si="28"/>
        <v>2035</v>
      </c>
      <c r="K138" s="221">
        <f t="shared" si="30"/>
        <v>49461</v>
      </c>
      <c r="V138" s="85" t="str">
        <f t="shared" si="24"/>
        <v>Summer</v>
      </c>
    </row>
    <row r="139" spans="2:22" hidden="1" outlineLevel="1">
      <c r="B139" s="221">
        <f t="shared" si="25"/>
        <v>49491</v>
      </c>
      <c r="C139" s="85">
        <v>-248838.34210813075</v>
      </c>
      <c r="D139" s="217">
        <f>IF(F139&lt;&gt;0,VLOOKUP($J139,'Table 1'!$B$13:$C$33,2,FALSE)/12*1000*Study_MW,0)</f>
        <v>660215.21962326497</v>
      </c>
      <c r="E139" s="217">
        <f t="shared" si="26"/>
        <v>411376.87751513423</v>
      </c>
      <c r="F139" s="85">
        <v>12599.71663126</v>
      </c>
      <c r="G139" s="222">
        <f t="shared" si="27"/>
        <v>32.649692810908526</v>
      </c>
      <c r="I139" s="223">
        <f t="shared" si="32"/>
        <v>137</v>
      </c>
      <c r="J139" s="220">
        <f t="shared" si="28"/>
        <v>2035</v>
      </c>
      <c r="K139" s="221">
        <f t="shared" si="30"/>
        <v>49491</v>
      </c>
      <c r="V139" s="85" t="str">
        <f t="shared" si="24"/>
        <v>Summer</v>
      </c>
    </row>
    <row r="140" spans="2:22" hidden="1" outlineLevel="1">
      <c r="B140" s="221">
        <f t="shared" si="25"/>
        <v>49522</v>
      </c>
      <c r="C140" s="85">
        <v>-556342.08381733333</v>
      </c>
      <c r="D140" s="217">
        <f>IF(F140&lt;&gt;0,VLOOKUP($J140,'Table 1'!$B$13:$C$33,2,FALSE)/12*1000*Study_MW,0)</f>
        <v>660215.21962326497</v>
      </c>
      <c r="E140" s="217">
        <f t="shared" si="26"/>
        <v>103873.13580593164</v>
      </c>
      <c r="F140" s="85">
        <v>13274.537031640002</v>
      </c>
      <c r="G140" s="222">
        <f t="shared" si="27"/>
        <v>7.8249912263116146</v>
      </c>
      <c r="I140" s="223">
        <f t="shared" si="32"/>
        <v>138</v>
      </c>
      <c r="J140" s="220">
        <f t="shared" si="28"/>
        <v>2035</v>
      </c>
      <c r="K140" s="221">
        <f t="shared" si="30"/>
        <v>49522</v>
      </c>
      <c r="V140" s="85" t="str">
        <f t="shared" ref="V140:V203" si="33">IFERROR(IF(AND(MONTH(K141)&gt;=6,MONTH(K141)&lt;=9),"Summer","Winter"),"-")</f>
        <v>Summer</v>
      </c>
    </row>
    <row r="141" spans="2:22" hidden="1" outlineLevel="1">
      <c r="B141" s="221">
        <f t="shared" si="25"/>
        <v>49553</v>
      </c>
      <c r="C141" s="85">
        <v>-400687.60485716484</v>
      </c>
      <c r="D141" s="217">
        <f>IF(F141&lt;&gt;0,VLOOKUP($J141,'Table 1'!$B$13:$C$33,2,FALSE)/12*1000*Study_MW,0)</f>
        <v>660215.21962326497</v>
      </c>
      <c r="E141" s="217">
        <f t="shared" si="26"/>
        <v>259527.61476610013</v>
      </c>
      <c r="F141" s="85">
        <v>11262.100543829998</v>
      </c>
      <c r="G141" s="222">
        <f t="shared" si="27"/>
        <v>23.044334736319126</v>
      </c>
      <c r="I141" s="223">
        <f t="shared" si="32"/>
        <v>139</v>
      </c>
      <c r="J141" s="220">
        <f t="shared" si="28"/>
        <v>2035</v>
      </c>
      <c r="K141" s="221">
        <f t="shared" si="30"/>
        <v>49553</v>
      </c>
      <c r="V141" s="85" t="str">
        <f t="shared" si="33"/>
        <v>Winter</v>
      </c>
    </row>
    <row r="142" spans="2:22" hidden="1" outlineLevel="1">
      <c r="B142" s="221">
        <f t="shared" ref="B142:B205" si="34">EDATE(B141,1)</f>
        <v>49583</v>
      </c>
      <c r="C142" s="85">
        <v>-1125352.5529678301</v>
      </c>
      <c r="D142" s="217">
        <f>IF(F142&lt;&gt;0,VLOOKUP($J142,'Table 1'!$B$13:$C$33,2,FALSE)/12*1000*Study_MW,0)</f>
        <v>660215.21962326497</v>
      </c>
      <c r="E142" s="217">
        <f t="shared" ref="E142:E192" si="35">C142+D142</f>
        <v>-465137.33334456512</v>
      </c>
      <c r="F142" s="85">
        <v>23306.767880120002</v>
      </c>
      <c r="G142" s="222">
        <f t="shared" ref="G142:G192" si="36">IF(ISNUMBER($F142),E142/$F142,"")</f>
        <v>-19.957178779015248</v>
      </c>
      <c r="I142" s="223">
        <f t="shared" si="32"/>
        <v>140</v>
      </c>
      <c r="J142" s="220">
        <f t="shared" ref="J142:J192" si="37">YEAR(B142)</f>
        <v>2035</v>
      </c>
      <c r="K142" s="221">
        <f t="shared" si="30"/>
        <v>49583</v>
      </c>
      <c r="V142" s="85" t="str">
        <f t="shared" si="33"/>
        <v>Winter</v>
      </c>
    </row>
    <row r="143" spans="2:22" hidden="1" outlineLevel="1">
      <c r="B143" s="221">
        <f t="shared" si="34"/>
        <v>49614</v>
      </c>
      <c r="C143" s="85">
        <v>-1204164.3780604464</v>
      </c>
      <c r="D143" s="217">
        <f>IF(F143&lt;&gt;0,VLOOKUP($J143,'Table 1'!$B$13:$C$33,2,FALSE)/12*1000*Study_MW,0)</f>
        <v>660215.21962326497</v>
      </c>
      <c r="E143" s="217">
        <f t="shared" si="35"/>
        <v>-543949.15843718138</v>
      </c>
      <c r="F143" s="85">
        <v>15087.522923910003</v>
      </c>
      <c r="G143" s="222">
        <f t="shared" si="36"/>
        <v>-36.052913468993381</v>
      </c>
      <c r="I143" s="223">
        <f t="shared" si="32"/>
        <v>141</v>
      </c>
      <c r="J143" s="220">
        <f t="shared" si="37"/>
        <v>2035</v>
      </c>
      <c r="K143" s="221">
        <f t="shared" si="30"/>
        <v>49614</v>
      </c>
      <c r="V143" s="85" t="str">
        <f t="shared" si="33"/>
        <v>Winter</v>
      </c>
    </row>
    <row r="144" spans="2:22" hidden="1" outlineLevel="1">
      <c r="B144" s="227">
        <f t="shared" si="34"/>
        <v>49644</v>
      </c>
      <c r="C144" s="228">
        <v>-1854184.6241805761</v>
      </c>
      <c r="D144" s="229">
        <f>IF(F144&lt;&gt;0,VLOOKUP($J144,'Table 1'!$B$13:$C$33,2,FALSE)/12*1000*Study_MW,0)</f>
        <v>660215.21962326497</v>
      </c>
      <c r="E144" s="229">
        <f t="shared" si="35"/>
        <v>-1193969.404557311</v>
      </c>
      <c r="F144" s="228">
        <v>13172.781619860001</v>
      </c>
      <c r="G144" s="230">
        <f t="shared" si="36"/>
        <v>-90.639125358095811</v>
      </c>
      <c r="I144" s="231">
        <f t="shared" si="32"/>
        <v>142</v>
      </c>
      <c r="J144" s="220">
        <f t="shared" si="37"/>
        <v>2035</v>
      </c>
      <c r="K144" s="227">
        <f t="shared" si="30"/>
        <v>49644</v>
      </c>
      <c r="V144" s="85" t="str">
        <f t="shared" si="33"/>
        <v>Winter</v>
      </c>
    </row>
    <row r="145" spans="2:22" hidden="1" outlineLevel="1">
      <c r="B145" s="214">
        <f t="shared" si="34"/>
        <v>49675</v>
      </c>
      <c r="C145" s="215">
        <v>-1201659.2225196545</v>
      </c>
      <c r="D145" s="216">
        <f>IF(F145&lt;&gt;0,VLOOKUP($J145,'Table 1'!$B$13:$C$33,2,FALSE)/12*1000*Study_MW,0)</f>
        <v>674607.91141573945</v>
      </c>
      <c r="E145" s="216">
        <f t="shared" si="35"/>
        <v>-527051.3111039151</v>
      </c>
      <c r="F145" s="215">
        <v>21721.678344020002</v>
      </c>
      <c r="G145" s="218">
        <f t="shared" si="36"/>
        <v>-24.263839228105173</v>
      </c>
      <c r="I145" s="219">
        <f t="shared" si="32"/>
        <v>144</v>
      </c>
      <c r="J145" s="220">
        <f t="shared" si="37"/>
        <v>2036</v>
      </c>
      <c r="K145" s="214">
        <f t="shared" si="30"/>
        <v>49675</v>
      </c>
      <c r="V145" s="85" t="str">
        <f t="shared" si="33"/>
        <v>Winter</v>
      </c>
    </row>
    <row r="146" spans="2:22" hidden="1" outlineLevel="1">
      <c r="B146" s="221">
        <f t="shared" si="34"/>
        <v>49706</v>
      </c>
      <c r="C146" s="85">
        <v>-712869.60442526103</v>
      </c>
      <c r="D146" s="217">
        <f>IF(F146&lt;&gt;0,VLOOKUP($J146,'Table 1'!$B$13:$C$33,2,FALSE)/12*1000*Study_MW,0)</f>
        <v>674607.91141573945</v>
      </c>
      <c r="E146" s="217">
        <f t="shared" si="35"/>
        <v>-38261.693009521579</v>
      </c>
      <c r="F146" s="85">
        <v>17718.82888628</v>
      </c>
      <c r="G146" s="222">
        <f t="shared" si="36"/>
        <v>-2.1593804678111814</v>
      </c>
      <c r="I146" s="223">
        <f t="shared" si="32"/>
        <v>145</v>
      </c>
      <c r="J146" s="220">
        <f t="shared" si="37"/>
        <v>2036</v>
      </c>
      <c r="K146" s="221">
        <f t="shared" si="30"/>
        <v>49706</v>
      </c>
      <c r="V146" s="85" t="str">
        <f t="shared" si="33"/>
        <v>Winter</v>
      </c>
    </row>
    <row r="147" spans="2:22" hidden="1" outlineLevel="1">
      <c r="B147" s="221">
        <f t="shared" si="34"/>
        <v>49735</v>
      </c>
      <c r="C147" s="85">
        <v>-884056.56009446108</v>
      </c>
      <c r="D147" s="217">
        <f>IF(F147&lt;&gt;0,VLOOKUP($J147,'Table 1'!$B$13:$C$33,2,FALSE)/12*1000*Study_MW,0)</f>
        <v>674607.91141573945</v>
      </c>
      <c r="E147" s="217">
        <f t="shared" si="35"/>
        <v>-209448.64867872163</v>
      </c>
      <c r="F147" s="85">
        <v>17909.724190320005</v>
      </c>
      <c r="G147" s="222">
        <f t="shared" si="36"/>
        <v>-11.694688675994584</v>
      </c>
      <c r="I147" s="223">
        <f t="shared" si="32"/>
        <v>146</v>
      </c>
      <c r="J147" s="220">
        <f t="shared" si="37"/>
        <v>2036</v>
      </c>
      <c r="K147" s="221">
        <f t="shared" si="30"/>
        <v>49735</v>
      </c>
      <c r="V147" s="85" t="str">
        <f t="shared" si="33"/>
        <v>Winter</v>
      </c>
    </row>
    <row r="148" spans="2:22" hidden="1" outlineLevel="1">
      <c r="B148" s="221">
        <f t="shared" si="34"/>
        <v>49766</v>
      </c>
      <c r="C148" s="85">
        <v>-883464.38673103694</v>
      </c>
      <c r="D148" s="217">
        <f>IF(F148&lt;&gt;0,VLOOKUP($J148,'Table 1'!$B$13:$C$33,2,FALSE)/12*1000*Study_MW,0)</f>
        <v>674607.91141573945</v>
      </c>
      <c r="E148" s="217">
        <f t="shared" si="35"/>
        <v>-208856.47531529749</v>
      </c>
      <c r="F148" s="85">
        <v>23616.093099490001</v>
      </c>
      <c r="G148" s="222">
        <f t="shared" si="36"/>
        <v>-8.8438199508879745</v>
      </c>
      <c r="I148" s="223">
        <f t="shared" si="32"/>
        <v>147</v>
      </c>
      <c r="J148" s="220">
        <f t="shared" si="37"/>
        <v>2036</v>
      </c>
      <c r="K148" s="221">
        <f t="shared" si="30"/>
        <v>49766</v>
      </c>
      <c r="V148" s="85" t="str">
        <f t="shared" si="33"/>
        <v>Winter</v>
      </c>
    </row>
    <row r="149" spans="2:22" hidden="1" outlineLevel="1">
      <c r="B149" s="221">
        <f t="shared" si="34"/>
        <v>49796</v>
      </c>
      <c r="C149" s="85">
        <v>-760674.93544450554</v>
      </c>
      <c r="D149" s="217">
        <f>IF(F149&lt;&gt;0,VLOOKUP($J149,'Table 1'!$B$13:$C$33,2,FALSE)/12*1000*Study_MW,0)</f>
        <v>674607.91141573945</v>
      </c>
      <c r="E149" s="217">
        <f t="shared" si="35"/>
        <v>-86067.024028766085</v>
      </c>
      <c r="F149" s="85">
        <v>22436.177659589997</v>
      </c>
      <c r="G149" s="222">
        <f t="shared" si="36"/>
        <v>-3.8360823012995739</v>
      </c>
      <c r="I149" s="223">
        <f t="shared" si="32"/>
        <v>148</v>
      </c>
      <c r="J149" s="220">
        <f t="shared" si="37"/>
        <v>2036</v>
      </c>
      <c r="K149" s="221">
        <f t="shared" si="30"/>
        <v>49796</v>
      </c>
      <c r="V149" s="85" t="str">
        <f t="shared" si="33"/>
        <v>Summer</v>
      </c>
    </row>
    <row r="150" spans="2:22" hidden="1" outlineLevel="1">
      <c r="B150" s="221">
        <f t="shared" si="34"/>
        <v>49827</v>
      </c>
      <c r="C150" s="85">
        <v>-472182.73995400523</v>
      </c>
      <c r="D150" s="217">
        <f>IF(F150&lt;&gt;0,VLOOKUP($J150,'Table 1'!$B$13:$C$33,2,FALSE)/12*1000*Study_MW,0)</f>
        <v>674607.91141573945</v>
      </c>
      <c r="E150" s="217">
        <f t="shared" si="35"/>
        <v>202425.17146173422</v>
      </c>
      <c r="F150" s="85">
        <v>20786.51227843</v>
      </c>
      <c r="G150" s="222">
        <f t="shared" si="36"/>
        <v>9.7382941760647945</v>
      </c>
      <c r="I150" s="223">
        <f t="shared" si="32"/>
        <v>149</v>
      </c>
      <c r="J150" s="220">
        <f t="shared" si="37"/>
        <v>2036</v>
      </c>
      <c r="K150" s="221">
        <f t="shared" si="30"/>
        <v>49827</v>
      </c>
      <c r="V150" s="85" t="str">
        <f t="shared" si="33"/>
        <v>Summer</v>
      </c>
    </row>
    <row r="151" spans="2:22" hidden="1" outlineLevel="1">
      <c r="B151" s="221">
        <f t="shared" si="34"/>
        <v>49857</v>
      </c>
      <c r="C151" s="85">
        <v>-394916.59851452638</v>
      </c>
      <c r="D151" s="217">
        <f>IF(F151&lt;&gt;0,VLOOKUP($J151,'Table 1'!$B$13:$C$33,2,FALSE)/12*1000*Study_MW,0)</f>
        <v>674607.91141573945</v>
      </c>
      <c r="E151" s="217">
        <f t="shared" si="35"/>
        <v>279691.31290121307</v>
      </c>
      <c r="F151" s="85">
        <v>12715.397384190001</v>
      </c>
      <c r="G151" s="222">
        <f t="shared" si="36"/>
        <v>21.996269912018171</v>
      </c>
      <c r="I151" s="223">
        <f t="shared" si="32"/>
        <v>150</v>
      </c>
      <c r="J151" s="220">
        <f t="shared" si="37"/>
        <v>2036</v>
      </c>
      <c r="K151" s="221">
        <f t="shared" si="30"/>
        <v>49857</v>
      </c>
      <c r="V151" s="85" t="str">
        <f t="shared" si="33"/>
        <v>Summer</v>
      </c>
    </row>
    <row r="152" spans="2:22" hidden="1" outlineLevel="1">
      <c r="B152" s="221">
        <f t="shared" si="34"/>
        <v>49888</v>
      </c>
      <c r="C152" s="85">
        <v>-507037.66633542546</v>
      </c>
      <c r="D152" s="217">
        <f>IF(F152&lt;&gt;0,VLOOKUP($J152,'Table 1'!$B$13:$C$33,2,FALSE)/12*1000*Study_MW,0)</f>
        <v>674607.91141573945</v>
      </c>
      <c r="E152" s="217">
        <f t="shared" si="35"/>
        <v>167570.24508031399</v>
      </c>
      <c r="F152" s="85">
        <v>12547.135885460002</v>
      </c>
      <c r="G152" s="222">
        <f t="shared" si="36"/>
        <v>13.355258651059914</v>
      </c>
      <c r="I152" s="223">
        <f t="shared" si="32"/>
        <v>151</v>
      </c>
      <c r="J152" s="220">
        <f t="shared" si="37"/>
        <v>2036</v>
      </c>
      <c r="K152" s="221">
        <f t="shared" si="30"/>
        <v>49888</v>
      </c>
      <c r="V152" s="85" t="str">
        <f t="shared" si="33"/>
        <v>Summer</v>
      </c>
    </row>
    <row r="153" spans="2:22" hidden="1" outlineLevel="1">
      <c r="B153" s="221">
        <f t="shared" si="34"/>
        <v>49919</v>
      </c>
      <c r="C153" s="85">
        <v>-478591.1677051445</v>
      </c>
      <c r="D153" s="217">
        <f>IF(F153&lt;&gt;0,VLOOKUP($J153,'Table 1'!$B$13:$C$33,2,FALSE)/12*1000*Study_MW,0)</f>
        <v>674607.91141573945</v>
      </c>
      <c r="E153" s="217">
        <f t="shared" si="35"/>
        <v>196016.74371059495</v>
      </c>
      <c r="F153" s="85">
        <v>12479.20163089</v>
      </c>
      <c r="G153" s="222">
        <f t="shared" si="36"/>
        <v>15.707474685350949</v>
      </c>
      <c r="I153" s="223">
        <f t="shared" si="32"/>
        <v>152</v>
      </c>
      <c r="J153" s="220">
        <f t="shared" si="37"/>
        <v>2036</v>
      </c>
      <c r="K153" s="221">
        <f t="shared" si="30"/>
        <v>49919</v>
      </c>
      <c r="V153" s="85" t="str">
        <f t="shared" si="33"/>
        <v>Winter</v>
      </c>
    </row>
    <row r="154" spans="2:22" hidden="1" outlineLevel="1">
      <c r="B154" s="221">
        <f t="shared" si="34"/>
        <v>49949</v>
      </c>
      <c r="C154" s="85">
        <v>-1037587.4793178882</v>
      </c>
      <c r="D154" s="217">
        <f>IF(F154&lt;&gt;0,VLOOKUP($J154,'Table 1'!$B$13:$C$33,2,FALSE)/12*1000*Study_MW,0)</f>
        <v>674607.91141573945</v>
      </c>
      <c r="E154" s="217">
        <f t="shared" si="35"/>
        <v>-362979.5679021487</v>
      </c>
      <c r="F154" s="85">
        <v>21932.780513570004</v>
      </c>
      <c r="G154" s="222">
        <f t="shared" si="36"/>
        <v>-16.549637547212495</v>
      </c>
      <c r="I154" s="223">
        <f t="shared" si="32"/>
        <v>153</v>
      </c>
      <c r="J154" s="220">
        <f t="shared" si="37"/>
        <v>2036</v>
      </c>
      <c r="K154" s="221">
        <f t="shared" ref="K154:K192" si="38">IF(ISNUMBER(F154),IF(F154&lt;&gt;0,B154,""),"")</f>
        <v>49949</v>
      </c>
      <c r="V154" s="85" t="str">
        <f t="shared" si="33"/>
        <v>Winter</v>
      </c>
    </row>
    <row r="155" spans="2:22" hidden="1" outlineLevel="1">
      <c r="B155" s="221">
        <f t="shared" si="34"/>
        <v>49980</v>
      </c>
      <c r="C155" s="85">
        <v>-1282787.9007755474</v>
      </c>
      <c r="D155" s="217">
        <f>IF(F155&lt;&gt;0,VLOOKUP($J155,'Table 1'!$B$13:$C$33,2,FALSE)/12*1000*Study_MW,0)</f>
        <v>674607.91141573945</v>
      </c>
      <c r="E155" s="217">
        <f t="shared" si="35"/>
        <v>-608179.98935980792</v>
      </c>
      <c r="F155" s="85">
        <v>16323.957363990001</v>
      </c>
      <c r="G155" s="222">
        <f t="shared" si="36"/>
        <v>-37.256896461971209</v>
      </c>
      <c r="I155" s="223">
        <f t="shared" si="32"/>
        <v>154</v>
      </c>
      <c r="J155" s="220">
        <f t="shared" si="37"/>
        <v>2036</v>
      </c>
      <c r="K155" s="221">
        <f t="shared" si="38"/>
        <v>49980</v>
      </c>
      <c r="V155" s="85" t="str">
        <f t="shared" si="33"/>
        <v>Winter</v>
      </c>
    </row>
    <row r="156" spans="2:22" hidden="1" outlineLevel="1">
      <c r="B156" s="227">
        <f t="shared" si="34"/>
        <v>50010</v>
      </c>
      <c r="C156" s="228">
        <v>-1970229.5400467264</v>
      </c>
      <c r="D156" s="229">
        <f>IF(F156&lt;&gt;0,VLOOKUP($J156,'Table 1'!$B$13:$C$33,2,FALSE)/12*1000*Study_MW,0)</f>
        <v>674607.91141573945</v>
      </c>
      <c r="E156" s="229">
        <f t="shared" si="35"/>
        <v>-1295621.6286309869</v>
      </c>
      <c r="F156" s="228">
        <v>12026.092842380003</v>
      </c>
      <c r="G156" s="230">
        <f t="shared" si="36"/>
        <v>-107.73421140282659</v>
      </c>
      <c r="I156" s="231">
        <f t="shared" si="32"/>
        <v>155</v>
      </c>
      <c r="J156" s="220">
        <f t="shared" si="37"/>
        <v>2036</v>
      </c>
      <c r="K156" s="227">
        <f t="shared" si="38"/>
        <v>50010</v>
      </c>
      <c r="V156" s="85" t="str">
        <f t="shared" si="33"/>
        <v>Winter</v>
      </c>
    </row>
    <row r="157" spans="2:22" hidden="1" outlineLevel="1">
      <c r="B157" s="214">
        <f t="shared" si="34"/>
        <v>50041</v>
      </c>
      <c r="C157" s="215">
        <v>-1516739.2982023149</v>
      </c>
      <c r="D157" s="216">
        <f>IF(F157&lt;&gt;0,VLOOKUP($J157,'Table 1'!$B$13:$C$33,2,FALSE)/12*1000*Study_MW,0)</f>
        <v>689314.36368659895</v>
      </c>
      <c r="E157" s="216">
        <f t="shared" si="35"/>
        <v>-827424.93451571593</v>
      </c>
      <c r="F157" s="215">
        <v>17943.308888460004</v>
      </c>
      <c r="G157" s="218">
        <f t="shared" si="36"/>
        <v>-46.113285997537673</v>
      </c>
      <c r="I157" s="219">
        <f t="shared" si="32"/>
        <v>157</v>
      </c>
      <c r="J157" s="220">
        <f t="shared" si="37"/>
        <v>2037</v>
      </c>
      <c r="K157" s="214">
        <f t="shared" si="38"/>
        <v>50041</v>
      </c>
      <c r="V157" s="85" t="str">
        <f t="shared" si="33"/>
        <v>Winter</v>
      </c>
    </row>
    <row r="158" spans="2:22" hidden="1" outlineLevel="1">
      <c r="B158" s="221">
        <f t="shared" si="34"/>
        <v>50072</v>
      </c>
      <c r="C158" s="85">
        <v>-517134.53160944115</v>
      </c>
      <c r="D158" s="217">
        <f>IF(F158&lt;&gt;0,VLOOKUP($J158,'Table 1'!$B$13:$C$33,2,FALSE)/12*1000*Study_MW,0)</f>
        <v>689314.36368659895</v>
      </c>
      <c r="E158" s="217">
        <f t="shared" si="35"/>
        <v>172179.8320771578</v>
      </c>
      <c r="F158" s="85">
        <v>20134.57358511</v>
      </c>
      <c r="G158" s="222">
        <f t="shared" si="36"/>
        <v>8.5514516286795814</v>
      </c>
      <c r="I158" s="223">
        <f t="shared" si="32"/>
        <v>158</v>
      </c>
      <c r="J158" s="220">
        <f t="shared" si="37"/>
        <v>2037</v>
      </c>
      <c r="K158" s="221">
        <f t="shared" si="38"/>
        <v>50072</v>
      </c>
      <c r="V158" s="85" t="str">
        <f t="shared" si="33"/>
        <v>Winter</v>
      </c>
    </row>
    <row r="159" spans="2:22" hidden="1" outlineLevel="1">
      <c r="B159" s="221">
        <f t="shared" si="34"/>
        <v>50100</v>
      </c>
      <c r="C159" s="85">
        <v>-926428.99125978141</v>
      </c>
      <c r="D159" s="217">
        <f>IF(F159&lt;&gt;0,VLOOKUP($J159,'Table 1'!$B$13:$C$33,2,FALSE)/12*1000*Study_MW,0)</f>
        <v>689314.36368659895</v>
      </c>
      <c r="E159" s="217">
        <f t="shared" si="35"/>
        <v>-237114.62757318246</v>
      </c>
      <c r="F159" s="85">
        <v>18349.125429259999</v>
      </c>
      <c r="G159" s="222">
        <f t="shared" si="36"/>
        <v>-12.922393957538338</v>
      </c>
      <c r="I159" s="223">
        <f t="shared" si="32"/>
        <v>159</v>
      </c>
      <c r="J159" s="220">
        <f t="shared" si="37"/>
        <v>2037</v>
      </c>
      <c r="K159" s="221">
        <f t="shared" si="38"/>
        <v>50100</v>
      </c>
      <c r="V159" s="85" t="str">
        <f t="shared" si="33"/>
        <v>Winter</v>
      </c>
    </row>
    <row r="160" spans="2:22" hidden="1" outlineLevel="1">
      <c r="B160" s="221">
        <f t="shared" si="34"/>
        <v>50131</v>
      </c>
      <c r="C160" s="85">
        <v>-909754.25321892544</v>
      </c>
      <c r="D160" s="217">
        <f>IF(F160&lt;&gt;0,VLOOKUP($J160,'Table 1'!$B$13:$C$33,2,FALSE)/12*1000*Study_MW,0)</f>
        <v>689314.36368659895</v>
      </c>
      <c r="E160" s="217">
        <f t="shared" si="35"/>
        <v>-220439.88953232649</v>
      </c>
      <c r="F160" s="85">
        <v>20661.518720159998</v>
      </c>
      <c r="G160" s="222">
        <f t="shared" si="36"/>
        <v>-10.669103879437351</v>
      </c>
      <c r="I160" s="223">
        <f t="shared" si="32"/>
        <v>160</v>
      </c>
      <c r="J160" s="220">
        <f t="shared" si="37"/>
        <v>2037</v>
      </c>
      <c r="K160" s="221">
        <f t="shared" si="38"/>
        <v>50131</v>
      </c>
      <c r="V160" s="85" t="str">
        <f t="shared" si="33"/>
        <v>Winter</v>
      </c>
    </row>
    <row r="161" spans="2:22" hidden="1" outlineLevel="1">
      <c r="B161" s="221">
        <f t="shared" si="34"/>
        <v>50161</v>
      </c>
      <c r="C161" s="85">
        <v>-595210.42104654771</v>
      </c>
      <c r="D161" s="217">
        <f>IF(F161&lt;&gt;0,VLOOKUP($J161,'Table 1'!$B$13:$C$33,2,FALSE)/12*1000*Study_MW,0)</f>
        <v>689314.36368659895</v>
      </c>
      <c r="E161" s="217">
        <f t="shared" si="35"/>
        <v>94103.942640051246</v>
      </c>
      <c r="F161" s="85">
        <v>22464.29332414001</v>
      </c>
      <c r="G161" s="222">
        <f t="shared" si="36"/>
        <v>4.1890453121410971</v>
      </c>
      <c r="I161" s="223">
        <f t="shared" si="32"/>
        <v>161</v>
      </c>
      <c r="J161" s="220">
        <f t="shared" si="37"/>
        <v>2037</v>
      </c>
      <c r="K161" s="221">
        <f t="shared" si="38"/>
        <v>50161</v>
      </c>
      <c r="V161" s="85" t="str">
        <f t="shared" si="33"/>
        <v>Summer</v>
      </c>
    </row>
    <row r="162" spans="2:22" hidden="1" outlineLevel="1">
      <c r="B162" s="221">
        <f t="shared" si="34"/>
        <v>50192</v>
      </c>
      <c r="C162" s="85">
        <v>-674631.13252766198</v>
      </c>
      <c r="D162" s="217">
        <f>IF(F162&lt;&gt;0,VLOOKUP($J162,'Table 1'!$B$13:$C$33,2,FALSE)/12*1000*Study_MW,0)</f>
        <v>689314.36368659895</v>
      </c>
      <c r="E162" s="217">
        <f t="shared" si="35"/>
        <v>14683.231158936978</v>
      </c>
      <c r="F162" s="85">
        <v>21524.017336009998</v>
      </c>
      <c r="G162" s="222">
        <f t="shared" si="36"/>
        <v>0.68217893201431856</v>
      </c>
      <c r="I162" s="223">
        <f t="shared" si="32"/>
        <v>162</v>
      </c>
      <c r="J162" s="220">
        <f t="shared" si="37"/>
        <v>2037</v>
      </c>
      <c r="K162" s="221">
        <f t="shared" si="38"/>
        <v>50192</v>
      </c>
      <c r="V162" s="85" t="str">
        <f t="shared" si="33"/>
        <v>Summer</v>
      </c>
    </row>
    <row r="163" spans="2:22" hidden="1" outlineLevel="1">
      <c r="B163" s="221">
        <f t="shared" si="34"/>
        <v>50222</v>
      </c>
      <c r="C163" s="85">
        <v>-382506.68468792719</v>
      </c>
      <c r="D163" s="217">
        <f>IF(F163&lt;&gt;0,VLOOKUP($J163,'Table 1'!$B$13:$C$33,2,FALSE)/12*1000*Study_MW,0)</f>
        <v>689314.36368659895</v>
      </c>
      <c r="E163" s="217">
        <f t="shared" si="35"/>
        <v>306807.67899867176</v>
      </c>
      <c r="F163" s="85">
        <v>15147.51103519</v>
      </c>
      <c r="G163" s="222">
        <f t="shared" si="36"/>
        <v>20.25465954676714</v>
      </c>
      <c r="I163" s="223">
        <f t="shared" si="32"/>
        <v>163</v>
      </c>
      <c r="J163" s="220">
        <f t="shared" si="37"/>
        <v>2037</v>
      </c>
      <c r="K163" s="221">
        <f t="shared" si="38"/>
        <v>50222</v>
      </c>
      <c r="V163" s="85" t="str">
        <f t="shared" si="33"/>
        <v>Summer</v>
      </c>
    </row>
    <row r="164" spans="2:22" hidden="1" outlineLevel="1">
      <c r="B164" s="221">
        <f t="shared" si="34"/>
        <v>50253</v>
      </c>
      <c r="C164" s="85">
        <v>-516683.05737569975</v>
      </c>
      <c r="D164" s="217">
        <f>IF(F164&lt;&gt;0,VLOOKUP($J164,'Table 1'!$B$13:$C$33,2,FALSE)/12*1000*Study_MW,0)</f>
        <v>689314.36368659895</v>
      </c>
      <c r="E164" s="217">
        <f t="shared" si="35"/>
        <v>172631.30631089921</v>
      </c>
      <c r="F164" s="85">
        <v>12548.558045939999</v>
      </c>
      <c r="G164" s="222">
        <f t="shared" si="36"/>
        <v>13.757063216259569</v>
      </c>
      <c r="I164" s="223">
        <f t="shared" si="32"/>
        <v>164</v>
      </c>
      <c r="J164" s="220">
        <f t="shared" si="37"/>
        <v>2037</v>
      </c>
      <c r="K164" s="221">
        <f t="shared" si="38"/>
        <v>50253</v>
      </c>
      <c r="V164" s="85" t="str">
        <f t="shared" si="33"/>
        <v>Summer</v>
      </c>
    </row>
    <row r="165" spans="2:22" hidden="1" outlineLevel="1">
      <c r="B165" s="221">
        <f t="shared" si="34"/>
        <v>50284</v>
      </c>
      <c r="C165" s="85">
        <v>-385496.95181589777</v>
      </c>
      <c r="D165" s="217">
        <f>IF(F165&lt;&gt;0,VLOOKUP($J165,'Table 1'!$B$13:$C$33,2,FALSE)/12*1000*Study_MW,0)</f>
        <v>689314.36368659895</v>
      </c>
      <c r="E165" s="217">
        <f t="shared" si="35"/>
        <v>303817.41187070118</v>
      </c>
      <c r="F165" s="85">
        <v>12296.434959349997</v>
      </c>
      <c r="G165" s="222">
        <f t="shared" si="36"/>
        <v>24.70776390678045</v>
      </c>
      <c r="I165" s="223">
        <f t="shared" si="32"/>
        <v>165</v>
      </c>
      <c r="J165" s="220">
        <f t="shared" si="37"/>
        <v>2037</v>
      </c>
      <c r="K165" s="221">
        <f t="shared" si="38"/>
        <v>50284</v>
      </c>
      <c r="V165" s="85" t="str">
        <f t="shared" si="33"/>
        <v>Winter</v>
      </c>
    </row>
    <row r="166" spans="2:22" hidden="1" outlineLevel="1">
      <c r="B166" s="221">
        <f t="shared" si="34"/>
        <v>50314</v>
      </c>
      <c r="C166" s="85">
        <v>-1204525.133092473</v>
      </c>
      <c r="D166" s="217">
        <f>IF(F166&lt;&gt;0,VLOOKUP($J166,'Table 1'!$B$13:$C$33,2,FALSE)/12*1000*Study_MW,0)</f>
        <v>689314.36368659895</v>
      </c>
      <c r="E166" s="217">
        <f t="shared" si="35"/>
        <v>-515210.76940587407</v>
      </c>
      <c r="F166" s="85">
        <v>22788.968736790001</v>
      </c>
      <c r="G166" s="222">
        <f t="shared" si="36"/>
        <v>-22.60790189132733</v>
      </c>
      <c r="I166" s="223">
        <f t="shared" si="32"/>
        <v>166</v>
      </c>
      <c r="J166" s="220">
        <f t="shared" si="37"/>
        <v>2037</v>
      </c>
      <c r="K166" s="221">
        <f t="shared" si="38"/>
        <v>50314</v>
      </c>
      <c r="V166" s="85" t="str">
        <f t="shared" si="33"/>
        <v>Winter</v>
      </c>
    </row>
    <row r="167" spans="2:22" hidden="1" outlineLevel="1">
      <c r="B167" s="221">
        <f t="shared" si="34"/>
        <v>50345</v>
      </c>
      <c r="C167" s="85">
        <v>-1157400.2079628699</v>
      </c>
      <c r="D167" s="217">
        <f>IF(F167&lt;&gt;0,VLOOKUP($J167,'Table 1'!$B$13:$C$33,2,FALSE)/12*1000*Study_MW,0)</f>
        <v>689314.36368659895</v>
      </c>
      <c r="E167" s="217">
        <f t="shared" si="35"/>
        <v>-468085.84427627095</v>
      </c>
      <c r="F167" s="85">
        <v>13895.100906430001</v>
      </c>
      <c r="G167" s="222">
        <f t="shared" si="36"/>
        <v>-33.687113712118688</v>
      </c>
      <c r="I167" s="223">
        <f t="shared" si="32"/>
        <v>167</v>
      </c>
      <c r="J167" s="220">
        <f t="shared" si="37"/>
        <v>2037</v>
      </c>
      <c r="K167" s="221">
        <f t="shared" si="38"/>
        <v>50345</v>
      </c>
      <c r="V167" s="85" t="str">
        <f t="shared" si="33"/>
        <v>Winter</v>
      </c>
    </row>
    <row r="168" spans="2:22" hidden="1" outlineLevel="1">
      <c r="B168" s="227">
        <f t="shared" si="34"/>
        <v>50375</v>
      </c>
      <c r="C168" s="228">
        <v>-1858949.9394934536</v>
      </c>
      <c r="D168" s="229">
        <f>IF(F168&lt;&gt;0,VLOOKUP($J168,'Table 1'!$B$13:$C$33,2,FALSE)/12*1000*Study_MW,0)</f>
        <v>689314.36368659895</v>
      </c>
      <c r="E168" s="229">
        <f t="shared" si="35"/>
        <v>-1169635.5758068548</v>
      </c>
      <c r="F168" s="228">
        <v>14819.763973179999</v>
      </c>
      <c r="G168" s="230">
        <f t="shared" si="36"/>
        <v>-78.924035357351002</v>
      </c>
      <c r="I168" s="231">
        <f t="shared" si="32"/>
        <v>168</v>
      </c>
      <c r="J168" s="220">
        <f t="shared" si="37"/>
        <v>2037</v>
      </c>
      <c r="K168" s="227">
        <f t="shared" si="38"/>
        <v>50375</v>
      </c>
      <c r="V168" s="85" t="str">
        <f t="shared" si="33"/>
        <v>Winter</v>
      </c>
    </row>
    <row r="169" spans="2:22" hidden="1" outlineLevel="1">
      <c r="B169" s="214">
        <f t="shared" si="34"/>
        <v>50406</v>
      </c>
      <c r="C169" s="215">
        <v>-1323637.7432777891</v>
      </c>
      <c r="D169" s="216">
        <f>IF(F169&lt;&gt;0,VLOOKUP($J169,'Table 1'!$B$13:$C$33,2,FALSE)/12*1000*Study_MW,0)</f>
        <v>704341.41698120232</v>
      </c>
      <c r="E169" s="216">
        <f t="shared" si="35"/>
        <v>-619296.32629658678</v>
      </c>
      <c r="F169" s="215">
        <v>18859.187018470002</v>
      </c>
      <c r="G169" s="218">
        <f t="shared" si="36"/>
        <v>-32.837912137467562</v>
      </c>
      <c r="I169" s="219">
        <f t="shared" si="32"/>
        <v>170</v>
      </c>
      <c r="J169" s="220">
        <f t="shared" si="37"/>
        <v>2038</v>
      </c>
      <c r="K169" s="214">
        <f t="shared" si="38"/>
        <v>50406</v>
      </c>
      <c r="V169" s="85" t="str">
        <f t="shared" si="33"/>
        <v>Winter</v>
      </c>
    </row>
    <row r="170" spans="2:22" hidden="1" outlineLevel="1">
      <c r="B170" s="221">
        <f t="shared" si="34"/>
        <v>50437</v>
      </c>
      <c r="C170" s="85">
        <v>-570864.82162697578</v>
      </c>
      <c r="D170" s="217">
        <f>IF(F170&lt;&gt;0,VLOOKUP($J170,'Table 1'!$B$13:$C$33,2,FALSE)/12*1000*Study_MW,0)</f>
        <v>704341.41698120232</v>
      </c>
      <c r="E170" s="217">
        <f t="shared" si="35"/>
        <v>133476.59535422653</v>
      </c>
      <c r="F170" s="85">
        <v>19028.330878009998</v>
      </c>
      <c r="G170" s="222">
        <f t="shared" si="36"/>
        <v>7.0146244675868097</v>
      </c>
      <c r="I170" s="223">
        <f t="shared" si="32"/>
        <v>171</v>
      </c>
      <c r="J170" s="220">
        <f t="shared" si="37"/>
        <v>2038</v>
      </c>
      <c r="K170" s="221">
        <f t="shared" si="38"/>
        <v>50437</v>
      </c>
      <c r="V170" s="85" t="str">
        <f t="shared" si="33"/>
        <v>Winter</v>
      </c>
    </row>
    <row r="171" spans="2:22" hidden="1" outlineLevel="1">
      <c r="B171" s="221">
        <f t="shared" si="34"/>
        <v>50465</v>
      </c>
      <c r="C171" s="85">
        <v>-982130.18323067809</v>
      </c>
      <c r="D171" s="217">
        <f>IF(F171&lt;&gt;0,VLOOKUP($J171,'Table 1'!$B$13:$C$33,2,FALSE)/12*1000*Study_MW,0)</f>
        <v>704341.41698120232</v>
      </c>
      <c r="E171" s="217">
        <f t="shared" si="35"/>
        <v>-277788.76624947577</v>
      </c>
      <c r="F171" s="85">
        <v>18220.792456949996</v>
      </c>
      <c r="G171" s="222">
        <f t="shared" si="36"/>
        <v>-15.245701684260073</v>
      </c>
      <c r="I171" s="223">
        <f t="shared" si="32"/>
        <v>172</v>
      </c>
      <c r="J171" s="220">
        <f t="shared" si="37"/>
        <v>2038</v>
      </c>
      <c r="K171" s="221">
        <f t="shared" si="38"/>
        <v>50465</v>
      </c>
      <c r="V171" s="85" t="str">
        <f t="shared" si="33"/>
        <v>Winter</v>
      </c>
    </row>
    <row r="172" spans="2:22" hidden="1" outlineLevel="1">
      <c r="B172" s="221">
        <f t="shared" si="34"/>
        <v>50496</v>
      </c>
      <c r="C172" s="85">
        <v>-904726.51779226726</v>
      </c>
      <c r="D172" s="217">
        <f>IF(F172&lt;&gt;0,VLOOKUP($J172,'Table 1'!$B$13:$C$33,2,FALSE)/12*1000*Study_MW,0)</f>
        <v>704341.41698120232</v>
      </c>
      <c r="E172" s="217">
        <f t="shared" si="35"/>
        <v>-200385.10081106494</v>
      </c>
      <c r="F172" s="85">
        <v>21563.636811889999</v>
      </c>
      <c r="G172" s="222">
        <f t="shared" si="36"/>
        <v>-9.2927321378634229</v>
      </c>
      <c r="I172" s="223">
        <f t="shared" si="32"/>
        <v>173</v>
      </c>
      <c r="J172" s="220">
        <f t="shared" si="37"/>
        <v>2038</v>
      </c>
      <c r="K172" s="221">
        <f t="shared" si="38"/>
        <v>50496</v>
      </c>
      <c r="V172" s="85" t="str">
        <f t="shared" si="33"/>
        <v>Winter</v>
      </c>
    </row>
    <row r="173" spans="2:22" hidden="1" outlineLevel="1">
      <c r="B173" s="221">
        <f t="shared" si="34"/>
        <v>50526</v>
      </c>
      <c r="C173" s="85">
        <v>-615248.86744988908</v>
      </c>
      <c r="D173" s="217">
        <f>IF(F173&lt;&gt;0,VLOOKUP($J173,'Table 1'!$B$13:$C$33,2,FALSE)/12*1000*Study_MW,0)</f>
        <v>704341.41698120232</v>
      </c>
      <c r="E173" s="217">
        <f t="shared" si="35"/>
        <v>89092.549531313241</v>
      </c>
      <c r="F173" s="85">
        <v>22851.848039540004</v>
      </c>
      <c r="G173" s="222">
        <f t="shared" si="36"/>
        <v>3.898702169608276</v>
      </c>
      <c r="I173" s="223">
        <f t="shared" si="32"/>
        <v>174</v>
      </c>
      <c r="J173" s="220">
        <f t="shared" si="37"/>
        <v>2038</v>
      </c>
      <c r="K173" s="221">
        <f t="shared" si="38"/>
        <v>50526</v>
      </c>
      <c r="V173" s="85" t="str">
        <f t="shared" si="33"/>
        <v>Summer</v>
      </c>
    </row>
    <row r="174" spans="2:22" hidden="1" outlineLevel="1">
      <c r="B174" s="221">
        <f t="shared" si="34"/>
        <v>50557</v>
      </c>
      <c r="C174" s="85">
        <v>-648368.77697128511</v>
      </c>
      <c r="D174" s="217">
        <f>IF(F174&lt;&gt;0,VLOOKUP($J174,'Table 1'!$B$13:$C$33,2,FALSE)/12*1000*Study_MW,0)</f>
        <v>704341.41698120232</v>
      </c>
      <c r="E174" s="217">
        <f t="shared" si="35"/>
        <v>55972.640009917202</v>
      </c>
      <c r="F174" s="85">
        <v>21964.394641799998</v>
      </c>
      <c r="G174" s="222">
        <f t="shared" si="36"/>
        <v>2.5483351998874029</v>
      </c>
      <c r="I174" s="223">
        <f t="shared" si="32"/>
        <v>175</v>
      </c>
      <c r="J174" s="220">
        <f t="shared" si="37"/>
        <v>2038</v>
      </c>
      <c r="K174" s="221">
        <f t="shared" si="38"/>
        <v>50557</v>
      </c>
      <c r="V174" s="85" t="str">
        <f t="shared" si="33"/>
        <v>Summer</v>
      </c>
    </row>
    <row r="175" spans="2:22" hidden="1" outlineLevel="1">
      <c r="B175" s="221">
        <f t="shared" si="34"/>
        <v>50587</v>
      </c>
      <c r="C175" s="85">
        <v>-367667.84967392596</v>
      </c>
      <c r="D175" s="217">
        <f>IF(F175&lt;&gt;0,VLOOKUP($J175,'Table 1'!$B$13:$C$33,2,FALSE)/12*1000*Study_MW,0)</f>
        <v>704341.41698120232</v>
      </c>
      <c r="E175" s="217">
        <f t="shared" si="35"/>
        <v>336673.56730727636</v>
      </c>
      <c r="F175" s="85">
        <v>13744.05520639</v>
      </c>
      <c r="G175" s="222">
        <f t="shared" si="36"/>
        <v>24.495941136117331</v>
      </c>
      <c r="I175" s="223">
        <f t="shared" si="32"/>
        <v>176</v>
      </c>
      <c r="J175" s="220">
        <f t="shared" si="37"/>
        <v>2038</v>
      </c>
      <c r="K175" s="221">
        <f t="shared" si="38"/>
        <v>50587</v>
      </c>
      <c r="V175" s="85" t="str">
        <f t="shared" si="33"/>
        <v>Summer</v>
      </c>
    </row>
    <row r="176" spans="2:22" hidden="1" outlineLevel="1">
      <c r="B176" s="221">
        <f t="shared" si="34"/>
        <v>50618</v>
      </c>
      <c r="C176" s="85">
        <v>-533573.53417269408</v>
      </c>
      <c r="D176" s="217">
        <f>IF(F176&lt;&gt;0,VLOOKUP($J176,'Table 1'!$B$13:$C$33,2,FALSE)/12*1000*Study_MW,0)</f>
        <v>704341.41698120232</v>
      </c>
      <c r="E176" s="217">
        <f t="shared" si="35"/>
        <v>170767.88280850824</v>
      </c>
      <c r="F176" s="85">
        <v>12918.0700767</v>
      </c>
      <c r="G176" s="222">
        <f t="shared" si="36"/>
        <v>13.219303022401</v>
      </c>
      <c r="I176" s="223">
        <f t="shared" si="32"/>
        <v>177</v>
      </c>
      <c r="J176" s="220">
        <f t="shared" si="37"/>
        <v>2038</v>
      </c>
      <c r="K176" s="221">
        <f t="shared" si="38"/>
        <v>50618</v>
      </c>
      <c r="V176" s="85" t="str">
        <f t="shared" si="33"/>
        <v>Summer</v>
      </c>
    </row>
    <row r="177" spans="2:22" hidden="1" outlineLevel="1">
      <c r="B177" s="221">
        <f t="shared" si="34"/>
        <v>50649</v>
      </c>
      <c r="C177" s="85">
        <v>-393392.33451160905</v>
      </c>
      <c r="D177" s="217">
        <f>IF(F177&lt;&gt;0,VLOOKUP($J177,'Table 1'!$B$13:$C$33,2,FALSE)/12*1000*Study_MW,0)</f>
        <v>704341.41698120232</v>
      </c>
      <c r="E177" s="217">
        <f t="shared" si="35"/>
        <v>310949.08246959327</v>
      </c>
      <c r="F177" s="85">
        <v>11871.487103879999</v>
      </c>
      <c r="G177" s="222">
        <f t="shared" si="36"/>
        <v>26.192934360175038</v>
      </c>
      <c r="I177" s="223">
        <f t="shared" si="32"/>
        <v>178</v>
      </c>
      <c r="J177" s="220">
        <f t="shared" si="37"/>
        <v>2038</v>
      </c>
      <c r="K177" s="221">
        <f t="shared" si="38"/>
        <v>50649</v>
      </c>
      <c r="V177" s="85" t="str">
        <f t="shared" si="33"/>
        <v>Winter</v>
      </c>
    </row>
    <row r="178" spans="2:22" hidden="1" outlineLevel="1">
      <c r="B178" s="221">
        <f t="shared" si="34"/>
        <v>50679</v>
      </c>
      <c r="C178" s="85">
        <v>-1186411.8384020403</v>
      </c>
      <c r="D178" s="217">
        <f>IF(F178&lt;&gt;0,VLOOKUP($J178,'Table 1'!$B$13:$C$33,2,FALSE)/12*1000*Study_MW,0)</f>
        <v>704341.41698120232</v>
      </c>
      <c r="E178" s="217">
        <f t="shared" si="35"/>
        <v>-482070.42142083799</v>
      </c>
      <c r="F178" s="85">
        <v>23100.34310405</v>
      </c>
      <c r="G178" s="222">
        <f t="shared" si="36"/>
        <v>-20.868539451966857</v>
      </c>
      <c r="I178" s="223">
        <f t="shared" si="32"/>
        <v>179</v>
      </c>
      <c r="J178" s="220">
        <f t="shared" si="37"/>
        <v>2038</v>
      </c>
      <c r="K178" s="221">
        <f t="shared" si="38"/>
        <v>50679</v>
      </c>
      <c r="V178" s="85" t="str">
        <f t="shared" si="33"/>
        <v>Winter</v>
      </c>
    </row>
    <row r="179" spans="2:22" hidden="1" outlineLevel="1">
      <c r="B179" s="221">
        <f t="shared" si="34"/>
        <v>50710</v>
      </c>
      <c r="C179" s="85">
        <v>-1116500.1897258044</v>
      </c>
      <c r="D179" s="217">
        <f>IF(F179&lt;&gt;0,VLOOKUP($J179,'Table 1'!$B$13:$C$33,2,FALSE)/12*1000*Study_MW,0)</f>
        <v>704341.41698120232</v>
      </c>
      <c r="E179" s="217">
        <f t="shared" si="35"/>
        <v>-412158.77274460206</v>
      </c>
      <c r="F179" s="85">
        <v>13580.216540810003</v>
      </c>
      <c r="G179" s="222">
        <f t="shared" si="36"/>
        <v>-30.349941144607001</v>
      </c>
      <c r="I179" s="223">
        <f t="shared" si="32"/>
        <v>180</v>
      </c>
      <c r="J179" s="220">
        <f t="shared" si="37"/>
        <v>2038</v>
      </c>
      <c r="K179" s="221">
        <f t="shared" si="38"/>
        <v>50710</v>
      </c>
      <c r="V179" s="85" t="str">
        <f t="shared" si="33"/>
        <v>Winter</v>
      </c>
    </row>
    <row r="180" spans="2:22" hidden="1" outlineLevel="1">
      <c r="B180" s="227">
        <f t="shared" si="34"/>
        <v>50740</v>
      </c>
      <c r="C180" s="228">
        <v>-1910445.2430284873</v>
      </c>
      <c r="D180" s="229">
        <f>IF(F180&lt;&gt;0,VLOOKUP($J180,'Table 1'!$B$13:$C$33,2,FALSE)/12*1000*Study_MW,0)</f>
        <v>704341.41698120232</v>
      </c>
      <c r="E180" s="229">
        <f t="shared" si="35"/>
        <v>-1206103.826047285</v>
      </c>
      <c r="F180" s="228">
        <v>14537.987186290002</v>
      </c>
      <c r="G180" s="230">
        <f t="shared" si="36"/>
        <v>-82.962229268209626</v>
      </c>
      <c r="I180" s="231">
        <f t="shared" si="32"/>
        <v>181</v>
      </c>
      <c r="J180" s="220">
        <f t="shared" si="37"/>
        <v>2038</v>
      </c>
      <c r="K180" s="227">
        <f t="shared" si="38"/>
        <v>50740</v>
      </c>
      <c r="V180" s="85" t="str">
        <f t="shared" si="33"/>
        <v>Winter</v>
      </c>
    </row>
    <row r="181" spans="2:22" hidden="1" outlineLevel="1">
      <c r="B181" s="214">
        <f t="shared" si="34"/>
        <v>50771</v>
      </c>
      <c r="C181" s="215">
        <v>64783.106125819359</v>
      </c>
      <c r="D181" s="216">
        <f>IF(F181&lt;&gt;0,VLOOKUP($J181,'Table 1'!$B$13:$C$33,2,FALSE)/12*1000*Study_MW,0)</f>
        <v>719696.05974859081</v>
      </c>
      <c r="E181" s="216">
        <f t="shared" si="35"/>
        <v>784479.16587441019</v>
      </c>
      <c r="F181" s="215">
        <v>19018.897428480002</v>
      </c>
      <c r="G181" s="218">
        <f t="shared" si="36"/>
        <v>41.247352472687794</v>
      </c>
      <c r="I181" s="219">
        <f t="shared" si="32"/>
        <v>183</v>
      </c>
      <c r="J181" s="220">
        <f t="shared" si="37"/>
        <v>2039</v>
      </c>
      <c r="K181" s="214">
        <f t="shared" si="38"/>
        <v>50771</v>
      </c>
      <c r="V181" s="85" t="str">
        <f t="shared" si="33"/>
        <v>Winter</v>
      </c>
    </row>
    <row r="182" spans="2:22" hidden="1" outlineLevel="1">
      <c r="B182" s="221">
        <f t="shared" si="34"/>
        <v>50802</v>
      </c>
      <c r="C182" s="85">
        <v>340346.24885941687</v>
      </c>
      <c r="D182" s="217">
        <f>IF(F182&lt;&gt;0,VLOOKUP($J182,'Table 1'!$B$13:$C$33,2,FALSE)/12*1000*Study_MW,0)</f>
        <v>719696.05974859081</v>
      </c>
      <c r="E182" s="217">
        <f t="shared" si="35"/>
        <v>1060042.3086080076</v>
      </c>
      <c r="F182" s="85">
        <v>19008.25200674</v>
      </c>
      <c r="G182" s="222">
        <f t="shared" si="36"/>
        <v>55.767479736281629</v>
      </c>
      <c r="I182" s="223">
        <f t="shared" si="32"/>
        <v>184</v>
      </c>
      <c r="J182" s="220">
        <f t="shared" si="37"/>
        <v>2039</v>
      </c>
      <c r="K182" s="221">
        <f t="shared" si="38"/>
        <v>50802</v>
      </c>
      <c r="V182" s="85" t="str">
        <f t="shared" si="33"/>
        <v>Winter</v>
      </c>
    </row>
    <row r="183" spans="2:22" hidden="1" outlineLevel="1">
      <c r="B183" s="221">
        <f t="shared" si="34"/>
        <v>50830</v>
      </c>
      <c r="C183" s="85">
        <v>-25250.261660883552</v>
      </c>
      <c r="D183" s="217">
        <f>IF(F183&lt;&gt;0,VLOOKUP($J183,'Table 1'!$B$13:$C$33,2,FALSE)/12*1000*Study_MW,0)</f>
        <v>719696.05974859081</v>
      </c>
      <c r="E183" s="217">
        <f t="shared" si="35"/>
        <v>694445.79808770726</v>
      </c>
      <c r="F183" s="85">
        <v>17956.003675159998</v>
      </c>
      <c r="G183" s="222">
        <f t="shared" si="36"/>
        <v>38.674852748464886</v>
      </c>
      <c r="I183" s="223">
        <f t="shared" si="32"/>
        <v>185</v>
      </c>
      <c r="J183" s="220">
        <f t="shared" si="37"/>
        <v>2039</v>
      </c>
      <c r="K183" s="221">
        <f t="shared" si="38"/>
        <v>50830</v>
      </c>
      <c r="V183" s="85" t="str">
        <f t="shared" si="33"/>
        <v>Winter</v>
      </c>
    </row>
    <row r="184" spans="2:22" hidden="1" outlineLevel="1">
      <c r="B184" s="221">
        <f t="shared" si="34"/>
        <v>50861</v>
      </c>
      <c r="C184" s="85">
        <v>25869.229503136012</v>
      </c>
      <c r="D184" s="217">
        <f>IF(F184&lt;&gt;0,VLOOKUP($J184,'Table 1'!$B$13:$C$33,2,FALSE)/12*1000*Study_MW,0)</f>
        <v>719696.05974859081</v>
      </c>
      <c r="E184" s="217">
        <f t="shared" si="35"/>
        <v>745565.28925172682</v>
      </c>
      <c r="F184" s="85">
        <v>22296.220530250001</v>
      </c>
      <c r="G184" s="222">
        <f t="shared" si="36"/>
        <v>33.439088397972846</v>
      </c>
      <c r="I184" s="223">
        <f t="shared" si="32"/>
        <v>186</v>
      </c>
      <c r="J184" s="220">
        <f t="shared" si="37"/>
        <v>2039</v>
      </c>
      <c r="K184" s="221">
        <f t="shared" si="38"/>
        <v>50861</v>
      </c>
      <c r="V184" s="85" t="str">
        <f t="shared" si="33"/>
        <v>Winter</v>
      </c>
    </row>
    <row r="185" spans="2:22" hidden="1" outlineLevel="1">
      <c r="B185" s="221">
        <f t="shared" si="34"/>
        <v>50891</v>
      </c>
      <c r="C185" s="85">
        <v>93547.829642440774</v>
      </c>
      <c r="D185" s="217">
        <f>IF(F185&lt;&gt;0,VLOOKUP($J185,'Table 1'!$B$13:$C$33,2,FALSE)/12*1000*Study_MW,0)</f>
        <v>719696.05974859081</v>
      </c>
      <c r="E185" s="217">
        <f t="shared" si="35"/>
        <v>813243.88939103158</v>
      </c>
      <c r="F185" s="85">
        <v>22706.788430020009</v>
      </c>
      <c r="G185" s="222">
        <f t="shared" si="36"/>
        <v>35.815011528264584</v>
      </c>
      <c r="I185" s="223">
        <f t="shared" si="32"/>
        <v>187</v>
      </c>
      <c r="J185" s="220">
        <f t="shared" si="37"/>
        <v>2039</v>
      </c>
      <c r="K185" s="221">
        <f t="shared" si="38"/>
        <v>50891</v>
      </c>
      <c r="V185" s="85" t="str">
        <f t="shared" si="33"/>
        <v>Summer</v>
      </c>
    </row>
    <row r="186" spans="2:22" hidden="1" outlineLevel="1">
      <c r="B186" s="221">
        <f t="shared" si="34"/>
        <v>50922</v>
      </c>
      <c r="C186" s="85">
        <v>172118.54648086592</v>
      </c>
      <c r="D186" s="217">
        <f>IF(F186&lt;&gt;0,VLOOKUP($J186,'Table 1'!$B$13:$C$33,2,FALSE)/12*1000*Study_MW,0)</f>
        <v>719696.05974859081</v>
      </c>
      <c r="E186" s="217">
        <f t="shared" si="35"/>
        <v>891814.60622945672</v>
      </c>
      <c r="F186" s="85">
        <v>21745.812183619997</v>
      </c>
      <c r="G186" s="222">
        <f t="shared" si="36"/>
        <v>41.010866768232958</v>
      </c>
      <c r="I186" s="223">
        <f t="shared" ref="I186:I252" si="39">I174+13</f>
        <v>188</v>
      </c>
      <c r="J186" s="220">
        <f t="shared" si="37"/>
        <v>2039</v>
      </c>
      <c r="K186" s="221">
        <f t="shared" si="38"/>
        <v>50922</v>
      </c>
      <c r="V186" s="85" t="str">
        <f t="shared" si="33"/>
        <v>Summer</v>
      </c>
    </row>
    <row r="187" spans="2:22" hidden="1" outlineLevel="1">
      <c r="B187" s="221">
        <f t="shared" si="34"/>
        <v>50952</v>
      </c>
      <c r="C187" s="85">
        <v>106678.83956510923</v>
      </c>
      <c r="D187" s="217">
        <f>IF(F187&lt;&gt;0,VLOOKUP($J187,'Table 1'!$B$13:$C$33,2,FALSE)/12*1000*Study_MW,0)</f>
        <v>719696.05974859081</v>
      </c>
      <c r="E187" s="217">
        <f t="shared" si="35"/>
        <v>826374.89931370004</v>
      </c>
      <c r="F187" s="85">
        <v>13611.277785999999</v>
      </c>
      <c r="G187" s="222">
        <f t="shared" si="36"/>
        <v>60.712514453541999</v>
      </c>
      <c r="I187" s="223">
        <f t="shared" si="39"/>
        <v>189</v>
      </c>
      <c r="J187" s="220">
        <f t="shared" si="37"/>
        <v>2039</v>
      </c>
      <c r="K187" s="221">
        <f t="shared" si="38"/>
        <v>50952</v>
      </c>
      <c r="V187" s="85" t="str">
        <f t="shared" si="33"/>
        <v>Summer</v>
      </c>
    </row>
    <row r="188" spans="2:22" hidden="1" outlineLevel="1">
      <c r="B188" s="221">
        <f t="shared" si="34"/>
        <v>50983</v>
      </c>
      <c r="C188" s="85">
        <v>44810.881774556037</v>
      </c>
      <c r="D188" s="217">
        <f>IF(F188&lt;&gt;0,VLOOKUP($J188,'Table 1'!$B$13:$C$33,2,FALSE)/12*1000*Study_MW,0)</f>
        <v>719696.05974859081</v>
      </c>
      <c r="E188" s="217">
        <f t="shared" si="35"/>
        <v>764506.94152314682</v>
      </c>
      <c r="F188" s="85">
        <v>13189.19712069</v>
      </c>
      <c r="G188" s="222">
        <f t="shared" si="36"/>
        <v>57.964630790441262</v>
      </c>
      <c r="I188" s="223">
        <f t="shared" si="39"/>
        <v>190</v>
      </c>
      <c r="J188" s="220">
        <f t="shared" si="37"/>
        <v>2039</v>
      </c>
      <c r="K188" s="221">
        <f t="shared" si="38"/>
        <v>50983</v>
      </c>
      <c r="V188" s="85" t="str">
        <f t="shared" si="33"/>
        <v>Summer</v>
      </c>
    </row>
    <row r="189" spans="2:22" hidden="1" outlineLevel="1">
      <c r="B189" s="221">
        <f t="shared" si="34"/>
        <v>51014</v>
      </c>
      <c r="C189" s="85">
        <v>110046.37134349105</v>
      </c>
      <c r="D189" s="217">
        <f>IF(F189&lt;&gt;0,VLOOKUP($J189,'Table 1'!$B$13:$C$33,2,FALSE)/12*1000*Study_MW,0)</f>
        <v>719696.05974859081</v>
      </c>
      <c r="E189" s="217">
        <f t="shared" si="35"/>
        <v>829742.43109208182</v>
      </c>
      <c r="F189" s="85">
        <v>11582.931032570001</v>
      </c>
      <c r="G189" s="222">
        <f t="shared" si="36"/>
        <v>71.634928047048902</v>
      </c>
      <c r="I189" s="223">
        <f t="shared" si="39"/>
        <v>191</v>
      </c>
      <c r="J189" s="220">
        <f t="shared" si="37"/>
        <v>2039</v>
      </c>
      <c r="K189" s="221">
        <f t="shared" si="38"/>
        <v>51014</v>
      </c>
      <c r="V189" s="85" t="str">
        <f t="shared" si="33"/>
        <v>Winter</v>
      </c>
    </row>
    <row r="190" spans="2:22" hidden="1" outlineLevel="1">
      <c r="B190" s="221">
        <f t="shared" si="34"/>
        <v>51044</v>
      </c>
      <c r="C190" s="85">
        <v>117582.00689485238</v>
      </c>
      <c r="D190" s="217">
        <f>IF(F190&lt;&gt;0,VLOOKUP($J190,'Table 1'!$B$13:$C$33,2,FALSE)/12*1000*Study_MW,0)</f>
        <v>719696.05974859081</v>
      </c>
      <c r="E190" s="217">
        <f t="shared" si="35"/>
        <v>837278.06664344319</v>
      </c>
      <c r="F190" s="85">
        <v>23195.825556000003</v>
      </c>
      <c r="G190" s="222">
        <f t="shared" si="36"/>
        <v>36.096066709161235</v>
      </c>
      <c r="I190" s="223">
        <f t="shared" si="39"/>
        <v>192</v>
      </c>
      <c r="J190" s="220">
        <f t="shared" si="37"/>
        <v>2039</v>
      </c>
      <c r="K190" s="221">
        <f t="shared" si="38"/>
        <v>51044</v>
      </c>
      <c r="V190" s="85" t="str">
        <f t="shared" si="33"/>
        <v>Winter</v>
      </c>
    </row>
    <row r="191" spans="2:22" hidden="1" outlineLevel="1">
      <c r="B191" s="221">
        <f t="shared" si="34"/>
        <v>51075</v>
      </c>
      <c r="C191" s="85">
        <v>-60910.702072309505</v>
      </c>
      <c r="D191" s="217">
        <f>IF(F191&lt;&gt;0,VLOOKUP($J191,'Table 1'!$B$13:$C$33,2,FALSE)/12*1000*Study_MW,0)</f>
        <v>719696.05974859081</v>
      </c>
      <c r="E191" s="217">
        <f t="shared" si="35"/>
        <v>658785.35767628136</v>
      </c>
      <c r="F191" s="85">
        <v>14022.606174700002</v>
      </c>
      <c r="G191" s="222">
        <f t="shared" si="36"/>
        <v>46.980236731234832</v>
      </c>
      <c r="I191" s="223">
        <f t="shared" si="39"/>
        <v>193</v>
      </c>
      <c r="J191" s="220">
        <f t="shared" si="37"/>
        <v>2039</v>
      </c>
      <c r="K191" s="221">
        <f t="shared" si="38"/>
        <v>51075</v>
      </c>
      <c r="V191" s="85" t="str">
        <f t="shared" si="33"/>
        <v>Winter</v>
      </c>
    </row>
    <row r="192" spans="2:22" hidden="1" outlineLevel="1">
      <c r="B192" s="227">
        <f t="shared" si="34"/>
        <v>51105</v>
      </c>
      <c r="C192" s="228">
        <v>-281542.11790016416</v>
      </c>
      <c r="D192" s="229">
        <f>IF(F192&lt;&gt;0,VLOOKUP($J192,'Table 1'!$B$13:$C$33,2,FALSE)/12*1000*Study_MW,0)</f>
        <v>719696.05974859081</v>
      </c>
      <c r="E192" s="229">
        <f t="shared" si="35"/>
        <v>438153.94184842665</v>
      </c>
      <c r="F192" s="228">
        <v>13903.096838120002</v>
      </c>
      <c r="G192" s="230">
        <f t="shared" si="36"/>
        <v>31.514844998207931</v>
      </c>
      <c r="I192" s="231">
        <f t="shared" si="39"/>
        <v>194</v>
      </c>
      <c r="J192" s="220">
        <f t="shared" si="37"/>
        <v>2039</v>
      </c>
      <c r="K192" s="227">
        <f t="shared" si="38"/>
        <v>51105</v>
      </c>
      <c r="V192" s="85" t="str">
        <f t="shared" si="33"/>
        <v>Winter</v>
      </c>
    </row>
    <row r="193" spans="2:22" hidden="1" outlineLevel="1">
      <c r="B193" s="214">
        <f t="shared" si="34"/>
        <v>51136</v>
      </c>
      <c r="C193" s="215">
        <v>118263.01835400773</v>
      </c>
      <c r="D193" s="216">
        <f>IF(F193&lt;&gt;0,VLOOKUP($J193,'Table 1'!$B$13:$C$33,2,FALSE)/12*1000*Study_MW,0)</f>
        <v>735385.43407015363</v>
      </c>
      <c r="E193" s="216">
        <f t="shared" ref="E193:E216" si="40">C193+D193</f>
        <v>853648.45242416137</v>
      </c>
      <c r="F193" s="215">
        <v>20415.319112959998</v>
      </c>
      <c r="G193" s="218">
        <f t="shared" ref="G193:G216" si="41">IF(ISNUMBER($F193),E193/$F193,"")</f>
        <v>41.81411261322144</v>
      </c>
      <c r="I193" s="219">
        <f t="shared" si="39"/>
        <v>196</v>
      </c>
      <c r="J193" s="220">
        <f t="shared" ref="J193:J240" si="42">YEAR(B193)</f>
        <v>2040</v>
      </c>
      <c r="K193" s="214">
        <f t="shared" ref="K193:K240" si="43">IF(ISNUMBER(F193),IF(F193&lt;&gt;0,B193,""),"")</f>
        <v>51136</v>
      </c>
      <c r="M193" s="36"/>
      <c r="V193" s="85" t="str">
        <f t="shared" si="33"/>
        <v>Winter</v>
      </c>
    </row>
    <row r="194" spans="2:22" hidden="1" outlineLevel="1">
      <c r="B194" s="221">
        <f t="shared" si="34"/>
        <v>51167</v>
      </c>
      <c r="C194" s="85">
        <v>308997.94628041494</v>
      </c>
      <c r="D194" s="217">
        <f>IF(F194&lt;&gt;0,VLOOKUP($J194,'Table 1'!$B$13:$C$33,2,FALSE)/12*1000*Study_MW,0)</f>
        <v>735385.43407015363</v>
      </c>
      <c r="E194" s="217">
        <f t="shared" si="40"/>
        <v>1044383.3803505686</v>
      </c>
      <c r="F194" s="85">
        <v>18378.476628709999</v>
      </c>
      <c r="G194" s="222">
        <f t="shared" si="41"/>
        <v>56.826438961708149</v>
      </c>
      <c r="I194" s="223">
        <f t="shared" si="39"/>
        <v>197</v>
      </c>
      <c r="J194" s="220">
        <f t="shared" si="42"/>
        <v>2040</v>
      </c>
      <c r="K194" s="221">
        <f t="shared" si="43"/>
        <v>51167</v>
      </c>
      <c r="M194" s="36"/>
      <c r="V194" s="85" t="str">
        <f t="shared" si="33"/>
        <v>Winter</v>
      </c>
    </row>
    <row r="195" spans="2:22" hidden="1" outlineLevel="1">
      <c r="B195" s="221">
        <f t="shared" si="34"/>
        <v>51196</v>
      </c>
      <c r="C195" s="85">
        <v>64943.963220834121</v>
      </c>
      <c r="D195" s="217">
        <f>IF(F195&lt;&gt;0,VLOOKUP($J195,'Table 1'!$B$13:$C$33,2,FALSE)/12*1000*Study_MW,0)</f>
        <v>735385.43407015363</v>
      </c>
      <c r="E195" s="217">
        <f t="shared" si="40"/>
        <v>800329.39729098778</v>
      </c>
      <c r="F195" s="85">
        <v>17461.912206590001</v>
      </c>
      <c r="G195" s="222">
        <f t="shared" si="41"/>
        <v>45.832861133556108</v>
      </c>
      <c r="I195" s="223">
        <f t="shared" si="39"/>
        <v>198</v>
      </c>
      <c r="J195" s="220">
        <f t="shared" si="42"/>
        <v>2040</v>
      </c>
      <c r="K195" s="221">
        <f t="shared" si="43"/>
        <v>51196</v>
      </c>
      <c r="M195" s="36"/>
      <c r="V195" s="85" t="str">
        <f t="shared" si="33"/>
        <v>Winter</v>
      </c>
    </row>
    <row r="196" spans="2:22" hidden="1" outlineLevel="1">
      <c r="B196" s="221">
        <f t="shared" si="34"/>
        <v>51227</v>
      </c>
      <c r="C196" s="85">
        <v>82132.705328316661</v>
      </c>
      <c r="D196" s="217">
        <f>IF(F196&lt;&gt;0,VLOOKUP($J196,'Table 1'!$B$13:$C$33,2,FALSE)/12*1000*Study_MW,0)</f>
        <v>735385.43407015363</v>
      </c>
      <c r="E196" s="217">
        <f t="shared" si="40"/>
        <v>817518.13939847029</v>
      </c>
      <c r="F196" s="85">
        <v>23966.333635690004</v>
      </c>
      <c r="G196" s="222">
        <f t="shared" si="41"/>
        <v>34.111105679553958</v>
      </c>
      <c r="I196" s="223">
        <f t="shared" si="39"/>
        <v>199</v>
      </c>
      <c r="J196" s="220">
        <f t="shared" si="42"/>
        <v>2040</v>
      </c>
      <c r="K196" s="221">
        <f t="shared" si="43"/>
        <v>51227</v>
      </c>
      <c r="M196" s="36"/>
      <c r="V196" s="85" t="str">
        <f t="shared" si="33"/>
        <v>Winter</v>
      </c>
    </row>
    <row r="197" spans="2:22" hidden="1" outlineLevel="1">
      <c r="B197" s="221">
        <f t="shared" si="34"/>
        <v>51257</v>
      </c>
      <c r="C197" s="85">
        <v>83761.824762143078</v>
      </c>
      <c r="D197" s="217">
        <f>IF(F197&lt;&gt;0,VLOOKUP($J197,'Table 1'!$B$13:$C$33,2,FALSE)/12*1000*Study_MW,0)</f>
        <v>735385.43407015363</v>
      </c>
      <c r="E197" s="217">
        <f t="shared" si="40"/>
        <v>819147.25883229671</v>
      </c>
      <c r="F197" s="85">
        <v>22571.998863140001</v>
      </c>
      <c r="G197" s="222">
        <f t="shared" si="41"/>
        <v>36.290417335168371</v>
      </c>
      <c r="I197" s="223">
        <f t="shared" si="39"/>
        <v>200</v>
      </c>
      <c r="J197" s="220">
        <f t="shared" si="42"/>
        <v>2040</v>
      </c>
      <c r="K197" s="221">
        <f t="shared" si="43"/>
        <v>51257</v>
      </c>
      <c r="M197" s="36"/>
      <c r="V197" s="85" t="str">
        <f t="shared" si="33"/>
        <v>Summer</v>
      </c>
    </row>
    <row r="198" spans="2:22" hidden="1" outlineLevel="1">
      <c r="B198" s="221">
        <f t="shared" si="34"/>
        <v>51288</v>
      </c>
      <c r="C198" s="85">
        <v>151042.8499126283</v>
      </c>
      <c r="D198" s="217">
        <f>IF(F198&lt;&gt;0,VLOOKUP($J198,'Table 1'!$B$13:$C$33,2,FALSE)/12*1000*Study_MW,0)</f>
        <v>735385.43407015363</v>
      </c>
      <c r="E198" s="217">
        <f t="shared" si="40"/>
        <v>886428.28398278193</v>
      </c>
      <c r="F198" s="85">
        <v>21093.46980789</v>
      </c>
      <c r="G198" s="222">
        <f t="shared" si="41"/>
        <v>42.023825006316123</v>
      </c>
      <c r="I198" s="223">
        <f t="shared" si="39"/>
        <v>201</v>
      </c>
      <c r="J198" s="220">
        <f t="shared" si="42"/>
        <v>2040</v>
      </c>
      <c r="K198" s="221">
        <f t="shared" si="43"/>
        <v>51288</v>
      </c>
      <c r="M198" s="36"/>
      <c r="V198" s="85" t="str">
        <f t="shared" si="33"/>
        <v>Summer</v>
      </c>
    </row>
    <row r="199" spans="2:22" hidden="1" outlineLevel="1">
      <c r="B199" s="221">
        <f t="shared" si="34"/>
        <v>51318</v>
      </c>
      <c r="C199" s="85">
        <v>186723.3844081893</v>
      </c>
      <c r="D199" s="217">
        <f>IF(F199&lt;&gt;0,VLOOKUP($J199,'Table 1'!$B$13:$C$33,2,FALSE)/12*1000*Study_MW,0)</f>
        <v>735385.43407015363</v>
      </c>
      <c r="E199" s="217">
        <f t="shared" si="40"/>
        <v>922108.81847834296</v>
      </c>
      <c r="F199" s="85">
        <v>12599.71663126</v>
      </c>
      <c r="G199" s="222">
        <f t="shared" si="41"/>
        <v>73.184885459295444</v>
      </c>
      <c r="I199" s="223">
        <f t="shared" si="39"/>
        <v>202</v>
      </c>
      <c r="J199" s="220">
        <f t="shared" si="42"/>
        <v>2040</v>
      </c>
      <c r="K199" s="221">
        <f t="shared" si="43"/>
        <v>51318</v>
      </c>
      <c r="M199" s="36"/>
      <c r="V199" s="85" t="str">
        <f t="shared" si="33"/>
        <v>Summer</v>
      </c>
    </row>
    <row r="200" spans="2:22" hidden="1" outlineLevel="1">
      <c r="B200" s="221">
        <f t="shared" si="34"/>
        <v>51349</v>
      </c>
      <c r="C200" s="85">
        <v>103931.93801854977</v>
      </c>
      <c r="D200" s="217">
        <f>IF(F200&lt;&gt;0,VLOOKUP($J200,'Table 1'!$B$13:$C$33,2,FALSE)/12*1000*Study_MW,0)</f>
        <v>735385.43407015363</v>
      </c>
      <c r="E200" s="217">
        <f t="shared" si="40"/>
        <v>839317.37208870344</v>
      </c>
      <c r="F200" s="85">
        <v>13274.537031640002</v>
      </c>
      <c r="G200" s="222">
        <f t="shared" si="41"/>
        <v>63.227619169556078</v>
      </c>
      <c r="I200" s="223">
        <f t="shared" si="39"/>
        <v>203</v>
      </c>
      <c r="J200" s="220">
        <f t="shared" si="42"/>
        <v>2040</v>
      </c>
      <c r="K200" s="221">
        <f t="shared" si="43"/>
        <v>51349</v>
      </c>
      <c r="M200" s="36"/>
      <c r="V200" s="85" t="str">
        <f t="shared" si="33"/>
        <v>Summer</v>
      </c>
    </row>
    <row r="201" spans="2:22" hidden="1" outlineLevel="1">
      <c r="B201" s="221">
        <f t="shared" si="34"/>
        <v>51380</v>
      </c>
      <c r="C201" s="85">
        <v>116583.15891634265</v>
      </c>
      <c r="D201" s="217">
        <f>IF(F201&lt;&gt;0,VLOOKUP($J201,'Table 1'!$B$13:$C$33,2,FALSE)/12*1000*Study_MW,0)</f>
        <v>735385.43407015363</v>
      </c>
      <c r="E201" s="217">
        <f t="shared" si="40"/>
        <v>851968.59298649628</v>
      </c>
      <c r="F201" s="85">
        <v>11262.100543829998</v>
      </c>
      <c r="G201" s="222">
        <f t="shared" si="41"/>
        <v>75.649173053534128</v>
      </c>
      <c r="I201" s="223">
        <f t="shared" si="39"/>
        <v>204</v>
      </c>
      <c r="J201" s="220">
        <f t="shared" si="42"/>
        <v>2040</v>
      </c>
      <c r="K201" s="221">
        <f t="shared" si="43"/>
        <v>51380</v>
      </c>
      <c r="M201" s="36"/>
      <c r="V201" s="85" t="str">
        <f t="shared" si="33"/>
        <v>Winter</v>
      </c>
    </row>
    <row r="202" spans="2:22" hidden="1" outlineLevel="1">
      <c r="B202" s="221">
        <f t="shared" si="34"/>
        <v>51410</v>
      </c>
      <c r="C202" s="85">
        <v>223514.44024562079</v>
      </c>
      <c r="D202" s="217">
        <f>IF(F202&lt;&gt;0,VLOOKUP($J202,'Table 1'!$B$13:$C$33,2,FALSE)/12*1000*Study_MW,0)</f>
        <v>735385.43407015363</v>
      </c>
      <c r="E202" s="217">
        <f t="shared" si="40"/>
        <v>958899.87431577442</v>
      </c>
      <c r="F202" s="85">
        <v>23306.767880120002</v>
      </c>
      <c r="G202" s="222">
        <f t="shared" si="41"/>
        <v>41.142550492112129</v>
      </c>
      <c r="I202" s="223">
        <f t="shared" si="39"/>
        <v>205</v>
      </c>
      <c r="J202" s="220">
        <f t="shared" si="42"/>
        <v>2040</v>
      </c>
      <c r="K202" s="221">
        <f t="shared" si="43"/>
        <v>51410</v>
      </c>
      <c r="M202" s="36"/>
      <c r="V202" s="85" t="str">
        <f t="shared" si="33"/>
        <v>Winter</v>
      </c>
    </row>
    <row r="203" spans="2:22" hidden="1" outlineLevel="1">
      <c r="B203" s="221">
        <f t="shared" si="34"/>
        <v>51441</v>
      </c>
      <c r="C203" s="85">
        <v>126.21684993064264</v>
      </c>
      <c r="D203" s="217">
        <f>IF(F203&lt;&gt;0,VLOOKUP($J203,'Table 1'!$B$13:$C$33,2,FALSE)/12*1000*Study_MW,0)</f>
        <v>735385.43407015363</v>
      </c>
      <c r="E203" s="217">
        <f t="shared" si="40"/>
        <v>735511.65092008421</v>
      </c>
      <c r="F203" s="85">
        <v>15087.522923910003</v>
      </c>
      <c r="G203" s="222">
        <f t="shared" si="41"/>
        <v>48.749662527735396</v>
      </c>
      <c r="I203" s="223">
        <f t="shared" si="39"/>
        <v>206</v>
      </c>
      <c r="J203" s="220">
        <f t="shared" si="42"/>
        <v>2040</v>
      </c>
      <c r="K203" s="221">
        <f t="shared" si="43"/>
        <v>51441</v>
      </c>
      <c r="M203" s="36"/>
      <c r="V203" s="85" t="str">
        <f t="shared" si="33"/>
        <v>Winter</v>
      </c>
    </row>
    <row r="204" spans="2:22" hidden="1" outlineLevel="1">
      <c r="B204" s="227">
        <f t="shared" si="34"/>
        <v>51471</v>
      </c>
      <c r="C204" s="228">
        <v>-541544.53787338571</v>
      </c>
      <c r="D204" s="229">
        <f>IF(F204&lt;&gt;0,VLOOKUP($J204,'Table 1'!$B$13:$C$33,2,FALSE)/12*1000*Study_MW,0)</f>
        <v>735385.43407015363</v>
      </c>
      <c r="E204" s="229">
        <f t="shared" si="40"/>
        <v>193840.89619676792</v>
      </c>
      <c r="F204" s="228">
        <v>12872.028506720002</v>
      </c>
      <c r="G204" s="230">
        <f t="shared" si="41"/>
        <v>15.059079157226142</v>
      </c>
      <c r="I204" s="231">
        <f t="shared" si="39"/>
        <v>207</v>
      </c>
      <c r="J204" s="220">
        <f t="shared" si="42"/>
        <v>2040</v>
      </c>
      <c r="K204" s="227">
        <f t="shared" si="43"/>
        <v>51471</v>
      </c>
      <c r="M204" s="36"/>
      <c r="V204" s="85" t="str">
        <f t="shared" ref="V204:V267" si="44">IFERROR(IF(AND(MONTH(K205)&gt;=6,MONTH(K205)&lt;=9),"Summer","Winter"),"-")</f>
        <v>Winter</v>
      </c>
    </row>
    <row r="205" spans="2:22" hidden="1" outlineLevel="1">
      <c r="B205" s="214">
        <f t="shared" si="34"/>
        <v>51502</v>
      </c>
      <c r="C205" s="215">
        <v>137982.72490090312</v>
      </c>
      <c r="D205" s="216">
        <f>IF(F205&lt;&gt;0,VLOOKUP($J205,'Table 1'!$B$13:$C$33,2,FALSE)/12*1000*Study_MW,0)</f>
        <v>751416.83618041361</v>
      </c>
      <c r="E205" s="216">
        <f t="shared" si="40"/>
        <v>889399.56108131679</v>
      </c>
      <c r="F205" s="215">
        <v>21721.678344020002</v>
      </c>
      <c r="G205" s="218">
        <f t="shared" si="41"/>
        <v>40.945250500229847</v>
      </c>
      <c r="I205" s="219">
        <f t="shared" si="39"/>
        <v>209</v>
      </c>
      <c r="J205" s="220">
        <f t="shared" si="42"/>
        <v>2041</v>
      </c>
      <c r="K205" s="214">
        <f t="shared" si="43"/>
        <v>51502</v>
      </c>
      <c r="M205" s="36"/>
      <c r="V205" s="85" t="str">
        <f t="shared" si="44"/>
        <v>Winter</v>
      </c>
    </row>
    <row r="206" spans="2:22" hidden="1" outlineLevel="1">
      <c r="B206" s="221">
        <f t="shared" ref="B206:B252" si="45">EDATE(B205,1)</f>
        <v>51533</v>
      </c>
      <c r="C206" s="85">
        <v>184602.62646782212</v>
      </c>
      <c r="D206" s="217">
        <f>IF(F206&lt;&gt;0,VLOOKUP($J206,'Table 1'!$B$13:$C$33,2,FALSE)/12*1000*Study_MW,0)</f>
        <v>751416.83618041361</v>
      </c>
      <c r="E206" s="217">
        <f t="shared" si="40"/>
        <v>936019.46264823573</v>
      </c>
      <c r="F206" s="85">
        <v>17114.06280498</v>
      </c>
      <c r="G206" s="222">
        <f t="shared" si="41"/>
        <v>54.693001499086741</v>
      </c>
      <c r="I206" s="223">
        <f t="shared" si="39"/>
        <v>210</v>
      </c>
      <c r="J206" s="220">
        <f t="shared" si="42"/>
        <v>2041</v>
      </c>
      <c r="K206" s="221">
        <f t="shared" si="43"/>
        <v>51533</v>
      </c>
      <c r="M206" s="36"/>
      <c r="V206" s="85" t="str">
        <f t="shared" si="44"/>
        <v>Winter</v>
      </c>
    </row>
    <row r="207" spans="2:22" hidden="1" outlineLevel="1">
      <c r="B207" s="221">
        <f t="shared" si="45"/>
        <v>51561</v>
      </c>
      <c r="C207" s="85">
        <v>89923.62959294951</v>
      </c>
      <c r="D207" s="217">
        <f>IF(F207&lt;&gt;0,VLOOKUP($J207,'Table 1'!$B$13:$C$33,2,FALSE)/12*1000*Study_MW,0)</f>
        <v>751416.83618041361</v>
      </c>
      <c r="E207" s="217">
        <f t="shared" si="40"/>
        <v>841340.46577336313</v>
      </c>
      <c r="F207" s="85">
        <v>18128.276000130001</v>
      </c>
      <c r="G207" s="222">
        <f t="shared" si="41"/>
        <v>46.410395879196109</v>
      </c>
      <c r="I207" s="223">
        <f t="shared" si="39"/>
        <v>211</v>
      </c>
      <c r="J207" s="220">
        <f t="shared" si="42"/>
        <v>2041</v>
      </c>
      <c r="K207" s="221">
        <f t="shared" si="43"/>
        <v>51561</v>
      </c>
      <c r="M207" s="36"/>
      <c r="V207" s="85" t="str">
        <f t="shared" si="44"/>
        <v>Winter</v>
      </c>
    </row>
    <row r="208" spans="2:22" hidden="1" outlineLevel="1">
      <c r="B208" s="221">
        <f t="shared" si="45"/>
        <v>51592</v>
      </c>
      <c r="C208" s="85">
        <v>43318.422596872551</v>
      </c>
      <c r="D208" s="217">
        <f>IF(F208&lt;&gt;0,VLOOKUP($J208,'Table 1'!$B$13:$C$33,2,FALSE)/12*1000*Study_MW,0)</f>
        <v>751416.83618041361</v>
      </c>
      <c r="E208" s="217">
        <f t="shared" si="40"/>
        <v>794735.25877728616</v>
      </c>
      <c r="F208" s="85">
        <v>22846.704080700001</v>
      </c>
      <c r="G208" s="222">
        <f t="shared" si="41"/>
        <v>34.78555401120844</v>
      </c>
      <c r="I208" s="223">
        <f t="shared" si="39"/>
        <v>212</v>
      </c>
      <c r="J208" s="220">
        <f t="shared" si="42"/>
        <v>2041</v>
      </c>
      <c r="K208" s="221">
        <f t="shared" si="43"/>
        <v>51592</v>
      </c>
      <c r="M208" s="36"/>
      <c r="V208" s="85" t="str">
        <f t="shared" si="44"/>
        <v>Winter</v>
      </c>
    </row>
    <row r="209" spans="2:22" hidden="1" outlineLevel="1">
      <c r="B209" s="221">
        <f t="shared" si="45"/>
        <v>51622</v>
      </c>
      <c r="C209" s="85">
        <v>41660.511639243399</v>
      </c>
      <c r="D209" s="217">
        <f>IF(F209&lt;&gt;0,VLOOKUP($J209,'Table 1'!$B$13:$C$33,2,FALSE)/12*1000*Study_MW,0)</f>
        <v>751416.83618041361</v>
      </c>
      <c r="E209" s="217">
        <f t="shared" si="40"/>
        <v>793077.34781965706</v>
      </c>
      <c r="F209" s="85">
        <v>23562.79290335</v>
      </c>
      <c r="G209" s="222">
        <f t="shared" si="41"/>
        <v>33.658036679807282</v>
      </c>
      <c r="I209" s="223">
        <f t="shared" si="39"/>
        <v>213</v>
      </c>
      <c r="J209" s="220">
        <f t="shared" si="42"/>
        <v>2041</v>
      </c>
      <c r="K209" s="221">
        <f t="shared" si="43"/>
        <v>51622</v>
      </c>
      <c r="M209" s="36"/>
      <c r="V209" s="85" t="str">
        <f t="shared" si="44"/>
        <v>Summer</v>
      </c>
    </row>
    <row r="210" spans="2:22" hidden="1" outlineLevel="1">
      <c r="B210" s="221">
        <f t="shared" si="45"/>
        <v>51653</v>
      </c>
      <c r="C210" s="85">
        <v>207270.17245916431</v>
      </c>
      <c r="D210" s="217">
        <f>IF(F210&lt;&gt;0,VLOOKUP($J210,'Table 1'!$B$13:$C$33,2,FALSE)/12*1000*Study_MW,0)</f>
        <v>751416.83618041361</v>
      </c>
      <c r="E210" s="217">
        <f t="shared" si="40"/>
        <v>958687.00863957789</v>
      </c>
      <c r="F210" s="85">
        <v>20755.61726345</v>
      </c>
      <c r="G210" s="222">
        <f t="shared" si="41"/>
        <v>46.189279580125813</v>
      </c>
      <c r="I210" s="223">
        <f t="shared" si="39"/>
        <v>214</v>
      </c>
      <c r="J210" s="220">
        <f t="shared" si="42"/>
        <v>2041</v>
      </c>
      <c r="K210" s="221">
        <f t="shared" si="43"/>
        <v>51653</v>
      </c>
      <c r="M210" s="36"/>
      <c r="V210" s="85" t="str">
        <f t="shared" si="44"/>
        <v>Summer</v>
      </c>
    </row>
    <row r="211" spans="2:22" hidden="1" outlineLevel="1">
      <c r="B211" s="221">
        <f t="shared" si="45"/>
        <v>51683</v>
      </c>
      <c r="C211" s="85">
        <v>11964.25618739886</v>
      </c>
      <c r="D211" s="217">
        <f>IF(F211&lt;&gt;0,VLOOKUP($J211,'Table 1'!$B$13:$C$33,2,FALSE)/12*1000*Study_MW,0)</f>
        <v>751416.83618041361</v>
      </c>
      <c r="E211" s="217">
        <f t="shared" si="40"/>
        <v>763381.09236781253</v>
      </c>
      <c r="F211" s="85">
        <v>11919.739425549998</v>
      </c>
      <c r="G211" s="222">
        <f t="shared" si="41"/>
        <v>64.043437957335101</v>
      </c>
      <c r="I211" s="223">
        <f t="shared" si="39"/>
        <v>215</v>
      </c>
      <c r="J211" s="220">
        <f t="shared" si="42"/>
        <v>2041</v>
      </c>
      <c r="K211" s="221">
        <f t="shared" si="43"/>
        <v>51683</v>
      </c>
      <c r="M211" s="36"/>
      <c r="V211" s="85" t="str">
        <f t="shared" si="44"/>
        <v>Summer</v>
      </c>
    </row>
    <row r="212" spans="2:22" hidden="1" outlineLevel="1">
      <c r="B212" s="221">
        <f t="shared" si="45"/>
        <v>51714</v>
      </c>
      <c r="C212" s="85">
        <v>123589.26168734615</v>
      </c>
      <c r="D212" s="217">
        <f>IF(F212&lt;&gt;0,VLOOKUP($J212,'Table 1'!$B$13:$C$33,2,FALSE)/12*1000*Study_MW,0)</f>
        <v>751416.83618041361</v>
      </c>
      <c r="E212" s="217">
        <f t="shared" si="40"/>
        <v>875006.09786775976</v>
      </c>
      <c r="F212" s="85">
        <v>13400.009111429999</v>
      </c>
      <c r="G212" s="222">
        <f t="shared" si="41"/>
        <v>65.298918126958071</v>
      </c>
      <c r="I212" s="223">
        <f t="shared" si="39"/>
        <v>216</v>
      </c>
      <c r="J212" s="220">
        <f t="shared" si="42"/>
        <v>2041</v>
      </c>
      <c r="K212" s="221">
        <f t="shared" si="43"/>
        <v>51714</v>
      </c>
      <c r="M212" s="36"/>
      <c r="V212" s="85" t="str">
        <f t="shared" si="44"/>
        <v>Summer</v>
      </c>
    </row>
    <row r="213" spans="2:22" hidden="1" outlineLevel="1">
      <c r="B213" s="221">
        <f t="shared" si="45"/>
        <v>51745</v>
      </c>
      <c r="C213" s="85">
        <v>69552.928117394913</v>
      </c>
      <c r="D213" s="217">
        <f>IF(F213&lt;&gt;0,VLOOKUP($J213,'Table 1'!$B$13:$C$33,2,FALSE)/12*1000*Study_MW,0)</f>
        <v>751416.83618041361</v>
      </c>
      <c r="E213" s="217">
        <f t="shared" si="40"/>
        <v>820969.76429780852</v>
      </c>
      <c r="F213" s="85">
        <v>11326.96957904</v>
      </c>
      <c r="G213" s="222">
        <f t="shared" si="41"/>
        <v>72.479206249213618</v>
      </c>
      <c r="I213" s="223">
        <f t="shared" si="39"/>
        <v>217</v>
      </c>
      <c r="J213" s="220">
        <f t="shared" si="42"/>
        <v>2041</v>
      </c>
      <c r="K213" s="221">
        <f t="shared" si="43"/>
        <v>51745</v>
      </c>
      <c r="M213" s="36"/>
      <c r="V213" s="85" t="str">
        <f t="shared" si="44"/>
        <v>Winter</v>
      </c>
    </row>
    <row r="214" spans="2:22" hidden="1" outlineLevel="1">
      <c r="B214" s="221">
        <f t="shared" si="45"/>
        <v>51775</v>
      </c>
      <c r="C214" s="85">
        <v>281782.99013629294</v>
      </c>
      <c r="D214" s="217">
        <f>IF(F214&lt;&gt;0,VLOOKUP($J214,'Table 1'!$B$13:$C$33,2,FALSE)/12*1000*Study_MW,0)</f>
        <v>751416.83618041361</v>
      </c>
      <c r="E214" s="217">
        <f t="shared" si="40"/>
        <v>1033199.8263167066</v>
      </c>
      <c r="F214" s="85">
        <v>23084.924245520004</v>
      </c>
      <c r="G214" s="222">
        <f t="shared" si="41"/>
        <v>44.756474629420346</v>
      </c>
      <c r="I214" s="223">
        <f t="shared" si="39"/>
        <v>218</v>
      </c>
      <c r="J214" s="220">
        <f t="shared" si="42"/>
        <v>2041</v>
      </c>
      <c r="K214" s="221">
        <f t="shared" si="43"/>
        <v>51775</v>
      </c>
      <c r="M214" s="36"/>
      <c r="V214" s="85" t="str">
        <f t="shared" si="44"/>
        <v>Winter</v>
      </c>
    </row>
    <row r="215" spans="2:22" hidden="1" outlineLevel="1">
      <c r="B215" s="221">
        <f t="shared" si="45"/>
        <v>51806</v>
      </c>
      <c r="C215" s="85">
        <v>-46957.934035875951</v>
      </c>
      <c r="D215" s="217">
        <f>IF(F215&lt;&gt;0,VLOOKUP($J215,'Table 1'!$B$13:$C$33,2,FALSE)/12*1000*Study_MW,0)</f>
        <v>751416.83618041361</v>
      </c>
      <c r="E215" s="217">
        <f t="shared" si="40"/>
        <v>704458.90214453766</v>
      </c>
      <c r="F215" s="85">
        <v>16305.06483669</v>
      </c>
      <c r="G215" s="222">
        <f t="shared" si="41"/>
        <v>43.204912657528929</v>
      </c>
      <c r="I215" s="223">
        <f t="shared" si="39"/>
        <v>219</v>
      </c>
      <c r="J215" s="220">
        <f t="shared" si="42"/>
        <v>2041</v>
      </c>
      <c r="K215" s="221">
        <f t="shared" si="43"/>
        <v>51806</v>
      </c>
      <c r="M215" s="36"/>
      <c r="V215" s="85" t="str">
        <f t="shared" si="44"/>
        <v>Winter</v>
      </c>
    </row>
    <row r="216" spans="2:22" hidden="1" outlineLevel="1">
      <c r="B216" s="227">
        <f t="shared" si="45"/>
        <v>51836</v>
      </c>
      <c r="C216" s="228">
        <v>-669161.08980074932</v>
      </c>
      <c r="D216" s="229">
        <f>IF(F216&lt;&gt;0,VLOOKUP($J216,'Table 1'!$B$13:$C$33,2,FALSE)/12*1000*Study_MW,0)</f>
        <v>751416.83618041361</v>
      </c>
      <c r="E216" s="229">
        <f t="shared" si="40"/>
        <v>82255.746379664284</v>
      </c>
      <c r="F216" s="228">
        <v>12330.404052230002</v>
      </c>
      <c r="G216" s="230">
        <f t="shared" si="41"/>
        <v>6.6709692586909197</v>
      </c>
      <c r="I216" s="231">
        <f t="shared" si="39"/>
        <v>220</v>
      </c>
      <c r="J216" s="220">
        <f t="shared" si="42"/>
        <v>2041</v>
      </c>
      <c r="K216" s="227">
        <f t="shared" si="43"/>
        <v>51836</v>
      </c>
      <c r="M216" s="36"/>
      <c r="V216" s="85" t="str">
        <f t="shared" si="44"/>
        <v>Winter</v>
      </c>
    </row>
    <row r="217" spans="2:22" hidden="1" outlineLevel="1">
      <c r="B217" s="214">
        <f t="shared" si="45"/>
        <v>51867</v>
      </c>
      <c r="C217" s="215">
        <v>-214720.30603734311</v>
      </c>
      <c r="D217" s="216">
        <f>IF(F217&lt;&gt;0,VLOOKUP($J217,'Table 1'!$B$13:$C$33,2,FALSE)/12*1000*Study_MW,0)</f>
        <v>767797.72323726933</v>
      </c>
      <c r="E217" s="216">
        <f t="shared" ref="E217:E240" si="46">C217+D217</f>
        <v>553077.41719992622</v>
      </c>
      <c r="F217" s="215">
        <v>16962.172302200001</v>
      </c>
      <c r="G217" s="218">
        <f t="shared" ref="G217:G240" si="47">IF(ISNUMBER($F217),E217/$F217,"")</f>
        <v>32.606520399995695</v>
      </c>
      <c r="I217" s="219">
        <f t="shared" si="39"/>
        <v>222</v>
      </c>
      <c r="J217" s="220">
        <f t="shared" si="42"/>
        <v>2042</v>
      </c>
      <c r="K217" s="214">
        <f t="shared" si="43"/>
        <v>51867</v>
      </c>
      <c r="M217" s="36"/>
      <c r="V217" s="85" t="str">
        <f t="shared" si="44"/>
        <v>Winter</v>
      </c>
    </row>
    <row r="218" spans="2:22" hidden="1" outlineLevel="1">
      <c r="B218" s="221">
        <f t="shared" si="45"/>
        <v>51898</v>
      </c>
      <c r="C218" s="85">
        <v>482894.23274729052</v>
      </c>
      <c r="D218" s="217">
        <f>IF(F218&lt;&gt;0,VLOOKUP($J218,'Table 1'!$B$13:$C$33,2,FALSE)/12*1000*Study_MW,0)</f>
        <v>767797.72323726933</v>
      </c>
      <c r="E218" s="217">
        <f t="shared" si="46"/>
        <v>1250691.9559845598</v>
      </c>
      <c r="F218" s="85">
        <v>20624.67032782</v>
      </c>
      <c r="G218" s="222">
        <f t="shared" si="47"/>
        <v>60.640579272558789</v>
      </c>
      <c r="I218" s="223">
        <f t="shared" si="39"/>
        <v>223</v>
      </c>
      <c r="J218" s="220">
        <f t="shared" si="42"/>
        <v>2042</v>
      </c>
      <c r="K218" s="221">
        <f t="shared" si="43"/>
        <v>51898</v>
      </c>
      <c r="M218" s="36"/>
      <c r="V218" s="85" t="str">
        <f t="shared" si="44"/>
        <v>Winter</v>
      </c>
    </row>
    <row r="219" spans="2:22" hidden="1" outlineLevel="1">
      <c r="B219" s="221">
        <f t="shared" si="45"/>
        <v>51926</v>
      </c>
      <c r="C219" s="85">
        <v>150998.87320172274</v>
      </c>
      <c r="D219" s="217">
        <f>IF(F219&lt;&gt;0,VLOOKUP($J219,'Table 1'!$B$13:$C$33,2,FALSE)/12*1000*Study_MW,0)</f>
        <v>767797.72323726933</v>
      </c>
      <c r="E219" s="217">
        <f t="shared" si="46"/>
        <v>918796.59643899207</v>
      </c>
      <c r="F219" s="85">
        <v>18952.858266089999</v>
      </c>
      <c r="G219" s="222">
        <f t="shared" si="47"/>
        <v>48.477996486834968</v>
      </c>
      <c r="I219" s="223">
        <f t="shared" si="39"/>
        <v>224</v>
      </c>
      <c r="J219" s="220">
        <f t="shared" si="42"/>
        <v>2042</v>
      </c>
      <c r="K219" s="221">
        <f t="shared" si="43"/>
        <v>51926</v>
      </c>
      <c r="M219" s="36"/>
      <c r="V219" s="85" t="str">
        <f t="shared" si="44"/>
        <v>Winter</v>
      </c>
    </row>
    <row r="220" spans="2:22" hidden="1" outlineLevel="1">
      <c r="B220" s="221">
        <f t="shared" si="45"/>
        <v>51957</v>
      </c>
      <c r="C220" s="85">
        <v>81323.432770404906</v>
      </c>
      <c r="D220" s="217">
        <f>IF(F220&lt;&gt;0,VLOOKUP($J220,'Table 1'!$B$13:$C$33,2,FALSE)/12*1000*Study_MW,0)</f>
        <v>767797.72323726933</v>
      </c>
      <c r="E220" s="217">
        <f t="shared" si="46"/>
        <v>849121.15600767429</v>
      </c>
      <c r="F220" s="85">
        <v>19742.419320159999</v>
      </c>
      <c r="G220" s="222">
        <f t="shared" si="47"/>
        <v>43.009984857357026</v>
      </c>
      <c r="I220" s="223">
        <f t="shared" si="39"/>
        <v>225</v>
      </c>
      <c r="J220" s="220">
        <f t="shared" si="42"/>
        <v>2042</v>
      </c>
      <c r="K220" s="221">
        <f t="shared" si="43"/>
        <v>51957</v>
      </c>
      <c r="M220" s="36"/>
      <c r="V220" s="85" t="str">
        <f t="shared" si="44"/>
        <v>Winter</v>
      </c>
    </row>
    <row r="221" spans="2:22" hidden="1" outlineLevel="1">
      <c r="B221" s="221">
        <f t="shared" si="45"/>
        <v>51987</v>
      </c>
      <c r="C221" s="85">
        <v>135870.18994833488</v>
      </c>
      <c r="D221" s="217">
        <f>IF(F221&lt;&gt;0,VLOOKUP($J221,'Table 1'!$B$13:$C$33,2,FALSE)/12*1000*Study_MW,0)</f>
        <v>767797.72323726933</v>
      </c>
      <c r="E221" s="217">
        <f t="shared" si="46"/>
        <v>903667.91318560415</v>
      </c>
      <c r="F221" s="85">
        <v>22480.287469800009</v>
      </c>
      <c r="G221" s="222">
        <f t="shared" si="47"/>
        <v>40.198236539438852</v>
      </c>
      <c r="I221" s="223">
        <f t="shared" si="39"/>
        <v>226</v>
      </c>
      <c r="J221" s="220">
        <f t="shared" si="42"/>
        <v>2042</v>
      </c>
      <c r="K221" s="221">
        <f t="shared" si="43"/>
        <v>51987</v>
      </c>
      <c r="M221" s="36"/>
      <c r="V221" s="85" t="str">
        <f t="shared" si="44"/>
        <v>Summer</v>
      </c>
    </row>
    <row r="222" spans="2:22" hidden="1" outlineLevel="1">
      <c r="B222" s="221">
        <f t="shared" si="45"/>
        <v>52018</v>
      </c>
      <c r="C222" s="85">
        <v>203574.74962626293</v>
      </c>
      <c r="D222" s="217">
        <f>IF(F222&lt;&gt;0,VLOOKUP($J222,'Table 1'!$B$13:$C$33,2,FALSE)/12*1000*Study_MW,0)</f>
        <v>767797.72323726933</v>
      </c>
      <c r="E222" s="217">
        <f t="shared" si="46"/>
        <v>971372.47286353225</v>
      </c>
      <c r="F222" s="85">
        <v>21828.513316659995</v>
      </c>
      <c r="G222" s="222">
        <f t="shared" si="47"/>
        <v>44.500166308722441</v>
      </c>
      <c r="I222" s="223">
        <f t="shared" si="39"/>
        <v>227</v>
      </c>
      <c r="J222" s="220">
        <f t="shared" si="42"/>
        <v>2042</v>
      </c>
      <c r="K222" s="221">
        <f t="shared" si="43"/>
        <v>52018</v>
      </c>
      <c r="M222" s="36"/>
      <c r="V222" s="85" t="str">
        <f t="shared" si="44"/>
        <v>Summer</v>
      </c>
    </row>
    <row r="223" spans="2:22" hidden="1" outlineLevel="1">
      <c r="B223" s="221">
        <f t="shared" si="45"/>
        <v>52048</v>
      </c>
      <c r="C223" s="85">
        <v>202361.22908708057</v>
      </c>
      <c r="D223" s="217">
        <f>IF(F223&lt;&gt;0,VLOOKUP($J223,'Table 1'!$B$13:$C$33,2,FALSE)/12*1000*Study_MW,0)</f>
        <v>767797.72323726933</v>
      </c>
      <c r="E223" s="217">
        <f t="shared" si="46"/>
        <v>970158.9523243499</v>
      </c>
      <c r="F223" s="85">
        <v>15662.846689080001</v>
      </c>
      <c r="G223" s="222">
        <f t="shared" si="47"/>
        <v>61.940142273162657</v>
      </c>
      <c r="I223" s="223">
        <f t="shared" si="39"/>
        <v>228</v>
      </c>
      <c r="J223" s="220">
        <f t="shared" si="42"/>
        <v>2042</v>
      </c>
      <c r="K223" s="221">
        <f t="shared" si="43"/>
        <v>52048</v>
      </c>
      <c r="M223" s="36"/>
      <c r="V223" s="85" t="str">
        <f t="shared" si="44"/>
        <v>Summer</v>
      </c>
    </row>
    <row r="224" spans="2:22" hidden="1" outlineLevel="1">
      <c r="B224" s="221">
        <f t="shared" si="45"/>
        <v>52079</v>
      </c>
      <c r="C224" s="85">
        <v>27979.558206774527</v>
      </c>
      <c r="D224" s="217">
        <f>IF(F224&lt;&gt;0,VLOOKUP($J224,'Table 1'!$B$13:$C$33,2,FALSE)/12*1000*Study_MW,0)</f>
        <v>767797.72323726933</v>
      </c>
      <c r="E224" s="217">
        <f t="shared" si="46"/>
        <v>795777.28144404385</v>
      </c>
      <c r="F224" s="85">
        <v>11824.751846509998</v>
      </c>
      <c r="G224" s="222">
        <f t="shared" si="47"/>
        <v>67.297588293906784</v>
      </c>
      <c r="I224" s="223">
        <f t="shared" si="39"/>
        <v>229</v>
      </c>
      <c r="J224" s="220">
        <f t="shared" si="42"/>
        <v>2042</v>
      </c>
      <c r="K224" s="221">
        <f t="shared" si="43"/>
        <v>52079</v>
      </c>
      <c r="M224" s="36"/>
      <c r="V224" s="85" t="str">
        <f t="shared" si="44"/>
        <v>Summer</v>
      </c>
    </row>
    <row r="225" spans="2:22" hidden="1" outlineLevel="1">
      <c r="B225" s="221">
        <f t="shared" si="45"/>
        <v>52110</v>
      </c>
      <c r="C225" s="85">
        <v>208802.19761794433</v>
      </c>
      <c r="D225" s="217">
        <f>IF(F225&lt;&gt;0,VLOOKUP($J225,'Table 1'!$B$13:$C$33,2,FALSE)/12*1000*Study_MW,0)</f>
        <v>767797.72323726933</v>
      </c>
      <c r="E225" s="217">
        <f t="shared" si="46"/>
        <v>976599.92085521366</v>
      </c>
      <c r="F225" s="85">
        <v>12170.57831556</v>
      </c>
      <c r="G225" s="222">
        <f t="shared" si="47"/>
        <v>80.242688188994066</v>
      </c>
      <c r="I225" s="223">
        <f t="shared" si="39"/>
        <v>230</v>
      </c>
      <c r="J225" s="220">
        <f t="shared" si="42"/>
        <v>2042</v>
      </c>
      <c r="K225" s="221">
        <f t="shared" si="43"/>
        <v>52110</v>
      </c>
      <c r="M225" s="36"/>
      <c r="V225" s="85" t="str">
        <f t="shared" si="44"/>
        <v>Winter</v>
      </c>
    </row>
    <row r="226" spans="2:22" hidden="1" outlineLevel="1">
      <c r="B226" s="221">
        <f t="shared" si="45"/>
        <v>52140</v>
      </c>
      <c r="C226" s="85">
        <v>242833.63509201445</v>
      </c>
      <c r="D226" s="217">
        <f>IF(F226&lt;&gt;0,VLOOKUP($J226,'Table 1'!$B$13:$C$33,2,FALSE)/12*1000*Study_MW,0)</f>
        <v>767797.72323726933</v>
      </c>
      <c r="E226" s="217">
        <f t="shared" si="46"/>
        <v>1010631.3583292838</v>
      </c>
      <c r="F226" s="85">
        <v>23527.343133190003</v>
      </c>
      <c r="G226" s="222">
        <f t="shared" si="47"/>
        <v>42.955609250395426</v>
      </c>
      <c r="I226" s="223">
        <f t="shared" si="39"/>
        <v>231</v>
      </c>
      <c r="J226" s="220">
        <f t="shared" si="42"/>
        <v>2042</v>
      </c>
      <c r="K226" s="221">
        <f t="shared" si="43"/>
        <v>52140</v>
      </c>
      <c r="M226" s="36"/>
      <c r="V226" s="85" t="str">
        <f t="shared" si="44"/>
        <v>Winter</v>
      </c>
    </row>
    <row r="227" spans="2:22" hidden="1" outlineLevel="1">
      <c r="B227" s="221">
        <f t="shared" si="45"/>
        <v>52171</v>
      </c>
      <c r="C227" s="85">
        <v>-172999.61545443512</v>
      </c>
      <c r="D227" s="217">
        <f>IF(F227&lt;&gt;0,VLOOKUP($J227,'Table 1'!$B$13:$C$33,2,FALSE)/12*1000*Study_MW,0)</f>
        <v>767797.72323726933</v>
      </c>
      <c r="E227" s="217">
        <f t="shared" si="46"/>
        <v>594798.10778283421</v>
      </c>
      <c r="F227" s="85">
        <v>13776.181571250001</v>
      </c>
      <c r="G227" s="222">
        <f t="shared" si="47"/>
        <v>43.175832483519187</v>
      </c>
      <c r="I227" s="223">
        <f t="shared" si="39"/>
        <v>232</v>
      </c>
      <c r="J227" s="220">
        <f t="shared" si="42"/>
        <v>2042</v>
      </c>
      <c r="K227" s="221">
        <f t="shared" si="43"/>
        <v>52171</v>
      </c>
      <c r="M227" s="36"/>
      <c r="V227" s="85" t="str">
        <f t="shared" si="44"/>
        <v>Winter</v>
      </c>
    </row>
    <row r="228" spans="2:22" hidden="1" outlineLevel="1">
      <c r="B228" s="227">
        <f t="shared" si="45"/>
        <v>52201</v>
      </c>
      <c r="C228" s="228">
        <v>-558796.36690960615</v>
      </c>
      <c r="D228" s="229">
        <f>IF(F228&lt;&gt;0,VLOOKUP($J228,'Table 1'!$B$13:$C$33,2,FALSE)/12*1000*Study_MW,0)</f>
        <v>767797.72323726933</v>
      </c>
      <c r="E228" s="229">
        <f t="shared" si="46"/>
        <v>209001.35632766318</v>
      </c>
      <c r="F228" s="228">
        <v>15062.96191575</v>
      </c>
      <c r="G228" s="230">
        <f t="shared" si="47"/>
        <v>13.875183214074852</v>
      </c>
      <c r="I228" s="231">
        <f t="shared" si="39"/>
        <v>233</v>
      </c>
      <c r="J228" s="220">
        <f t="shared" si="42"/>
        <v>2042</v>
      </c>
      <c r="K228" s="227">
        <f t="shared" si="43"/>
        <v>52201</v>
      </c>
      <c r="M228" s="36"/>
      <c r="V228" s="85" t="str">
        <f t="shared" si="44"/>
        <v>Winter</v>
      </c>
    </row>
    <row r="229" spans="2:22" hidden="1" outlineLevel="1">
      <c r="B229" s="214">
        <f t="shared" si="45"/>
        <v>52232</v>
      </c>
      <c r="C229" s="215">
        <v>-415902.60357005172</v>
      </c>
      <c r="D229" s="216">
        <f>IF(F229&lt;&gt;0,VLOOKUP($J229,'Table 1'!$B$13:$C$33,2,FALSE)/12*1000*Study_MW,0)</f>
        <v>784535.71384277917</v>
      </c>
      <c r="E229" s="216">
        <f t="shared" si="46"/>
        <v>368633.11027272744</v>
      </c>
      <c r="F229" s="215">
        <v>17943.308888460004</v>
      </c>
      <c r="G229" s="218">
        <f t="shared" si="47"/>
        <v>20.544321705892767</v>
      </c>
      <c r="I229" s="219">
        <f t="shared" si="39"/>
        <v>235</v>
      </c>
      <c r="J229" s="220">
        <f t="shared" si="42"/>
        <v>2043</v>
      </c>
      <c r="K229" s="214">
        <f t="shared" si="43"/>
        <v>52232</v>
      </c>
      <c r="M229" s="36"/>
      <c r="V229" s="85" t="str">
        <f t="shared" si="44"/>
        <v>Winter</v>
      </c>
    </row>
    <row r="230" spans="2:22" hidden="1" outlineLevel="1">
      <c r="B230" s="221">
        <f t="shared" si="45"/>
        <v>52263</v>
      </c>
      <c r="C230" s="85">
        <v>639002.93434155174</v>
      </c>
      <c r="D230" s="217">
        <f>IF(F230&lt;&gt;0,VLOOKUP($J230,'Table 1'!$B$13:$C$33,2,FALSE)/12*1000*Study_MW,0)</f>
        <v>784535.71384277917</v>
      </c>
      <c r="E230" s="217">
        <f t="shared" si="46"/>
        <v>1423538.6481843309</v>
      </c>
      <c r="F230" s="85">
        <v>20134.57358511</v>
      </c>
      <c r="G230" s="222">
        <f t="shared" si="47"/>
        <v>70.701206666580305</v>
      </c>
      <c r="I230" s="223">
        <f t="shared" si="39"/>
        <v>236</v>
      </c>
      <c r="J230" s="220">
        <f t="shared" si="42"/>
        <v>2043</v>
      </c>
      <c r="K230" s="221">
        <f t="shared" si="43"/>
        <v>52263</v>
      </c>
      <c r="M230" s="36"/>
      <c r="V230" s="85" t="str">
        <f t="shared" si="44"/>
        <v>Winter</v>
      </c>
    </row>
    <row r="231" spans="2:22" hidden="1" outlineLevel="1">
      <c r="B231" s="221">
        <f t="shared" si="45"/>
        <v>52291</v>
      </c>
      <c r="C231" s="85">
        <v>76170.050496133626</v>
      </c>
      <c r="D231" s="217">
        <f>IF(F231&lt;&gt;0,VLOOKUP($J231,'Table 1'!$B$13:$C$33,2,FALSE)/12*1000*Study_MW,0)</f>
        <v>784535.71384277917</v>
      </c>
      <c r="E231" s="217">
        <f t="shared" si="46"/>
        <v>860705.76433891279</v>
      </c>
      <c r="F231" s="85">
        <v>18349.125429259999</v>
      </c>
      <c r="G231" s="222">
        <f t="shared" si="47"/>
        <v>46.90718190668688</v>
      </c>
      <c r="I231" s="223">
        <f t="shared" si="39"/>
        <v>237</v>
      </c>
      <c r="J231" s="220">
        <f t="shared" si="42"/>
        <v>2043</v>
      </c>
      <c r="K231" s="221">
        <f t="shared" si="43"/>
        <v>52291</v>
      </c>
      <c r="M231" s="36"/>
      <c r="V231" s="85" t="str">
        <f t="shared" si="44"/>
        <v>Winter</v>
      </c>
    </row>
    <row r="232" spans="2:22" hidden="1" outlineLevel="1">
      <c r="B232" s="221">
        <f t="shared" si="45"/>
        <v>52322</v>
      </c>
      <c r="C232" s="85">
        <v>91237.967145105358</v>
      </c>
      <c r="D232" s="217">
        <f>IF(F232&lt;&gt;0,VLOOKUP($J232,'Table 1'!$B$13:$C$33,2,FALSE)/12*1000*Study_MW,0)</f>
        <v>784535.71384277917</v>
      </c>
      <c r="E232" s="217">
        <f t="shared" si="46"/>
        <v>875773.68098788452</v>
      </c>
      <c r="F232" s="85">
        <v>20661.518720159998</v>
      </c>
      <c r="G232" s="222">
        <f t="shared" si="47"/>
        <v>42.386704135808209</v>
      </c>
      <c r="I232" s="223">
        <f t="shared" si="39"/>
        <v>238</v>
      </c>
      <c r="J232" s="220">
        <f t="shared" si="42"/>
        <v>2043</v>
      </c>
      <c r="K232" s="221">
        <f t="shared" si="43"/>
        <v>52322</v>
      </c>
      <c r="M232" s="36"/>
      <c r="V232" s="85" t="str">
        <f t="shared" si="44"/>
        <v>Winter</v>
      </c>
    </row>
    <row r="233" spans="2:22" hidden="1" outlineLevel="1">
      <c r="B233" s="221">
        <f t="shared" si="45"/>
        <v>52352</v>
      </c>
      <c r="C233" s="85">
        <v>190372.79071794183</v>
      </c>
      <c r="D233" s="217">
        <f>IF(F233&lt;&gt;0,VLOOKUP($J233,'Table 1'!$B$13:$C$33,2,FALSE)/12*1000*Study_MW,0)</f>
        <v>784535.71384277917</v>
      </c>
      <c r="E233" s="217">
        <f t="shared" si="46"/>
        <v>974908.50456072099</v>
      </c>
      <c r="F233" s="85">
        <v>22464.29332414001</v>
      </c>
      <c r="G233" s="222">
        <f t="shared" si="47"/>
        <v>43.398138124963381</v>
      </c>
      <c r="I233" s="223">
        <f t="shared" si="39"/>
        <v>239</v>
      </c>
      <c r="J233" s="220">
        <f t="shared" si="42"/>
        <v>2043</v>
      </c>
      <c r="K233" s="221">
        <f t="shared" si="43"/>
        <v>52352</v>
      </c>
      <c r="M233" s="36"/>
      <c r="V233" s="85" t="str">
        <f t="shared" si="44"/>
        <v>Summer</v>
      </c>
    </row>
    <row r="234" spans="2:22" hidden="1" outlineLevel="1">
      <c r="B234" s="221">
        <f t="shared" si="45"/>
        <v>52383</v>
      </c>
      <c r="C234" s="85">
        <v>224197.52456356946</v>
      </c>
      <c r="D234" s="217">
        <f>IF(F234&lt;&gt;0,VLOOKUP($J234,'Table 1'!$B$13:$C$33,2,FALSE)/12*1000*Study_MW,0)</f>
        <v>784535.71384277917</v>
      </c>
      <c r="E234" s="217">
        <f t="shared" si="46"/>
        <v>1008733.2384063486</v>
      </c>
      <c r="F234" s="85">
        <v>21524.017336009998</v>
      </c>
      <c r="G234" s="222">
        <f t="shared" si="47"/>
        <v>46.865472307473155</v>
      </c>
      <c r="I234" s="223">
        <f t="shared" si="39"/>
        <v>240</v>
      </c>
      <c r="J234" s="220">
        <f t="shared" si="42"/>
        <v>2043</v>
      </c>
      <c r="K234" s="221">
        <f t="shared" si="43"/>
        <v>52383</v>
      </c>
      <c r="M234" s="36"/>
      <c r="V234" s="85" t="str">
        <f t="shared" si="44"/>
        <v>Summer</v>
      </c>
    </row>
    <row r="235" spans="2:22" hidden="1" outlineLevel="1">
      <c r="B235" s="221">
        <f t="shared" si="45"/>
        <v>52413</v>
      </c>
      <c r="C235" s="85">
        <v>247660.24233400822</v>
      </c>
      <c r="D235" s="217">
        <f>IF(F235&lt;&gt;0,VLOOKUP($J235,'Table 1'!$B$13:$C$33,2,FALSE)/12*1000*Study_MW,0)</f>
        <v>784535.71384277917</v>
      </c>
      <c r="E235" s="217">
        <f t="shared" si="46"/>
        <v>1032195.9561767874</v>
      </c>
      <c r="F235" s="85">
        <v>15147.51103519</v>
      </c>
      <c r="G235" s="222">
        <f t="shared" si="47"/>
        <v>68.142941357087466</v>
      </c>
      <c r="I235" s="223">
        <f t="shared" si="39"/>
        <v>241</v>
      </c>
      <c r="J235" s="220">
        <f t="shared" si="42"/>
        <v>2043</v>
      </c>
      <c r="K235" s="221">
        <f t="shared" si="43"/>
        <v>52413</v>
      </c>
      <c r="M235" s="36"/>
      <c r="V235" s="85" t="str">
        <f t="shared" si="44"/>
        <v>Summer</v>
      </c>
    </row>
    <row r="236" spans="2:22" hidden="1" outlineLevel="1">
      <c r="B236" s="221">
        <f t="shared" si="45"/>
        <v>52444</v>
      </c>
      <c r="C236" s="85">
        <v>95447.866583272116</v>
      </c>
      <c r="D236" s="217">
        <f>IF(F236&lt;&gt;0,VLOOKUP($J236,'Table 1'!$B$13:$C$33,2,FALSE)/12*1000*Study_MW,0)</f>
        <v>784535.71384277917</v>
      </c>
      <c r="E236" s="217">
        <f t="shared" si="46"/>
        <v>879983.58042605128</v>
      </c>
      <c r="F236" s="85">
        <v>12548.558045939999</v>
      </c>
      <c r="G236" s="222">
        <f t="shared" si="47"/>
        <v>70.126270859524297</v>
      </c>
      <c r="I236" s="223">
        <f t="shared" si="39"/>
        <v>242</v>
      </c>
      <c r="J236" s="220">
        <f t="shared" si="42"/>
        <v>2043</v>
      </c>
      <c r="K236" s="221">
        <f t="shared" si="43"/>
        <v>52444</v>
      </c>
      <c r="M236" s="36"/>
      <c r="V236" s="85" t="str">
        <f t="shared" si="44"/>
        <v>Summer</v>
      </c>
    </row>
    <row r="237" spans="2:22" hidden="1" outlineLevel="1">
      <c r="B237" s="221">
        <f t="shared" si="45"/>
        <v>52475</v>
      </c>
      <c r="C237" s="85">
        <v>153151.08271321515</v>
      </c>
      <c r="D237" s="217">
        <f>IF(F237&lt;&gt;0,VLOOKUP($J237,'Table 1'!$B$13:$C$33,2,FALSE)/12*1000*Study_MW,0)</f>
        <v>784535.71384277917</v>
      </c>
      <c r="E237" s="217">
        <f t="shared" si="46"/>
        <v>937686.79655599431</v>
      </c>
      <c r="F237" s="85">
        <v>12296.434959349997</v>
      </c>
      <c r="G237" s="222">
        <f t="shared" si="47"/>
        <v>76.256801231888218</v>
      </c>
      <c r="I237" s="223">
        <f t="shared" si="39"/>
        <v>243</v>
      </c>
      <c r="J237" s="220">
        <f t="shared" si="42"/>
        <v>2043</v>
      </c>
      <c r="K237" s="221">
        <f t="shared" si="43"/>
        <v>52475</v>
      </c>
      <c r="M237" s="36"/>
      <c r="V237" s="85" t="str">
        <f t="shared" si="44"/>
        <v>Winter</v>
      </c>
    </row>
    <row r="238" spans="2:22" hidden="1" outlineLevel="1">
      <c r="B238" s="221">
        <f t="shared" si="45"/>
        <v>52505</v>
      </c>
      <c r="C238" s="85">
        <v>155680.16234193055</v>
      </c>
      <c r="D238" s="217">
        <f>IF(F238&lt;&gt;0,VLOOKUP($J238,'Table 1'!$B$13:$C$33,2,FALSE)/12*1000*Study_MW,0)</f>
        <v>784535.71384277917</v>
      </c>
      <c r="E238" s="217">
        <f t="shared" si="46"/>
        <v>940215.87618470972</v>
      </c>
      <c r="F238" s="85">
        <v>22788.968736790001</v>
      </c>
      <c r="G238" s="222">
        <f t="shared" si="47"/>
        <v>41.257499935345749</v>
      </c>
      <c r="I238" s="223">
        <f t="shared" si="39"/>
        <v>244</v>
      </c>
      <c r="J238" s="220">
        <f t="shared" si="42"/>
        <v>2043</v>
      </c>
      <c r="K238" s="221">
        <f t="shared" si="43"/>
        <v>52505</v>
      </c>
      <c r="M238" s="36"/>
      <c r="V238" s="85" t="str">
        <f t="shared" si="44"/>
        <v>Winter</v>
      </c>
    </row>
    <row r="239" spans="2:22" hidden="1" outlineLevel="1">
      <c r="B239" s="221">
        <f t="shared" si="45"/>
        <v>52536</v>
      </c>
      <c r="C239" s="85">
        <v>-508445.2849314257</v>
      </c>
      <c r="D239" s="217">
        <f>IF(F239&lt;&gt;0,VLOOKUP($J239,'Table 1'!$B$13:$C$33,2,FALSE)/12*1000*Study_MW,0)</f>
        <v>784535.71384277917</v>
      </c>
      <c r="E239" s="217">
        <f t="shared" si="46"/>
        <v>276090.42891135346</v>
      </c>
      <c r="F239" s="85">
        <v>13895.100906430001</v>
      </c>
      <c r="G239" s="222">
        <f t="shared" si="47"/>
        <v>19.869623889063789</v>
      </c>
      <c r="I239" s="223">
        <f t="shared" si="39"/>
        <v>245</v>
      </c>
      <c r="J239" s="220">
        <f t="shared" si="42"/>
        <v>2043</v>
      </c>
      <c r="K239" s="221">
        <f t="shared" si="43"/>
        <v>52536</v>
      </c>
      <c r="M239" s="36"/>
      <c r="V239" s="85" t="str">
        <f t="shared" si="44"/>
        <v>Winter</v>
      </c>
    </row>
    <row r="240" spans="2:22" hidden="1" outlineLevel="1">
      <c r="B240" s="227">
        <f t="shared" si="45"/>
        <v>52566</v>
      </c>
      <c r="C240" s="228">
        <v>55432.111163274385</v>
      </c>
      <c r="D240" s="229">
        <f>IF(F240&lt;&gt;0,VLOOKUP($J240,'Table 1'!$B$13:$C$33,2,FALSE)/12*1000*Study_MW,0)</f>
        <v>784535.71384277917</v>
      </c>
      <c r="E240" s="229">
        <f t="shared" si="46"/>
        <v>839967.82500605355</v>
      </c>
      <c r="F240" s="228">
        <v>14819.763973179999</v>
      </c>
      <c r="G240" s="230">
        <f t="shared" si="47"/>
        <v>56.678893572541476</v>
      </c>
      <c r="I240" s="231">
        <f t="shared" si="39"/>
        <v>246</v>
      </c>
      <c r="J240" s="220">
        <f t="shared" si="42"/>
        <v>2043</v>
      </c>
      <c r="K240" s="227">
        <f t="shared" si="43"/>
        <v>52566</v>
      </c>
      <c r="M240" s="36"/>
      <c r="V240" s="85" t="str">
        <f t="shared" si="44"/>
        <v>Winter</v>
      </c>
    </row>
    <row r="241" spans="2:22" collapsed="1">
      <c r="B241" s="214">
        <f t="shared" si="45"/>
        <v>52597</v>
      </c>
      <c r="C241" s="215">
        <v>-195462.63923519291</v>
      </c>
      <c r="D241" s="216">
        <f>IF(F241&lt;&gt;0,VLOOKUP($J241,'Table 1'!$B$13:$C$33,2,FALSE)/12*1000*Study_MW,0)</f>
        <v>801638.59220946487</v>
      </c>
      <c r="E241" s="216">
        <f t="shared" ref="E241:E252" si="48">C241+D241</f>
        <v>606175.95297427196</v>
      </c>
      <c r="F241" s="215">
        <v>18859.187018470002</v>
      </c>
      <c r="G241" s="218">
        <f t="shared" ref="G241:G252" si="49">IF(ISNUMBER($F241),E241/$F241,"")</f>
        <v>32.142210180142193</v>
      </c>
      <c r="I241" s="219">
        <f t="shared" si="39"/>
        <v>248</v>
      </c>
      <c r="J241" s="220">
        <f t="shared" ref="J241:J252" si="50">YEAR(B241)</f>
        <v>2044</v>
      </c>
      <c r="K241" s="214">
        <f t="shared" ref="K241:K252" si="51">IF(ISNUMBER(F241),IF(F241&lt;&gt;0,B241,""),"")</f>
        <v>52597</v>
      </c>
      <c r="M241" s="36"/>
      <c r="V241" s="85" t="str">
        <f t="shared" si="44"/>
        <v>Winter</v>
      </c>
    </row>
    <row r="242" spans="2:22">
      <c r="B242" s="221">
        <f t="shared" si="45"/>
        <v>52628</v>
      </c>
      <c r="C242" s="85">
        <v>589360.39320510463</v>
      </c>
      <c r="D242" s="217">
        <f>IF(F242&lt;&gt;0,VLOOKUP($J242,'Table 1'!$B$13:$C$33,2,FALSE)/12*1000*Study_MW,0)</f>
        <v>801638.59220946487</v>
      </c>
      <c r="E242" s="217">
        <f t="shared" si="48"/>
        <v>1390998.9854145695</v>
      </c>
      <c r="F242" s="85">
        <v>19304.138292299998</v>
      </c>
      <c r="G242" s="222">
        <f t="shared" si="49"/>
        <v>72.057035872427875</v>
      </c>
      <c r="I242" s="223">
        <f t="shared" si="39"/>
        <v>249</v>
      </c>
      <c r="J242" s="220">
        <f t="shared" si="50"/>
        <v>2044</v>
      </c>
      <c r="K242" s="221">
        <f t="shared" si="51"/>
        <v>52628</v>
      </c>
      <c r="M242" s="36"/>
      <c r="V242" s="85" t="str">
        <f t="shared" si="44"/>
        <v>Winter</v>
      </c>
    </row>
    <row r="243" spans="2:22">
      <c r="B243" s="221">
        <f t="shared" si="45"/>
        <v>52657</v>
      </c>
      <c r="C243" s="85">
        <v>65479.308046094957</v>
      </c>
      <c r="D243" s="217">
        <f>IF(F243&lt;&gt;0,VLOOKUP($J243,'Table 1'!$B$13:$C$33,2,FALSE)/12*1000*Study_MW,0)</f>
        <v>801638.59220946487</v>
      </c>
      <c r="E243" s="217">
        <f t="shared" si="48"/>
        <v>867117.90025555983</v>
      </c>
      <c r="F243" s="85">
        <v>17956.003675159998</v>
      </c>
      <c r="G243" s="222">
        <f t="shared" si="49"/>
        <v>48.291252103891836</v>
      </c>
      <c r="I243" s="223">
        <f t="shared" si="39"/>
        <v>250</v>
      </c>
      <c r="J243" s="220">
        <f t="shared" si="50"/>
        <v>2044</v>
      </c>
      <c r="K243" s="221">
        <f t="shared" si="51"/>
        <v>52657</v>
      </c>
      <c r="M243" s="36"/>
      <c r="V243" s="85" t="str">
        <f t="shared" si="44"/>
        <v>Winter</v>
      </c>
    </row>
    <row r="244" spans="2:22">
      <c r="B244" s="221">
        <f t="shared" si="45"/>
        <v>52688</v>
      </c>
      <c r="C244" s="85">
        <v>37400.637612954597</v>
      </c>
      <c r="D244" s="217">
        <f>IF(F244&lt;&gt;0,VLOOKUP($J244,'Table 1'!$B$13:$C$33,2,FALSE)/12*1000*Study_MW,0)</f>
        <v>801638.59220946487</v>
      </c>
      <c r="E244" s="217">
        <f t="shared" si="48"/>
        <v>839039.22982241947</v>
      </c>
      <c r="F244" s="85">
        <v>22296.220530250001</v>
      </c>
      <c r="G244" s="222">
        <f t="shared" si="49"/>
        <v>37.631455460537268</v>
      </c>
      <c r="I244" s="223">
        <f t="shared" si="39"/>
        <v>251</v>
      </c>
      <c r="J244" s="220">
        <f t="shared" si="50"/>
        <v>2044</v>
      </c>
      <c r="K244" s="221">
        <f t="shared" si="51"/>
        <v>52688</v>
      </c>
      <c r="M244" s="36"/>
      <c r="V244" s="85" t="str">
        <f t="shared" si="44"/>
        <v>Winter</v>
      </c>
    </row>
    <row r="245" spans="2:22">
      <c r="B245" s="221">
        <f t="shared" si="45"/>
        <v>52718</v>
      </c>
      <c r="C245" s="85">
        <v>177516.41261857003</v>
      </c>
      <c r="D245" s="217">
        <f>IF(F245&lt;&gt;0,VLOOKUP($J245,'Table 1'!$B$13:$C$33,2,FALSE)/12*1000*Study_MW,0)</f>
        <v>801638.59220946487</v>
      </c>
      <c r="E245" s="217">
        <f t="shared" si="48"/>
        <v>979155.0048280349</v>
      </c>
      <c r="F245" s="85">
        <v>22706.788430020009</v>
      </c>
      <c r="G245" s="222">
        <f t="shared" si="49"/>
        <v>43.121686179694237</v>
      </c>
      <c r="I245" s="223">
        <f t="shared" si="39"/>
        <v>252</v>
      </c>
      <c r="J245" s="220">
        <f t="shared" si="50"/>
        <v>2044</v>
      </c>
      <c r="K245" s="221">
        <f t="shared" si="51"/>
        <v>52718</v>
      </c>
      <c r="M245" s="36"/>
      <c r="V245" s="85" t="str">
        <f t="shared" si="44"/>
        <v>Summer</v>
      </c>
    </row>
    <row r="246" spans="2:22">
      <c r="B246" s="221">
        <f t="shared" si="45"/>
        <v>52749</v>
      </c>
      <c r="C246" s="85">
        <v>103748.05542780086</v>
      </c>
      <c r="D246" s="217">
        <f>IF(F246&lt;&gt;0,VLOOKUP($J246,'Table 1'!$B$13:$C$33,2,FALSE)/12*1000*Study_MW,0)</f>
        <v>801638.59220946487</v>
      </c>
      <c r="E246" s="217">
        <f t="shared" si="48"/>
        <v>905386.64763726573</v>
      </c>
      <c r="F246" s="85">
        <v>21745.812183619997</v>
      </c>
      <c r="G246" s="222">
        <f t="shared" si="49"/>
        <v>41.63498884255273</v>
      </c>
      <c r="I246" s="223">
        <f t="shared" si="39"/>
        <v>253</v>
      </c>
      <c r="J246" s="220">
        <f t="shared" si="50"/>
        <v>2044</v>
      </c>
      <c r="K246" s="221">
        <f t="shared" si="51"/>
        <v>52749</v>
      </c>
      <c r="M246" s="36"/>
      <c r="V246" s="85" t="str">
        <f t="shared" si="44"/>
        <v>Summer</v>
      </c>
    </row>
    <row r="247" spans="2:22">
      <c r="B247" s="221">
        <f t="shared" si="45"/>
        <v>52779</v>
      </c>
      <c r="C247" s="85">
        <v>133317.92025046889</v>
      </c>
      <c r="D247" s="217">
        <f>IF(F247&lt;&gt;0,VLOOKUP($J247,'Table 1'!$B$13:$C$33,2,FALSE)/12*1000*Study_MW,0)</f>
        <v>801638.59220946487</v>
      </c>
      <c r="E247" s="217">
        <f t="shared" si="48"/>
        <v>934956.51245993376</v>
      </c>
      <c r="F247" s="85">
        <v>13611.277785999999</v>
      </c>
      <c r="G247" s="222">
        <f t="shared" si="49"/>
        <v>68.689841406483652</v>
      </c>
      <c r="I247" s="223">
        <f t="shared" si="39"/>
        <v>254</v>
      </c>
      <c r="J247" s="220">
        <f t="shared" si="50"/>
        <v>2044</v>
      </c>
      <c r="K247" s="221">
        <f t="shared" si="51"/>
        <v>52779</v>
      </c>
      <c r="M247" s="36"/>
      <c r="V247" s="85" t="str">
        <f t="shared" si="44"/>
        <v>Summer</v>
      </c>
    </row>
    <row r="248" spans="2:22">
      <c r="B248" s="221">
        <f t="shared" si="45"/>
        <v>52810</v>
      </c>
      <c r="C248" s="85">
        <v>68253.725400747498</v>
      </c>
      <c r="D248" s="217">
        <f>IF(F248&lt;&gt;0,VLOOKUP($J248,'Table 1'!$B$13:$C$33,2,FALSE)/12*1000*Study_MW,0)</f>
        <v>801638.59220946487</v>
      </c>
      <c r="E248" s="217">
        <f t="shared" si="48"/>
        <v>869892.31761021237</v>
      </c>
      <c r="F248" s="85">
        <v>13189.19712069</v>
      </c>
      <c r="G248" s="222">
        <f t="shared" si="49"/>
        <v>65.954910647715266</v>
      </c>
      <c r="I248" s="223">
        <f t="shared" si="39"/>
        <v>255</v>
      </c>
      <c r="J248" s="220">
        <f t="shared" si="50"/>
        <v>2044</v>
      </c>
      <c r="K248" s="221">
        <f t="shared" si="51"/>
        <v>52810</v>
      </c>
      <c r="M248" s="36"/>
      <c r="V248" s="85" t="str">
        <f t="shared" si="44"/>
        <v>Summer</v>
      </c>
    </row>
    <row r="249" spans="2:22">
      <c r="B249" s="221">
        <f t="shared" si="45"/>
        <v>52841</v>
      </c>
      <c r="C249" s="85">
        <v>153906.56516625313</v>
      </c>
      <c r="D249" s="217">
        <f>IF(F249&lt;&gt;0,VLOOKUP($J249,'Table 1'!$B$13:$C$33,2,FALSE)/12*1000*Study_MW,0)</f>
        <v>801638.59220946487</v>
      </c>
      <c r="E249" s="217">
        <f t="shared" si="48"/>
        <v>955545.157375718</v>
      </c>
      <c r="F249" s="85">
        <v>11582.931032570001</v>
      </c>
      <c r="G249" s="222">
        <f t="shared" si="49"/>
        <v>82.495972279280963</v>
      </c>
      <c r="I249" s="223">
        <f t="shared" si="39"/>
        <v>256</v>
      </c>
      <c r="J249" s="220">
        <f t="shared" si="50"/>
        <v>2044</v>
      </c>
      <c r="K249" s="221">
        <f t="shared" si="51"/>
        <v>52841</v>
      </c>
      <c r="M249" s="36"/>
      <c r="V249" s="85" t="str">
        <f t="shared" si="44"/>
        <v>Winter</v>
      </c>
    </row>
    <row r="250" spans="2:22">
      <c r="B250" s="221">
        <f t="shared" si="45"/>
        <v>52871</v>
      </c>
      <c r="C250" s="85">
        <v>93654.332010992221</v>
      </c>
      <c r="D250" s="217">
        <f>IF(F250&lt;&gt;0,VLOOKUP($J250,'Table 1'!$B$13:$C$33,2,FALSE)/12*1000*Study_MW,0)</f>
        <v>801638.59220946487</v>
      </c>
      <c r="E250" s="217">
        <f t="shared" si="48"/>
        <v>895292.92422045709</v>
      </c>
      <c r="F250" s="85">
        <v>23195.825556000003</v>
      </c>
      <c r="G250" s="222">
        <f t="shared" si="49"/>
        <v>38.597157150497452</v>
      </c>
      <c r="I250" s="223">
        <f t="shared" si="39"/>
        <v>257</v>
      </c>
      <c r="J250" s="220">
        <f t="shared" si="50"/>
        <v>2044</v>
      </c>
      <c r="K250" s="221">
        <f t="shared" si="51"/>
        <v>52871</v>
      </c>
      <c r="M250" s="36"/>
      <c r="V250" s="85" t="str">
        <f t="shared" si="44"/>
        <v>Winter</v>
      </c>
    </row>
    <row r="251" spans="2:22">
      <c r="B251" s="221">
        <f t="shared" si="45"/>
        <v>52902</v>
      </c>
      <c r="C251" s="85">
        <v>5441.6609133477323</v>
      </c>
      <c r="D251" s="217">
        <f>IF(F251&lt;&gt;0,VLOOKUP($J251,'Table 1'!$B$13:$C$33,2,FALSE)/12*1000*Study_MW,0)</f>
        <v>801638.59220946487</v>
      </c>
      <c r="E251" s="217">
        <f t="shared" si="48"/>
        <v>807080.2531228126</v>
      </c>
      <c r="F251" s="85">
        <v>14022.606174700002</v>
      </c>
      <c r="G251" s="222">
        <f t="shared" si="49"/>
        <v>57.555652855670331</v>
      </c>
      <c r="I251" s="223">
        <f t="shared" si="39"/>
        <v>258</v>
      </c>
      <c r="J251" s="220">
        <f t="shared" si="50"/>
        <v>2044</v>
      </c>
      <c r="K251" s="221">
        <f t="shared" si="51"/>
        <v>52902</v>
      </c>
      <c r="M251" s="36"/>
      <c r="V251" s="85" t="str">
        <f t="shared" si="44"/>
        <v>Winter</v>
      </c>
    </row>
    <row r="252" spans="2:22" collapsed="1">
      <c r="B252" s="227">
        <f t="shared" si="45"/>
        <v>52932</v>
      </c>
      <c r="C252" s="228">
        <v>-771157.94797247509</v>
      </c>
      <c r="D252" s="229">
        <f>IF(F252&lt;&gt;0,VLOOKUP($J252,'Table 1'!$B$13:$C$33,2,FALSE)/12*1000*Study_MW,0)</f>
        <v>801638.59220946487</v>
      </c>
      <c r="E252" s="229">
        <f t="shared" si="48"/>
        <v>30480.644236989785</v>
      </c>
      <c r="F252" s="228">
        <v>13770.361265000001</v>
      </c>
      <c r="G252" s="230">
        <f t="shared" si="49"/>
        <v>2.2134963382886803</v>
      </c>
      <c r="I252" s="231">
        <f t="shared" si="39"/>
        <v>259</v>
      </c>
      <c r="J252" s="220">
        <f t="shared" si="50"/>
        <v>2044</v>
      </c>
      <c r="K252" s="227">
        <f t="shared" si="51"/>
        <v>52932</v>
      </c>
      <c r="M252" s="36"/>
      <c r="V252" s="85" t="str">
        <f t="shared" si="44"/>
        <v>Winter</v>
      </c>
    </row>
    <row r="253" spans="2:22" hidden="1">
      <c r="B253" s="214">
        <f t="shared" ref="B253:B276" si="52">EDATE(B252,1)</f>
        <v>52963</v>
      </c>
      <c r="C253" s="351">
        <f>(C241*(1+M253))*IF(AND(MONTH(K253)=2,OR(J241=2036,J241=2040)),28/29,1)</f>
        <v>-199723.72477052012</v>
      </c>
      <c r="D253" s="352">
        <f>(D241*(1+M253))*IF(AND(MONTH(K253)=2,OR(K241=2036,K241=2040)),28/29,1)</f>
        <v>819114.31351963128</v>
      </c>
      <c r="E253" s="352">
        <f t="shared" ref="E253:E264" si="53">C253+D253</f>
        <v>619390.58874911116</v>
      </c>
      <c r="F253" s="351">
        <f t="shared" ref="F253:F276" si="54">F241*IF(AND(MONTH(B253)=2,OR(J241=2036,J241=2040)),28/29,1)</f>
        <v>18859.187018470002</v>
      </c>
      <c r="G253" s="353">
        <f t="shared" ref="G253:G264" si="55">IFERROR(E253/$F253,0)</f>
        <v>32.842910362069297</v>
      </c>
      <c r="I253" s="219">
        <f t="shared" ref="I253:I276" si="56">I241+13</f>
        <v>261</v>
      </c>
      <c r="J253" s="220">
        <f t="shared" ref="J253:J276" si="57">YEAR(B253)</f>
        <v>2045</v>
      </c>
      <c r="K253" s="214">
        <f t="shared" ref="K253:K276" si="58">IF(ISNUMBER(F253),IF(F253&lt;&gt;0,B253,""),"")</f>
        <v>52963</v>
      </c>
      <c r="M253" s="36">
        <f t="shared" ref="M253:M256" si="59">Inflation</f>
        <v>2.18E-2</v>
      </c>
      <c r="V253" s="85" t="str">
        <f t="shared" si="44"/>
        <v>Winter</v>
      </c>
    </row>
    <row r="254" spans="2:22" hidden="1">
      <c r="B254" s="221">
        <f t="shared" si="52"/>
        <v>52994</v>
      </c>
      <c r="C254" s="354">
        <f t="shared" ref="C254:C264" si="60">(C242*(1+M254))*IF(AND(MONTH(K254)=2,OR(J242=2036,J242=2040)),28/29,1)</f>
        <v>602208.4497769759</v>
      </c>
      <c r="D254" s="355">
        <f t="shared" ref="D254:D276" si="61">(D242*(1+M254))*IF(AND(MONTH(K254)=2,OR(K242=2036,K242=2040)),28/29,1)</f>
        <v>819114.31351963128</v>
      </c>
      <c r="E254" s="355">
        <f t="shared" si="53"/>
        <v>1421322.7632966072</v>
      </c>
      <c r="F254" s="354">
        <f t="shared" si="54"/>
        <v>19304.138292299998</v>
      </c>
      <c r="G254" s="356">
        <f t="shared" si="55"/>
        <v>73.627879254446796</v>
      </c>
      <c r="I254" s="223">
        <f t="shared" si="56"/>
        <v>262</v>
      </c>
      <c r="J254" s="220">
        <f t="shared" si="57"/>
        <v>2045</v>
      </c>
      <c r="K254" s="221">
        <f t="shared" si="58"/>
        <v>52994</v>
      </c>
      <c r="M254" s="36">
        <f t="shared" si="59"/>
        <v>2.18E-2</v>
      </c>
      <c r="V254" s="85" t="str">
        <f t="shared" si="44"/>
        <v>Winter</v>
      </c>
    </row>
    <row r="255" spans="2:22" hidden="1">
      <c r="B255" s="221">
        <f t="shared" si="52"/>
        <v>53022</v>
      </c>
      <c r="C255" s="354">
        <f t="shared" si="60"/>
        <v>66906.756961499836</v>
      </c>
      <c r="D255" s="355">
        <f t="shared" si="61"/>
        <v>819114.31351963128</v>
      </c>
      <c r="E255" s="355">
        <f t="shared" si="53"/>
        <v>886021.07048113109</v>
      </c>
      <c r="F255" s="354">
        <f t="shared" si="54"/>
        <v>17956.003675159998</v>
      </c>
      <c r="G255" s="356">
        <f t="shared" si="55"/>
        <v>49.344001399756685</v>
      </c>
      <c r="I255" s="223">
        <f t="shared" si="56"/>
        <v>263</v>
      </c>
      <c r="J255" s="220">
        <f t="shared" si="57"/>
        <v>2045</v>
      </c>
      <c r="K255" s="221">
        <f t="shared" si="58"/>
        <v>53022</v>
      </c>
      <c r="M255" s="36">
        <f t="shared" si="59"/>
        <v>2.18E-2</v>
      </c>
      <c r="V255" s="85" t="str">
        <f t="shared" si="44"/>
        <v>Winter</v>
      </c>
    </row>
    <row r="256" spans="2:22" hidden="1">
      <c r="B256" s="221">
        <f t="shared" si="52"/>
        <v>53053</v>
      </c>
      <c r="C256" s="354">
        <f t="shared" si="60"/>
        <v>38215.971512917007</v>
      </c>
      <c r="D256" s="355">
        <f t="shared" si="61"/>
        <v>819114.31351963128</v>
      </c>
      <c r="E256" s="355">
        <f t="shared" si="53"/>
        <v>857330.28503254824</v>
      </c>
      <c r="F256" s="354">
        <f t="shared" si="54"/>
        <v>22296.220530250001</v>
      </c>
      <c r="G256" s="356">
        <f t="shared" si="55"/>
        <v>38.451821189576982</v>
      </c>
      <c r="I256" s="223">
        <f t="shared" si="56"/>
        <v>264</v>
      </c>
      <c r="J256" s="220">
        <f t="shared" si="57"/>
        <v>2045</v>
      </c>
      <c r="K256" s="221">
        <f t="shared" si="58"/>
        <v>53053</v>
      </c>
      <c r="M256" s="36">
        <f t="shared" si="59"/>
        <v>2.18E-2</v>
      </c>
      <c r="V256" s="85" t="str">
        <f t="shared" si="44"/>
        <v>Winter</v>
      </c>
    </row>
    <row r="257" spans="2:22" hidden="1">
      <c r="B257" s="221">
        <f t="shared" si="52"/>
        <v>53083</v>
      </c>
      <c r="C257" s="354">
        <f t="shared" si="60"/>
        <v>181386.27041365486</v>
      </c>
      <c r="D257" s="355">
        <f t="shared" si="61"/>
        <v>819114.31351963128</v>
      </c>
      <c r="E257" s="355">
        <f t="shared" si="53"/>
        <v>1000500.5839332861</v>
      </c>
      <c r="F257" s="354">
        <f t="shared" si="54"/>
        <v>22706.788430020009</v>
      </c>
      <c r="G257" s="356">
        <f t="shared" si="55"/>
        <v>44.06173893841158</v>
      </c>
      <c r="I257" s="223">
        <f t="shared" si="56"/>
        <v>265</v>
      </c>
      <c r="J257" s="220">
        <f t="shared" si="57"/>
        <v>2045</v>
      </c>
      <c r="K257" s="221">
        <f t="shared" si="58"/>
        <v>53083</v>
      </c>
      <c r="M257" s="36">
        <f t="shared" ref="M257:M276" si="62">Inflation</f>
        <v>2.18E-2</v>
      </c>
      <c r="V257" s="85" t="str">
        <f t="shared" si="44"/>
        <v>Summer</v>
      </c>
    </row>
    <row r="258" spans="2:22" hidden="1">
      <c r="B258" s="221">
        <f t="shared" si="52"/>
        <v>53114</v>
      </c>
      <c r="C258" s="354">
        <f t="shared" si="60"/>
        <v>106009.76303612693</v>
      </c>
      <c r="D258" s="355">
        <f t="shared" si="61"/>
        <v>819114.31351963128</v>
      </c>
      <c r="E258" s="355">
        <f t="shared" si="53"/>
        <v>925124.07655575825</v>
      </c>
      <c r="F258" s="354">
        <f t="shared" si="54"/>
        <v>21745.812183619997</v>
      </c>
      <c r="G258" s="356">
        <f t="shared" si="55"/>
        <v>42.54263159932038</v>
      </c>
      <c r="I258" s="223">
        <f t="shared" si="56"/>
        <v>266</v>
      </c>
      <c r="J258" s="220">
        <f t="shared" si="57"/>
        <v>2045</v>
      </c>
      <c r="K258" s="221">
        <f t="shared" si="58"/>
        <v>53114</v>
      </c>
      <c r="M258" s="36">
        <f t="shared" si="62"/>
        <v>2.18E-2</v>
      </c>
      <c r="V258" s="85" t="str">
        <f t="shared" si="44"/>
        <v>Summer</v>
      </c>
    </row>
    <row r="259" spans="2:22" hidden="1">
      <c r="B259" s="221">
        <f t="shared" si="52"/>
        <v>53144</v>
      </c>
      <c r="C259" s="354">
        <f t="shared" si="60"/>
        <v>136224.25091192912</v>
      </c>
      <c r="D259" s="355">
        <f t="shared" si="61"/>
        <v>819114.31351963128</v>
      </c>
      <c r="E259" s="355">
        <f t="shared" si="53"/>
        <v>955338.56443156046</v>
      </c>
      <c r="F259" s="354">
        <f t="shared" si="54"/>
        <v>13611.277785999999</v>
      </c>
      <c r="G259" s="356">
        <f t="shared" si="55"/>
        <v>70.187279949144994</v>
      </c>
      <c r="I259" s="223">
        <f t="shared" si="56"/>
        <v>267</v>
      </c>
      <c r="J259" s="220">
        <f t="shared" si="57"/>
        <v>2045</v>
      </c>
      <c r="K259" s="221">
        <f t="shared" si="58"/>
        <v>53144</v>
      </c>
      <c r="M259" s="36">
        <f t="shared" si="62"/>
        <v>2.18E-2</v>
      </c>
      <c r="V259" s="85" t="str">
        <f t="shared" si="44"/>
        <v>Summer</v>
      </c>
    </row>
    <row r="260" spans="2:22" hidden="1">
      <c r="B260" s="221">
        <f t="shared" si="52"/>
        <v>53175</v>
      </c>
      <c r="C260" s="354">
        <f t="shared" si="60"/>
        <v>69741.6566144838</v>
      </c>
      <c r="D260" s="355">
        <f t="shared" si="61"/>
        <v>819114.31351963128</v>
      </c>
      <c r="E260" s="355">
        <f t="shared" si="53"/>
        <v>888855.97013411508</v>
      </c>
      <c r="F260" s="354">
        <f t="shared" si="54"/>
        <v>13189.19712069</v>
      </c>
      <c r="G260" s="356">
        <f t="shared" si="55"/>
        <v>67.392727699835461</v>
      </c>
      <c r="I260" s="223">
        <f t="shared" si="56"/>
        <v>268</v>
      </c>
      <c r="J260" s="220">
        <f t="shared" si="57"/>
        <v>2045</v>
      </c>
      <c r="K260" s="221">
        <f t="shared" si="58"/>
        <v>53175</v>
      </c>
      <c r="M260" s="36">
        <f t="shared" si="62"/>
        <v>2.18E-2</v>
      </c>
      <c r="V260" s="85" t="str">
        <f t="shared" si="44"/>
        <v>Summer</v>
      </c>
    </row>
    <row r="261" spans="2:22" hidden="1">
      <c r="B261" s="221">
        <f t="shared" si="52"/>
        <v>53206</v>
      </c>
      <c r="C261" s="354">
        <f t="shared" si="60"/>
        <v>157261.72828687745</v>
      </c>
      <c r="D261" s="355">
        <f t="shared" si="61"/>
        <v>819114.31351963128</v>
      </c>
      <c r="E261" s="355">
        <f t="shared" si="53"/>
        <v>976376.04180650879</v>
      </c>
      <c r="F261" s="354">
        <f t="shared" si="54"/>
        <v>11582.931032570001</v>
      </c>
      <c r="G261" s="356">
        <f t="shared" si="55"/>
        <v>84.294384474969306</v>
      </c>
      <c r="I261" s="223">
        <f t="shared" si="56"/>
        <v>269</v>
      </c>
      <c r="J261" s="220">
        <f t="shared" si="57"/>
        <v>2045</v>
      </c>
      <c r="K261" s="221">
        <f t="shared" si="58"/>
        <v>53206</v>
      </c>
      <c r="M261" s="36">
        <f t="shared" si="62"/>
        <v>2.18E-2</v>
      </c>
      <c r="V261" s="85" t="str">
        <f t="shared" si="44"/>
        <v>Winter</v>
      </c>
    </row>
    <row r="262" spans="2:22" hidden="1">
      <c r="B262" s="221">
        <f t="shared" si="52"/>
        <v>53236</v>
      </c>
      <c r="C262" s="354">
        <f t="shared" si="60"/>
        <v>95695.996448831851</v>
      </c>
      <c r="D262" s="355">
        <f t="shared" si="61"/>
        <v>819114.31351963128</v>
      </c>
      <c r="E262" s="355">
        <f t="shared" si="53"/>
        <v>914810.30996846315</v>
      </c>
      <c r="F262" s="354">
        <f t="shared" si="54"/>
        <v>23195.825556000003</v>
      </c>
      <c r="G262" s="356">
        <f t="shared" si="55"/>
        <v>39.438575176378301</v>
      </c>
      <c r="I262" s="223">
        <f t="shared" si="56"/>
        <v>270</v>
      </c>
      <c r="J262" s="220">
        <f t="shared" si="57"/>
        <v>2045</v>
      </c>
      <c r="K262" s="221">
        <f t="shared" si="58"/>
        <v>53236</v>
      </c>
      <c r="M262" s="36">
        <f t="shared" si="62"/>
        <v>2.18E-2</v>
      </c>
      <c r="V262" s="85" t="str">
        <f t="shared" si="44"/>
        <v>Winter</v>
      </c>
    </row>
    <row r="263" spans="2:22" hidden="1">
      <c r="B263" s="221">
        <f t="shared" si="52"/>
        <v>53267</v>
      </c>
      <c r="C263" s="354">
        <f t="shared" si="60"/>
        <v>5560.2891212587128</v>
      </c>
      <c r="D263" s="355">
        <f t="shared" si="61"/>
        <v>819114.31351963128</v>
      </c>
      <c r="E263" s="355">
        <f t="shared" si="53"/>
        <v>824674.60264089005</v>
      </c>
      <c r="F263" s="354">
        <f t="shared" si="54"/>
        <v>14022.606174700002</v>
      </c>
      <c r="G263" s="356">
        <f t="shared" si="55"/>
        <v>58.810366087923953</v>
      </c>
      <c r="I263" s="223">
        <f t="shared" si="56"/>
        <v>271</v>
      </c>
      <c r="J263" s="220">
        <f t="shared" si="57"/>
        <v>2045</v>
      </c>
      <c r="K263" s="221">
        <f t="shared" si="58"/>
        <v>53267</v>
      </c>
      <c r="M263" s="36">
        <f t="shared" si="62"/>
        <v>2.18E-2</v>
      </c>
      <c r="V263" s="85" t="str">
        <f t="shared" si="44"/>
        <v>Winter</v>
      </c>
    </row>
    <row r="264" spans="2:22" hidden="1">
      <c r="B264" s="227">
        <f t="shared" si="52"/>
        <v>53297</v>
      </c>
      <c r="C264" s="357">
        <f t="shared" si="60"/>
        <v>-787969.19123827503</v>
      </c>
      <c r="D264" s="358">
        <f t="shared" si="61"/>
        <v>819114.31351963128</v>
      </c>
      <c r="E264" s="358">
        <f t="shared" si="53"/>
        <v>31145.122281356249</v>
      </c>
      <c r="F264" s="357">
        <f t="shared" si="54"/>
        <v>13770.361265000001</v>
      </c>
      <c r="G264" s="359">
        <f t="shared" si="55"/>
        <v>2.2617505584633801</v>
      </c>
      <c r="I264" s="231">
        <f t="shared" si="56"/>
        <v>272</v>
      </c>
      <c r="J264" s="220">
        <f t="shared" si="57"/>
        <v>2045</v>
      </c>
      <c r="K264" s="227">
        <f t="shared" si="58"/>
        <v>53297</v>
      </c>
      <c r="M264" s="36">
        <f t="shared" si="62"/>
        <v>2.18E-2</v>
      </c>
      <c r="V264" s="85" t="str">
        <f t="shared" si="44"/>
        <v>Winter</v>
      </c>
    </row>
    <row r="265" spans="2:22" hidden="1">
      <c r="B265" s="214">
        <f t="shared" si="52"/>
        <v>53328</v>
      </c>
      <c r="C265" s="351">
        <f>(C253*(1+M265))*IF(AND(MONTH(K265)=2,OR(J253=2036,J253=2040)),28/29,1)</f>
        <v>-204077.70197051746</v>
      </c>
      <c r="D265" s="352">
        <f t="shared" si="61"/>
        <v>836971.00555435929</v>
      </c>
      <c r="E265" s="352">
        <f t="shared" ref="E265:E276" si="63">C265+D265</f>
        <v>632893.30358384177</v>
      </c>
      <c r="F265" s="351">
        <f t="shared" si="54"/>
        <v>18859.187018470002</v>
      </c>
      <c r="G265" s="353">
        <f t="shared" ref="G265:G276" si="64">IFERROR(E265/$F265,0)</f>
        <v>33.558885807962405</v>
      </c>
      <c r="I265" s="219">
        <f t="shared" si="56"/>
        <v>274</v>
      </c>
      <c r="J265" s="220">
        <f t="shared" si="57"/>
        <v>2046</v>
      </c>
      <c r="K265" s="214">
        <f t="shared" si="58"/>
        <v>53328</v>
      </c>
      <c r="M265" s="36">
        <f t="shared" si="62"/>
        <v>2.18E-2</v>
      </c>
      <c r="V265" s="85" t="str">
        <f t="shared" si="44"/>
        <v>Winter</v>
      </c>
    </row>
    <row r="266" spans="2:22" hidden="1">
      <c r="B266" s="221">
        <f t="shared" si="52"/>
        <v>53359</v>
      </c>
      <c r="C266" s="354">
        <f t="shared" ref="C266:C276" si="65">(C254*(1+M266))*IF(AND(MONTH(K266)=2,OR(J254=2036,J254=2040)),28/29,1)</f>
        <v>615336.59398211399</v>
      </c>
      <c r="D266" s="355">
        <f t="shared" si="61"/>
        <v>836971.00555435929</v>
      </c>
      <c r="E266" s="355">
        <f t="shared" si="63"/>
        <v>1452307.5995364734</v>
      </c>
      <c r="F266" s="354">
        <f t="shared" si="54"/>
        <v>19304.138292299998</v>
      </c>
      <c r="G266" s="356">
        <f t="shared" si="64"/>
        <v>75.232967022193748</v>
      </c>
      <c r="I266" s="223">
        <f t="shared" si="56"/>
        <v>275</v>
      </c>
      <c r="J266" s="220">
        <f t="shared" si="57"/>
        <v>2046</v>
      </c>
      <c r="K266" s="221">
        <f t="shared" si="58"/>
        <v>53359</v>
      </c>
      <c r="M266" s="36">
        <f t="shared" si="62"/>
        <v>2.18E-2</v>
      </c>
      <c r="V266" s="85" t="str">
        <f t="shared" si="44"/>
        <v>Winter</v>
      </c>
    </row>
    <row r="267" spans="2:22" hidden="1">
      <c r="B267" s="221">
        <f t="shared" si="52"/>
        <v>53387</v>
      </c>
      <c r="C267" s="354">
        <f t="shared" si="65"/>
        <v>68365.32426326054</v>
      </c>
      <c r="D267" s="355">
        <f t="shared" si="61"/>
        <v>836971.00555435929</v>
      </c>
      <c r="E267" s="355">
        <f t="shared" si="63"/>
        <v>905336.32981761987</v>
      </c>
      <c r="F267" s="354">
        <f t="shared" si="54"/>
        <v>17956.003675159998</v>
      </c>
      <c r="G267" s="356">
        <f t="shared" si="64"/>
        <v>50.419700630271386</v>
      </c>
      <c r="I267" s="223">
        <f t="shared" si="56"/>
        <v>276</v>
      </c>
      <c r="J267" s="220">
        <f t="shared" si="57"/>
        <v>2046</v>
      </c>
      <c r="K267" s="221">
        <f t="shared" si="58"/>
        <v>53387</v>
      </c>
      <c r="M267" s="36">
        <f t="shared" si="62"/>
        <v>2.18E-2</v>
      </c>
      <c r="V267" s="85" t="str">
        <f t="shared" si="44"/>
        <v>Winter</v>
      </c>
    </row>
    <row r="268" spans="2:22" hidden="1">
      <c r="B268" s="221">
        <f t="shared" si="52"/>
        <v>53418</v>
      </c>
      <c r="C268" s="354">
        <f t="shared" si="65"/>
        <v>39049.079691898602</v>
      </c>
      <c r="D268" s="355">
        <f t="shared" si="61"/>
        <v>836971.00555435929</v>
      </c>
      <c r="E268" s="355">
        <f t="shared" si="63"/>
        <v>876020.08524625795</v>
      </c>
      <c r="F268" s="354">
        <f t="shared" si="54"/>
        <v>22296.220530250001</v>
      </c>
      <c r="G268" s="356">
        <f t="shared" si="64"/>
        <v>39.290070891509764</v>
      </c>
      <c r="I268" s="223">
        <f t="shared" si="56"/>
        <v>277</v>
      </c>
      <c r="J268" s="220">
        <f t="shared" si="57"/>
        <v>2046</v>
      </c>
      <c r="K268" s="221">
        <f t="shared" si="58"/>
        <v>53418</v>
      </c>
      <c r="M268" s="36">
        <f t="shared" si="62"/>
        <v>2.18E-2</v>
      </c>
      <c r="V268" s="85" t="str">
        <f t="shared" ref="V268:V275" si="66">IFERROR(IF(AND(MONTH(K269)&gt;=6,MONTH(K269)&lt;=9),"Summer","Winter"),"-")</f>
        <v>Winter</v>
      </c>
    </row>
    <row r="269" spans="2:22" hidden="1">
      <c r="B269" s="221">
        <f t="shared" si="52"/>
        <v>53448</v>
      </c>
      <c r="C269" s="354">
        <f t="shared" si="65"/>
        <v>185340.49110867255</v>
      </c>
      <c r="D269" s="355">
        <f t="shared" si="61"/>
        <v>836971.00555435929</v>
      </c>
      <c r="E269" s="355">
        <f t="shared" si="63"/>
        <v>1022311.4966630319</v>
      </c>
      <c r="F269" s="354">
        <f t="shared" si="54"/>
        <v>22706.788430020009</v>
      </c>
      <c r="G269" s="356">
        <f t="shared" si="64"/>
        <v>45.022284847268956</v>
      </c>
      <c r="I269" s="223">
        <f t="shared" si="56"/>
        <v>278</v>
      </c>
      <c r="J269" s="220">
        <f t="shared" si="57"/>
        <v>2046</v>
      </c>
      <c r="K269" s="221">
        <f t="shared" si="58"/>
        <v>53448</v>
      </c>
      <c r="M269" s="36">
        <f t="shared" si="62"/>
        <v>2.18E-2</v>
      </c>
      <c r="V269" s="85" t="str">
        <f t="shared" si="66"/>
        <v>Summer</v>
      </c>
    </row>
    <row r="270" spans="2:22" hidden="1">
      <c r="B270" s="221">
        <f t="shared" si="52"/>
        <v>53479</v>
      </c>
      <c r="C270" s="354">
        <f t="shared" si="65"/>
        <v>108320.77587031449</v>
      </c>
      <c r="D270" s="355">
        <f t="shared" si="61"/>
        <v>836971.00555435929</v>
      </c>
      <c r="E270" s="355">
        <f t="shared" si="63"/>
        <v>945291.78142467374</v>
      </c>
      <c r="F270" s="354">
        <f t="shared" si="54"/>
        <v>21745.812183619997</v>
      </c>
      <c r="G270" s="356">
        <f t="shared" si="64"/>
        <v>43.470060968185564</v>
      </c>
      <c r="I270" s="223">
        <f t="shared" si="56"/>
        <v>279</v>
      </c>
      <c r="J270" s="220">
        <f t="shared" si="57"/>
        <v>2046</v>
      </c>
      <c r="K270" s="221">
        <f t="shared" si="58"/>
        <v>53479</v>
      </c>
      <c r="M270" s="36">
        <f t="shared" si="62"/>
        <v>2.18E-2</v>
      </c>
      <c r="V270" s="85" t="str">
        <f t="shared" si="66"/>
        <v>Summer</v>
      </c>
    </row>
    <row r="271" spans="2:22" hidden="1">
      <c r="B271" s="221">
        <f t="shared" si="52"/>
        <v>53509</v>
      </c>
      <c r="C271" s="354">
        <f t="shared" si="65"/>
        <v>139193.93958180919</v>
      </c>
      <c r="D271" s="355">
        <f t="shared" si="61"/>
        <v>836971.00555435929</v>
      </c>
      <c r="E271" s="355">
        <f t="shared" si="63"/>
        <v>976164.94513616851</v>
      </c>
      <c r="F271" s="354">
        <f t="shared" si="54"/>
        <v>13611.277785999999</v>
      </c>
      <c r="G271" s="356">
        <f t="shared" si="64"/>
        <v>71.717362652036357</v>
      </c>
      <c r="I271" s="223">
        <f t="shared" si="56"/>
        <v>280</v>
      </c>
      <c r="J271" s="220">
        <f t="shared" si="57"/>
        <v>2046</v>
      </c>
      <c r="K271" s="221">
        <f t="shared" si="58"/>
        <v>53509</v>
      </c>
      <c r="M271" s="36">
        <f t="shared" si="62"/>
        <v>2.18E-2</v>
      </c>
      <c r="V271" s="85" t="str">
        <f t="shared" si="66"/>
        <v>Summer</v>
      </c>
    </row>
    <row r="272" spans="2:22" hidden="1">
      <c r="B272" s="221">
        <f t="shared" si="52"/>
        <v>53540</v>
      </c>
      <c r="C272" s="354">
        <f t="shared" si="65"/>
        <v>71262.024728679549</v>
      </c>
      <c r="D272" s="355">
        <f t="shared" si="61"/>
        <v>836971.00555435929</v>
      </c>
      <c r="E272" s="355">
        <f t="shared" si="63"/>
        <v>908233.03028303885</v>
      </c>
      <c r="F272" s="354">
        <f t="shared" si="54"/>
        <v>13189.19712069</v>
      </c>
      <c r="G272" s="356">
        <f t="shared" si="64"/>
        <v>68.861889163691885</v>
      </c>
      <c r="I272" s="223">
        <f t="shared" si="56"/>
        <v>281</v>
      </c>
      <c r="J272" s="220">
        <f t="shared" si="57"/>
        <v>2046</v>
      </c>
      <c r="K272" s="221">
        <f t="shared" si="58"/>
        <v>53540</v>
      </c>
      <c r="M272" s="36">
        <f t="shared" si="62"/>
        <v>2.18E-2</v>
      </c>
      <c r="V272" s="85" t="str">
        <f t="shared" si="66"/>
        <v>Summer</v>
      </c>
    </row>
    <row r="273" spans="2:22" hidden="1">
      <c r="B273" s="221">
        <f t="shared" si="52"/>
        <v>53571</v>
      </c>
      <c r="C273" s="354">
        <f t="shared" si="65"/>
        <v>160690.03396353137</v>
      </c>
      <c r="D273" s="355">
        <f t="shared" si="61"/>
        <v>836971.00555435929</v>
      </c>
      <c r="E273" s="355">
        <f t="shared" si="63"/>
        <v>997661.03951789066</v>
      </c>
      <c r="F273" s="354">
        <f t="shared" si="54"/>
        <v>11582.931032570001</v>
      </c>
      <c r="G273" s="356">
        <f t="shared" si="64"/>
        <v>86.132002056523632</v>
      </c>
      <c r="I273" s="223">
        <f t="shared" si="56"/>
        <v>282</v>
      </c>
      <c r="J273" s="220">
        <f t="shared" si="57"/>
        <v>2046</v>
      </c>
      <c r="K273" s="221">
        <f t="shared" si="58"/>
        <v>53571</v>
      </c>
      <c r="M273" s="36">
        <f t="shared" si="62"/>
        <v>2.18E-2</v>
      </c>
      <c r="V273" s="85" t="str">
        <f t="shared" si="66"/>
        <v>Winter</v>
      </c>
    </row>
    <row r="274" spans="2:22" hidden="1">
      <c r="B274" s="221">
        <f t="shared" si="52"/>
        <v>53601</v>
      </c>
      <c r="C274" s="354">
        <f t="shared" si="65"/>
        <v>97782.16917141639</v>
      </c>
      <c r="D274" s="355">
        <f t="shared" si="61"/>
        <v>836971.00555435929</v>
      </c>
      <c r="E274" s="355">
        <f t="shared" si="63"/>
        <v>934753.17472577572</v>
      </c>
      <c r="F274" s="354">
        <f t="shared" si="54"/>
        <v>23195.825556000003</v>
      </c>
      <c r="G274" s="356">
        <f t="shared" si="64"/>
        <v>40.29833611522335</v>
      </c>
      <c r="I274" s="223">
        <f t="shared" si="56"/>
        <v>283</v>
      </c>
      <c r="J274" s="220">
        <f t="shared" si="57"/>
        <v>2046</v>
      </c>
      <c r="K274" s="221">
        <f t="shared" si="58"/>
        <v>53601</v>
      </c>
      <c r="M274" s="36">
        <f t="shared" si="62"/>
        <v>2.18E-2</v>
      </c>
      <c r="V274" s="85" t="str">
        <f t="shared" si="66"/>
        <v>Winter</v>
      </c>
    </row>
    <row r="275" spans="2:22" hidden="1">
      <c r="B275" s="221">
        <f t="shared" si="52"/>
        <v>53632</v>
      </c>
      <c r="C275" s="354">
        <f t="shared" si="65"/>
        <v>5681.5034241021531</v>
      </c>
      <c r="D275" s="355">
        <f t="shared" si="61"/>
        <v>836971.00555435929</v>
      </c>
      <c r="E275" s="355">
        <f t="shared" si="63"/>
        <v>842652.5089784615</v>
      </c>
      <c r="F275" s="354">
        <f t="shared" si="54"/>
        <v>14022.606174700002</v>
      </c>
      <c r="G275" s="356">
        <f t="shared" si="64"/>
        <v>60.092432068640697</v>
      </c>
      <c r="I275" s="223">
        <f t="shared" si="56"/>
        <v>284</v>
      </c>
      <c r="J275" s="220">
        <f t="shared" si="57"/>
        <v>2046</v>
      </c>
      <c r="K275" s="221">
        <f t="shared" si="58"/>
        <v>53632</v>
      </c>
      <c r="M275" s="36">
        <f t="shared" si="62"/>
        <v>2.18E-2</v>
      </c>
      <c r="V275" s="85" t="str">
        <f t="shared" si="66"/>
        <v>Winter</v>
      </c>
    </row>
    <row r="276" spans="2:22" hidden="1">
      <c r="B276" s="227">
        <f t="shared" si="52"/>
        <v>53662</v>
      </c>
      <c r="C276" s="357">
        <f t="shared" si="65"/>
        <v>-805146.91960726946</v>
      </c>
      <c r="D276" s="358">
        <f t="shared" si="61"/>
        <v>836971.00555435929</v>
      </c>
      <c r="E276" s="358">
        <f t="shared" si="63"/>
        <v>31824.085947089829</v>
      </c>
      <c r="F276" s="357">
        <f t="shared" si="54"/>
        <v>13770.361265000001</v>
      </c>
      <c r="G276" s="359">
        <f t="shared" si="64"/>
        <v>2.3110567206378825</v>
      </c>
      <c r="I276" s="231">
        <f t="shared" si="56"/>
        <v>285</v>
      </c>
      <c r="J276" s="220">
        <f t="shared" si="57"/>
        <v>2046</v>
      </c>
      <c r="K276" s="227">
        <f t="shared" si="58"/>
        <v>53662</v>
      </c>
      <c r="M276" s="36">
        <f t="shared" si="62"/>
        <v>2.18E-2</v>
      </c>
    </row>
  </sheetData>
  <printOptions horizontalCentered="1"/>
  <pageMargins left="0.25" right="0.25" top="0.75" bottom="0.75" header="0.3" footer="0.3"/>
  <pageSetup scale="86" orientation="portrait" r:id="rId1"/>
  <headerFooter alignWithMargins="0">
    <oddFooter>&amp;L&amp;8NPC Group - &amp;F   ( &amp;A )&amp;C &amp;R &amp;8&amp;D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N73"/>
  <sheetViews>
    <sheetView workbookViewId="0">
      <selection activeCell="E11" sqref="E11"/>
    </sheetView>
  </sheetViews>
  <sheetFormatPr defaultRowHeight="12.75"/>
  <cols>
    <col min="1" max="1" width="42.5" customWidth="1"/>
    <col min="2" max="4" width="28.5" customWidth="1"/>
    <col min="5" max="5" width="23.33203125" customWidth="1"/>
    <col min="6" max="6" width="21.6640625" customWidth="1"/>
    <col min="7" max="7" width="21.1640625" customWidth="1"/>
    <col min="8" max="8" width="16" customWidth="1"/>
    <col min="9" max="9" width="17.33203125" customWidth="1"/>
    <col min="10" max="11" width="16.5" customWidth="1"/>
    <col min="12" max="12" width="14.5" customWidth="1"/>
    <col min="13" max="13" width="15.83203125" customWidth="1"/>
    <col min="14" max="15" width="15.5" customWidth="1"/>
    <col min="16" max="16" width="14.5" customWidth="1"/>
    <col min="17" max="17" width="16.1640625" customWidth="1"/>
    <col min="18" max="19" width="16" customWidth="1"/>
    <col min="20" max="20" width="17.5" customWidth="1"/>
    <col min="21" max="21" width="17.1640625" customWidth="1"/>
    <col min="22" max="22" width="16.6640625" customWidth="1"/>
    <col min="23" max="23" width="14.5" customWidth="1"/>
    <col min="24" max="24" width="15.33203125" customWidth="1"/>
    <col min="25" max="25" width="14.5" customWidth="1"/>
  </cols>
  <sheetData>
    <row r="1" spans="1:14">
      <c r="A1" s="147" t="s">
        <v>86</v>
      </c>
    </row>
    <row r="2" spans="1:14" ht="51">
      <c r="A2" s="147" t="s">
        <v>9</v>
      </c>
      <c r="B2" s="91" t="str">
        <f>'WD_.PX.BDG._.PTC.2029'!$B$2</f>
        <v>WD_.PX.BDG._.PTC.Utility_Scale</v>
      </c>
      <c r="C2" s="91" t="str">
        <f>'WD_.PX.BDG._.PTC.2030'!$B$2</f>
        <v>WD_.PX.BDG._.PTC.Utility_Scale</v>
      </c>
      <c r="D2" s="91" t="str">
        <f>'WD_.PX.BDG._.PTC.2031'!$B$2</f>
        <v>WD_.PX.BDG._.PTC.Utility_Scale</v>
      </c>
      <c r="E2" s="91" t="str">
        <f>'Table 3 WD_.PX.DJW._.PTC.2029'!$B$2</f>
        <v>WD_.PX.DJW._.PTC.Utility_Scale</v>
      </c>
      <c r="F2" s="91" t="str">
        <f>'WD_.PX.DJW._.PTC.2030'!$B$2</f>
        <v>WD_.PX.DJW._.PTC.Utility_Scale</v>
      </c>
      <c r="G2" s="91" t="str">
        <f>'WD_.PX.DJW._.PTC.2031'!$B$2</f>
        <v>WD_.PX.DJW._.PTC.Utility_Scale</v>
      </c>
      <c r="H2" s="91" t="str">
        <f>'PV_.PX.BDG._.PTC.2031'!$B$2</f>
        <v>PV_.PX.BDG._.PTC.Utility_Scale</v>
      </c>
      <c r="I2" s="91" t="str">
        <f>'PV_.PX.HTG._.PTC.2031'!$B$2</f>
        <v>PV_.PX.HTG._.PTC.Utility_Scale</v>
      </c>
      <c r="J2" s="91" t="str">
        <f>'PV_.PX.NTN._.PTC.2031'!$B$2</f>
        <v>PV_.PX.NTN._.PTC.Utility_Scale</v>
      </c>
      <c r="K2" s="91" t="str">
        <f>'PV_.PX.UTS._.PTC.2031'!$B$2</f>
        <v>PV_.PX.UTS._.PTC.Utility_Scale</v>
      </c>
    </row>
    <row r="3" spans="1:14" s="147" customFormat="1">
      <c r="A3" s="147" t="s">
        <v>82</v>
      </c>
      <c r="B3" s="174">
        <f>'WD_.PX.BDG._.PTC.2029'!$R$57</f>
        <v>2029</v>
      </c>
      <c r="C3" s="174">
        <f>'WD_.PX.BDG._.PTC.2030'!$R$57</f>
        <v>2030</v>
      </c>
      <c r="D3" s="174">
        <f>'WD_.PX.BDG._.PTC.2031'!$R$57</f>
        <v>2031</v>
      </c>
      <c r="E3" s="175">
        <f>'Table 3 WD_.PX.DJW._.PTC.2029'!$R$57</f>
        <v>2029</v>
      </c>
      <c r="F3" s="175">
        <f>'WD_.PX.DJW._.PTC.2030'!$R$57</f>
        <v>2030</v>
      </c>
      <c r="G3" s="175">
        <f>'WD_.PX.DJW._.PTC.2031'!$R$57</f>
        <v>2031</v>
      </c>
      <c r="H3" s="168">
        <f>'PV_.PX.BDG._.PTC.2031'!$R$57</f>
        <v>2031</v>
      </c>
      <c r="I3" s="168">
        <f>'PV_.PX.HTG._.PTC.2031'!$R$57</f>
        <v>2031</v>
      </c>
      <c r="J3" s="168">
        <f>'PV_.PX.NTN._.PTC.2031'!$R$57</f>
        <v>2031</v>
      </c>
      <c r="K3" s="168">
        <f>'PV_.PX.UTS._.PTC.2031'!$S$57</f>
        <v>2031</v>
      </c>
    </row>
    <row r="4" spans="1:14">
      <c r="B4" s="176" t="s">
        <v>114</v>
      </c>
      <c r="C4" s="176" t="s">
        <v>114</v>
      </c>
      <c r="D4" s="176" t="s">
        <v>114</v>
      </c>
      <c r="E4" s="177" t="s">
        <v>114</v>
      </c>
      <c r="F4" s="177" t="s">
        <v>114</v>
      </c>
      <c r="G4" s="177" t="s">
        <v>114</v>
      </c>
      <c r="H4" s="148" t="s">
        <v>111</v>
      </c>
      <c r="I4" s="148" t="s">
        <v>111</v>
      </c>
      <c r="J4" s="148" t="s">
        <v>111</v>
      </c>
      <c r="K4" s="148" t="s">
        <v>111</v>
      </c>
    </row>
    <row r="5" spans="1:14" ht="53.25" customHeight="1">
      <c r="B5" s="163" t="str">
        <f t="shared" ref="B5:K5" si="0">CONCATENATE(B2,B3)</f>
        <v>WD_.PX.BDG._.PTC.Utility_Scale2029</v>
      </c>
      <c r="C5" s="163" t="str">
        <f t="shared" si="0"/>
        <v>WD_.PX.BDG._.PTC.Utility_Scale2030</v>
      </c>
      <c r="D5" s="163" t="str">
        <f t="shared" si="0"/>
        <v>WD_.PX.BDG._.PTC.Utility_Scale2031</v>
      </c>
      <c r="E5" s="163" t="str">
        <f t="shared" si="0"/>
        <v>WD_.PX.DJW._.PTC.Utility_Scale2029</v>
      </c>
      <c r="F5" s="163" t="str">
        <f t="shared" si="0"/>
        <v>WD_.PX.DJW._.PTC.Utility_Scale2030</v>
      </c>
      <c r="G5" s="163" t="str">
        <f t="shared" si="0"/>
        <v>WD_.PX.DJW._.PTC.Utility_Scale2031</v>
      </c>
      <c r="H5" s="91" t="str">
        <f t="shared" si="0"/>
        <v>PV_.PX.BDG._.PTC.Utility_Scale2031</v>
      </c>
      <c r="I5" s="91" t="str">
        <f t="shared" si="0"/>
        <v>PV_.PX.HTG._.PTC.Utility_Scale2031</v>
      </c>
      <c r="J5" s="91" t="str">
        <f t="shared" si="0"/>
        <v>PV_.PX.NTN._.PTC.Utility_Scale2031</v>
      </c>
      <c r="K5" s="91" t="str">
        <f t="shared" si="0"/>
        <v>PV_.PX.UTS._.PTC.Utility_Scale2031</v>
      </c>
    </row>
    <row r="6" spans="1:14">
      <c r="A6" s="67">
        <v>2024</v>
      </c>
      <c r="B6" s="68">
        <f>IFERROR(INDEX('WD_.PX.BDG._.PTC.2029'!$L$9:$L$45,MATCH($A6,'WD_.PX.BDG._.PTC.2029'!$B$9:$B$45,0),1),0)</f>
        <v>0</v>
      </c>
      <c r="C6" s="68">
        <f>IFERROR(INDEX('WD_.PX.BDG._.PTC.2030'!$L$9:$L$47,MATCH($A6,'WD_.PX.BDG._.PTC.2030'!$B$9:$B$47,0),1),0)</f>
        <v>0</v>
      </c>
      <c r="D6" s="68">
        <f>IFERROR(INDEX('WD_.PX.BDG._.PTC.2031'!$L$9:$L$47,MATCH($A6,'WD_.PX.BDG._.PTC.2031'!$B$9:$B$47,0),1),0)</f>
        <v>0</v>
      </c>
      <c r="E6" s="68">
        <f>IFERROR(INDEX('Table 3 WD_.PX.DJW._.PTC.2029'!$L$9:$L$48,MATCH($A6,'Table 3 WD_.PX.DJW._.PTC.2029'!$B$9:$B$48,0),1),0)</f>
        <v>0</v>
      </c>
      <c r="F6" s="68">
        <f>IFERROR(INDEX('WD_.PX.DJW._.PTC.2030'!$L$9:$L$47,MATCH($A6,'WD_.PX.DJW._.PTC.2030'!$B$9:$B$47,0),1),0)</f>
        <v>0</v>
      </c>
      <c r="G6" s="68">
        <f>IFERROR(INDEX('WD_.PX.DJW._.PTC.2031'!$L$9:$L$47,MATCH($A6,'WD_.PX.DJW._.PTC.2031'!$B$9:$B$47,0),1),0)</f>
        <v>0</v>
      </c>
      <c r="H6" s="68">
        <f>IFERROR(INDEX('PV_.PX.BDG._.PTC.2031'!$L$9:$L$47,MATCH($A6,'PV_.PX.BDG._.PTC.2031'!$B$9:$B$47,0),1),0)</f>
        <v>0</v>
      </c>
      <c r="I6" s="68">
        <f>IFERROR(INDEX('PV_.PX.HTG._.PTC.2031'!$L$9:$L$47,MATCH($A6,'PV_.PX.HTG._.PTC.2031'!$B$9:$B$47,0),1),0)</f>
        <v>0</v>
      </c>
      <c r="J6" s="68">
        <f>IFERROR(INDEX('PV_.PX.NTN._.PTC.2031'!$L$9:$L$47,MATCH($A6,'PV_.PX.NTN._.PTC.2031'!$B$9:$B$47,0),1),0)</f>
        <v>0</v>
      </c>
      <c r="K6" s="68">
        <f>IFERROR(INDEX('PV_.PX.UTS._.PTC.2031'!$M$9:$M$47,MATCH($A6,'PV_.PX.UTS._.PTC.2031'!$B$9:$B$47,0),1),0)</f>
        <v>0</v>
      </c>
      <c r="N6" s="45"/>
    </row>
    <row r="7" spans="1:14">
      <c r="A7" s="67">
        <f t="shared" ref="A7:A27" si="1">A6+1</f>
        <v>2025</v>
      </c>
      <c r="B7" s="68">
        <f>IFERROR(INDEX('WD_.PX.BDG._.PTC.2029'!$L$9:$L$45,MATCH($A7,'WD_.PX.BDG._.PTC.2029'!$B$9:$B$45,0),1),0)</f>
        <v>0</v>
      </c>
      <c r="C7" s="68">
        <f>IFERROR(INDEX('WD_.PX.BDG._.PTC.2030'!$L$9:$L$47,MATCH($A7,'WD_.PX.BDG._.PTC.2030'!$B$9:$B$47,0),1),0)</f>
        <v>0</v>
      </c>
      <c r="D7" s="68">
        <f>IFERROR(INDEX('WD_.PX.BDG._.PTC.2031'!$L$9:$L$47,MATCH($A7,'WD_.PX.BDG._.PTC.2031'!$B$9:$B$47,0),1),0)</f>
        <v>0</v>
      </c>
      <c r="E7" s="68">
        <f>IFERROR(INDEX('Table 3 WD_.PX.DJW._.PTC.2029'!$L$9:$L$48,MATCH($A7,'Table 3 WD_.PX.DJW._.PTC.2029'!$B$9:$B$48,0),1),0)</f>
        <v>0</v>
      </c>
      <c r="F7" s="68">
        <f>IFERROR(INDEX('WD_.PX.DJW._.PTC.2030'!$L$9:$L$47,MATCH($A7,'WD_.PX.DJW._.PTC.2030'!$B$9:$B$47,0),1),0)</f>
        <v>0</v>
      </c>
      <c r="G7" s="68">
        <f>IFERROR(INDEX('WD_.PX.DJW._.PTC.2031'!$L$9:$L$47,MATCH($A7,'WD_.PX.DJW._.PTC.2031'!$B$9:$B$47,0),1),0)</f>
        <v>0</v>
      </c>
      <c r="H7" s="68">
        <f>IFERROR(INDEX('PV_.PX.BDG._.PTC.2031'!$L$9:$L$47,MATCH($A7,'PV_.PX.BDG._.PTC.2031'!$B$9:$B$47,0),1),0)</f>
        <v>0</v>
      </c>
      <c r="I7" s="68">
        <f>IFERROR(INDEX('PV_.PX.HTG._.PTC.2031'!$L$9:$L$47,MATCH($A7,'PV_.PX.HTG._.PTC.2031'!$B$9:$B$47,0),1),0)</f>
        <v>0</v>
      </c>
      <c r="J7" s="68">
        <f>IFERROR(INDEX('PV_.PX.NTN._.PTC.2031'!$L$9:$L$47,MATCH($A7,'PV_.PX.NTN._.PTC.2031'!$B$9:$B$47,0),1),0)</f>
        <v>0</v>
      </c>
      <c r="K7" s="68">
        <f>IFERROR(INDEX('PV_.PX.UTS._.PTC.2031'!$M$9:$M$47,MATCH($A7,'PV_.PX.UTS._.PTC.2031'!$B$9:$B$47,0),1),0)</f>
        <v>0</v>
      </c>
    </row>
    <row r="8" spans="1:14">
      <c r="A8" s="67">
        <f t="shared" si="1"/>
        <v>2026</v>
      </c>
      <c r="B8" s="68">
        <f>IFERROR(INDEX('WD_.PX.BDG._.PTC.2029'!$L$9:$L$45,MATCH($A8,'WD_.PX.BDG._.PTC.2029'!$B$9:$B$45,0),1),0)</f>
        <v>0</v>
      </c>
      <c r="C8" s="68">
        <f>IFERROR(INDEX('WD_.PX.BDG._.PTC.2030'!$L$9:$L$47,MATCH($A8,'WD_.PX.BDG._.PTC.2030'!$B$9:$B$47,0),1),0)</f>
        <v>0</v>
      </c>
      <c r="D8" s="68">
        <f>IFERROR(INDEX('WD_.PX.BDG._.PTC.2031'!$L$9:$L$47,MATCH($A8,'WD_.PX.BDG._.PTC.2031'!$B$9:$B$47,0),1),0)</f>
        <v>0</v>
      </c>
      <c r="E8" s="68">
        <f>IFERROR(INDEX('Table 3 WD_.PX.DJW._.PTC.2029'!$L$9:$L$48,MATCH($A8,'Table 3 WD_.PX.DJW._.PTC.2029'!$B$9:$B$48,0),1),0)</f>
        <v>0</v>
      </c>
      <c r="F8" s="68">
        <f>IFERROR(INDEX('WD_.PX.DJW._.PTC.2030'!$L$9:$L$47,MATCH($A8,'WD_.PX.DJW._.PTC.2030'!$B$9:$B$47,0),1),0)</f>
        <v>0</v>
      </c>
      <c r="G8" s="68">
        <f>IFERROR(INDEX('WD_.PX.DJW._.PTC.2031'!$L$9:$L$47,MATCH($A8,'WD_.PX.DJW._.PTC.2031'!$B$9:$B$47,0),1),0)</f>
        <v>0</v>
      </c>
      <c r="H8" s="68">
        <f>IFERROR(INDEX('PV_.PX.BDG._.PTC.2031'!$L$9:$L$47,MATCH($A8,'PV_.PX.BDG._.PTC.2031'!$B$9:$B$47,0),1),0)</f>
        <v>0</v>
      </c>
      <c r="I8" s="68">
        <f>IFERROR(INDEX('PV_.PX.HTG._.PTC.2031'!$L$9:$L$47,MATCH($A8,'PV_.PX.HTG._.PTC.2031'!$B$9:$B$47,0),1),0)</f>
        <v>0</v>
      </c>
      <c r="J8" s="68">
        <f>IFERROR(INDEX('PV_.PX.NTN._.PTC.2031'!$L$9:$L$47,MATCH($A8,'PV_.PX.NTN._.PTC.2031'!$B$9:$B$47,0),1),0)</f>
        <v>0</v>
      </c>
      <c r="K8" s="68">
        <f>IFERROR(INDEX('PV_.PX.UTS._.PTC.2031'!$M$9:$M$47,MATCH($A8,'PV_.PX.UTS._.PTC.2031'!$B$9:$B$47,0),1),0)</f>
        <v>0</v>
      </c>
    </row>
    <row r="9" spans="1:14">
      <c r="A9" s="67">
        <f t="shared" si="1"/>
        <v>2027</v>
      </c>
      <c r="B9" s="68">
        <f>IFERROR(INDEX('WD_.PX.BDG._.PTC.2029'!$L$9:$L$45,MATCH($A9,'WD_.PX.BDG._.PTC.2029'!$B$9:$B$45,0),1),0)</f>
        <v>0</v>
      </c>
      <c r="C9" s="68">
        <f>IFERROR(INDEX('WD_.PX.BDG._.PTC.2030'!$L$9:$L$47,MATCH($A9,'WD_.PX.BDG._.PTC.2030'!$B$9:$B$47,0),1),0)</f>
        <v>0</v>
      </c>
      <c r="D9" s="68">
        <f>IFERROR(INDEX('WD_.PX.BDG._.PTC.2031'!$L$9:$L$47,MATCH($A9,'WD_.PX.BDG._.PTC.2031'!$B$9:$B$47,0),1),0)</f>
        <v>0</v>
      </c>
      <c r="E9" s="68">
        <f>IFERROR(INDEX('Table 3 WD_.PX.DJW._.PTC.2029'!$L$9:$L$48,MATCH($A9,'Table 3 WD_.PX.DJW._.PTC.2029'!$B$9:$B$48,0),1),0)</f>
        <v>0</v>
      </c>
      <c r="F9" s="68">
        <f>IFERROR(INDEX('WD_.PX.DJW._.PTC.2030'!$L$9:$L$47,MATCH($A9,'WD_.PX.DJW._.PTC.2030'!$B$9:$B$47,0),1),0)</f>
        <v>0</v>
      </c>
      <c r="G9" s="68">
        <f>IFERROR(INDEX('WD_.PX.DJW._.PTC.2031'!$L$9:$L$47,MATCH($A9,'WD_.PX.DJW._.PTC.2031'!$B$9:$B$47,0),1),0)</f>
        <v>0</v>
      </c>
      <c r="H9" s="68">
        <f>IFERROR(INDEX('PV_.PX.BDG._.PTC.2031'!$L$9:$L$47,MATCH($A9,'PV_.PX.BDG._.PTC.2031'!$B$9:$B$47,0),1),0)</f>
        <v>0</v>
      </c>
      <c r="I9" s="68">
        <f>IFERROR(INDEX('PV_.PX.HTG._.PTC.2031'!$L$9:$L$47,MATCH($A9,'PV_.PX.HTG._.PTC.2031'!$B$9:$B$47,0),1),0)</f>
        <v>0</v>
      </c>
      <c r="J9" s="68">
        <f>IFERROR(INDEX('PV_.PX.NTN._.PTC.2031'!$L$9:$L$47,MATCH($A9,'PV_.PX.NTN._.PTC.2031'!$B$9:$B$47,0),1),0)</f>
        <v>0</v>
      </c>
      <c r="K9" s="68">
        <f>IFERROR(INDEX('PV_.PX.UTS._.PTC.2031'!$M$9:$M$47,MATCH($A9,'PV_.PX.UTS._.PTC.2031'!$B$9:$B$47,0),1),0)</f>
        <v>0</v>
      </c>
    </row>
    <row r="10" spans="1:14">
      <c r="A10" s="67">
        <f t="shared" si="1"/>
        <v>2028</v>
      </c>
      <c r="B10" s="68">
        <f>IFERROR(INDEX('WD_.PX.BDG._.PTC.2029'!$L$9:$L$45,MATCH($A10,'WD_.PX.BDG._.PTC.2029'!$B$9:$B$45,0),1),0)</f>
        <v>0</v>
      </c>
      <c r="C10" s="68">
        <f>IFERROR(INDEX('WD_.PX.BDG._.PTC.2030'!$L$9:$L$47,MATCH($A10,'WD_.PX.BDG._.PTC.2030'!$B$9:$B$47,0),1),0)</f>
        <v>0</v>
      </c>
      <c r="D10" s="68">
        <f>IFERROR(INDEX('WD_.PX.BDG._.PTC.2031'!$L$9:$L$47,MATCH($A10,'WD_.PX.BDG._.PTC.2031'!$B$9:$B$47,0),1),0)</f>
        <v>0</v>
      </c>
      <c r="E10" s="68">
        <f>IFERROR(INDEX('Table 3 WD_.PX.DJW._.PTC.2029'!$L$9:$L$48,MATCH($A10,'Table 3 WD_.PX.DJW._.PTC.2029'!$B$9:$B$48,0),1),0)</f>
        <v>0</v>
      </c>
      <c r="F10" s="68">
        <f>IFERROR(INDEX('WD_.PX.DJW._.PTC.2030'!$L$9:$L$47,MATCH($A10,'WD_.PX.DJW._.PTC.2030'!$B$9:$B$47,0),1),0)</f>
        <v>0</v>
      </c>
      <c r="G10" s="68">
        <f>IFERROR(INDEX('WD_.PX.DJW._.PTC.2031'!$L$9:$L$47,MATCH($A10,'WD_.PX.DJW._.PTC.2031'!$B$9:$B$47,0),1),0)</f>
        <v>0</v>
      </c>
      <c r="H10" s="68">
        <f>IFERROR(INDEX('PV_.PX.BDG._.PTC.2031'!$L$9:$L$47,MATCH($A10,'PV_.PX.BDG._.PTC.2031'!$B$9:$B$47,0),1),0)</f>
        <v>0</v>
      </c>
      <c r="I10" s="68">
        <f>IFERROR(INDEX('PV_.PX.HTG._.PTC.2031'!$L$9:$L$47,MATCH($A10,'PV_.PX.HTG._.PTC.2031'!$B$9:$B$47,0),1),0)</f>
        <v>0</v>
      </c>
      <c r="J10" s="68">
        <f>IFERROR(INDEX('PV_.PX.NTN._.PTC.2031'!$L$9:$L$47,MATCH($A10,'PV_.PX.NTN._.PTC.2031'!$B$9:$B$47,0),1),0)</f>
        <v>0</v>
      </c>
      <c r="K10" s="68">
        <f>IFERROR(INDEX('PV_.PX.UTS._.PTC.2031'!$M$9:$M$47,MATCH($A10,'PV_.PX.UTS._.PTC.2031'!$B$9:$B$47,0),1),0)</f>
        <v>0</v>
      </c>
    </row>
    <row r="11" spans="1:14">
      <c r="A11" s="67">
        <f t="shared" si="1"/>
        <v>2029</v>
      </c>
      <c r="B11" s="68">
        <f>IFERROR(INDEX('WD_.PX.BDG._.PTC.2029'!$L$9:$L$45,MATCH($A11,'WD_.PX.BDG._.PTC.2029'!$B$9:$B$45,0),1),0)</f>
        <v>123.30914837857404</v>
      </c>
      <c r="C11" s="68">
        <f>IFERROR(INDEX('WD_.PX.BDG._.PTC.2030'!$L$9:$L$47,MATCH($A11,'WD_.PX.BDG._.PTC.2030'!$B$9:$B$47,0),1),0)</f>
        <v>0</v>
      </c>
      <c r="D11" s="68">
        <f>IFERROR(INDEX('WD_.PX.BDG._.PTC.2031'!$L$9:$L$47,MATCH($A11,'WD_.PX.BDG._.PTC.2031'!$B$9:$B$47,0),1),0)</f>
        <v>0</v>
      </c>
      <c r="E11" s="68">
        <f>IFERROR(INDEX('Table 3 WD_.PX.DJW._.PTC.2029'!$L$9:$L$48,MATCH($A11,'Table 3 WD_.PX.DJW._.PTC.2029'!$B$9:$B$48,0),1),0)</f>
        <v>123.30914837857404</v>
      </c>
      <c r="F11" s="68">
        <f>IFERROR(INDEX('WD_.PX.DJW._.PTC.2030'!$L$9:$L$47,MATCH($A11,'WD_.PX.DJW._.PTC.2030'!$B$9:$B$47,0),1),0)</f>
        <v>0</v>
      </c>
      <c r="G11" s="68">
        <f>IFERROR(INDEX('WD_.PX.DJW._.PTC.2031'!$L$9:$L$47,MATCH($A11,'WD_.PX.DJW._.PTC.2031'!$B$9:$B$47,0),1),0)</f>
        <v>0</v>
      </c>
      <c r="H11" s="68">
        <f>IFERROR(INDEX('PV_.PX.BDG._.PTC.2031'!$L$9:$L$47,MATCH($A11,'PV_.PX.BDG._.PTC.2031'!$B$9:$B$47,0),1),0)</f>
        <v>0</v>
      </c>
      <c r="I11" s="68">
        <f>IFERROR(INDEX('PV_.PX.HTG._.PTC.2031'!$L$9:$L$47,MATCH($A11,'PV_.PX.HTG._.PTC.2031'!$B$9:$B$47,0),1),0)</f>
        <v>0</v>
      </c>
      <c r="J11" s="68">
        <f>IFERROR(INDEX('PV_.PX.NTN._.PTC.2031'!$L$9:$L$47,MATCH($A11,'PV_.PX.NTN._.PTC.2031'!$B$9:$B$47,0),1),0)</f>
        <v>0</v>
      </c>
      <c r="K11" s="68">
        <f>IFERROR(INDEX('PV_.PX.UTS._.PTC.2031'!$M$9:$M$47,MATCH($A11,'PV_.PX.UTS._.PTC.2031'!$B$9:$B$47,0),1),0)</f>
        <v>0</v>
      </c>
    </row>
    <row r="12" spans="1:14">
      <c r="A12" s="67">
        <f t="shared" si="1"/>
        <v>2030</v>
      </c>
      <c r="B12" s="68">
        <f>IFERROR(INDEX('WD_.PX.BDG._.PTC.2029'!$L$9:$L$45,MATCH($A12,'WD_.PX.BDG._.PTC.2029'!$B$9:$B$45,0),1),0)</f>
        <v>125.99728774828759</v>
      </c>
      <c r="C12" s="68">
        <f>IFERROR(INDEX('WD_.PX.BDG._.PTC.2030'!$L$9:$L$47,MATCH($A12,'WD_.PX.BDG._.PTC.2030'!$B$9:$B$47,0),1),0)</f>
        <v>123.98377517629999</v>
      </c>
      <c r="D12" s="68">
        <f>IFERROR(INDEX('WD_.PX.BDG._.PTC.2031'!$L$9:$L$47,MATCH($A12,'WD_.PX.BDG._.PTC.2031'!$B$9:$B$47,0),1),0)</f>
        <v>0</v>
      </c>
      <c r="E12" s="68">
        <f>IFERROR(INDEX('Table 3 WD_.PX.DJW._.PTC.2029'!$L$9:$L$48,MATCH($A12,'Table 3 WD_.PX.DJW._.PTC.2029'!$B$9:$B$48,0),1),0)</f>
        <v>125.99728774828759</v>
      </c>
      <c r="F12" s="68">
        <f>IFERROR(INDEX('WD_.PX.DJW._.PTC.2030'!$L$9:$L$47,MATCH($A12,'WD_.PX.DJW._.PTC.2030'!$B$9:$B$47,0),1),0)</f>
        <v>123.98377517629999</v>
      </c>
      <c r="G12" s="68">
        <f>IFERROR(INDEX('WD_.PX.DJW._.PTC.2031'!$L$9:$L$47,MATCH($A12,'WD_.PX.DJW._.PTC.2031'!$B$9:$B$47,0),1),0)</f>
        <v>0</v>
      </c>
      <c r="H12" s="68">
        <f>IFERROR(INDEX('PV_.PX.BDG._.PTC.2031'!$L$9:$L$47,MATCH($A12,'PV_.PX.BDG._.PTC.2031'!$B$9:$B$47,0),1),0)</f>
        <v>0</v>
      </c>
      <c r="I12" s="68">
        <f>IFERROR(INDEX('PV_.PX.HTG._.PTC.2031'!$L$9:$L$47,MATCH($A12,'PV_.PX.HTG._.PTC.2031'!$B$9:$B$47,0),1),0)</f>
        <v>0</v>
      </c>
      <c r="J12" s="68">
        <f>IFERROR(INDEX('PV_.PX.NTN._.PTC.2031'!$L$9:$L$47,MATCH($A12,'PV_.PX.NTN._.PTC.2031'!$B$9:$B$47,0),1),0)</f>
        <v>0</v>
      </c>
      <c r="K12" s="68">
        <f>IFERROR(INDEX('PV_.PX.UTS._.PTC.2031'!$M$9:$M$47,MATCH($A12,'PV_.PX.UTS._.PTC.2031'!$B$9:$B$47,0),1),0)</f>
        <v>0</v>
      </c>
    </row>
    <row r="13" spans="1:14">
      <c r="A13" s="67">
        <f t="shared" si="1"/>
        <v>2031</v>
      </c>
      <c r="B13" s="68">
        <f>IFERROR(INDEX('WD_.PX.BDG._.PTC.2029'!$L$9:$L$45,MATCH($A13,'WD_.PX.BDG._.PTC.2029'!$B$9:$B$45,0),1),0)</f>
        <v>128.74402861681637</v>
      </c>
      <c r="C13" s="68">
        <f>IFERROR(INDEX('WD_.PX.BDG._.PTC.2030'!$L$9:$L$47,MATCH($A13,'WD_.PX.BDG._.PTC.2030'!$B$9:$B$47,0),1),0)</f>
        <v>126.68662147082951</v>
      </c>
      <c r="D13" s="68">
        <f>IFERROR(INDEX('WD_.PX.BDG._.PTC.2031'!$L$9:$L$47,MATCH($A13,'WD_.PX.BDG._.PTC.2031'!$B$9:$B$47,0),1),0)</f>
        <v>125.75126857814824</v>
      </c>
      <c r="E13" s="68">
        <f>IFERROR(INDEX('Table 3 WD_.PX.DJW._.PTC.2029'!$L$9:$L$48,MATCH($A13,'Table 3 WD_.PX.DJW._.PTC.2029'!$B$9:$B$48,0),1),0)</f>
        <v>128.74402861681637</v>
      </c>
      <c r="F13" s="68">
        <f>IFERROR(INDEX('WD_.PX.DJW._.PTC.2030'!$L$9:$L$47,MATCH($A13,'WD_.PX.DJW._.PTC.2030'!$B$9:$B$47,0),1),0)</f>
        <v>126.68662147082951</v>
      </c>
      <c r="G13" s="68">
        <f>IFERROR(INDEX('WD_.PX.DJW._.PTC.2031'!$L$9:$L$47,MATCH($A13,'WD_.PX.DJW._.PTC.2031'!$B$9:$B$47,0),1),0)</f>
        <v>125.75126857814824</v>
      </c>
      <c r="H13" s="68">
        <f>IFERROR(INDEX('PV_.PX.BDG._.PTC.2031'!$L$9:$L$47,MATCH($A13,'PV_.PX.BDG._.PTC.2031'!$B$9:$B$47,0),1),0)</f>
        <v>100.77501427340231</v>
      </c>
      <c r="I13" s="68">
        <f>IFERROR(INDEX('PV_.PX.HTG._.PTC.2031'!$L$9:$L$47,MATCH($A13,'PV_.PX.HTG._.PTC.2031'!$B$9:$B$47,0),1),0)</f>
        <v>100.77501427340231</v>
      </c>
      <c r="J13" s="68">
        <f>IFERROR(INDEX('PV_.PX.NTN._.PTC.2031'!$L$9:$L$47,MATCH($A13,'PV_.PX.NTN._.PTC.2031'!$B$9:$B$47,0),1),0)</f>
        <v>100.77501427340231</v>
      </c>
      <c r="K13" s="68">
        <f>IFERROR(INDEX('PV_.PX.UTS._.PTC.2031'!$M$9:$M$47,MATCH($A13,'PV_.PX.UTS._.PTC.2031'!$B$9:$B$47,0),1),0)</f>
        <v>100.77501427340231</v>
      </c>
    </row>
    <row r="14" spans="1:14">
      <c r="A14" s="67">
        <f t="shared" si="1"/>
        <v>2032</v>
      </c>
      <c r="B14" s="68">
        <f>IFERROR(INDEX('WD_.PX.BDG._.PTC.2029'!$L$9:$L$45,MATCH($A14,'WD_.PX.BDG._.PTC.2029'!$B$9:$B$45,0),1),0)</f>
        <v>131.55064840494967</v>
      </c>
      <c r="C14" s="68">
        <f>IFERROR(INDEX('WD_.PX.BDG._.PTC.2030'!$L$9:$L$47,MATCH($A14,'WD_.PX.BDG._.PTC.2030'!$B$9:$B$47,0),1),0)</f>
        <v>129.448389783751</v>
      </c>
      <c r="D14" s="68">
        <f>IFERROR(INDEX('WD_.PX.BDG._.PTC.2031'!$L$9:$L$47,MATCH($A14,'WD_.PX.BDG._.PTC.2031'!$B$9:$B$47,0),1),0)</f>
        <v>128.49264619826874</v>
      </c>
      <c r="E14" s="68">
        <f>IFERROR(INDEX('Table 3 WD_.PX.DJW._.PTC.2029'!$L$9:$L$48,MATCH($A14,'Table 3 WD_.PX.DJW._.PTC.2029'!$B$9:$B$48,0),1),0)</f>
        <v>131.55064840494967</v>
      </c>
      <c r="F14" s="68">
        <f>IFERROR(INDEX('WD_.PX.DJW._.PTC.2030'!$L$9:$L$47,MATCH($A14,'WD_.PX.DJW._.PTC.2030'!$B$9:$B$47,0),1),0)</f>
        <v>129.448389783751</v>
      </c>
      <c r="G14" s="68">
        <f>IFERROR(INDEX('WD_.PX.DJW._.PTC.2031'!$L$9:$L$47,MATCH($A14,'WD_.PX.DJW._.PTC.2031'!$B$9:$B$47,0),1),0)</f>
        <v>128.49264619826874</v>
      </c>
      <c r="H14" s="68">
        <f>IFERROR(INDEX('PV_.PX.BDG._.PTC.2031'!$L$9:$L$47,MATCH($A14,'PV_.PX.BDG._.PTC.2031'!$B$9:$B$47,0),1),0)</f>
        <v>102.9719095566077</v>
      </c>
      <c r="I14" s="68">
        <f>IFERROR(INDEX('PV_.PX.HTG._.PTC.2031'!$L$9:$L$47,MATCH($A14,'PV_.PX.HTG._.PTC.2031'!$B$9:$B$47,0),1),0)</f>
        <v>102.9719095566077</v>
      </c>
      <c r="J14" s="68">
        <f>IFERROR(INDEX('PV_.PX.NTN._.PTC.2031'!$L$9:$L$47,MATCH($A14,'PV_.PX.NTN._.PTC.2031'!$B$9:$B$47,0),1),0)</f>
        <v>102.9719095566077</v>
      </c>
      <c r="K14" s="68">
        <f>IFERROR(INDEX('PV_.PX.UTS._.PTC.2031'!$M$9:$M$47,MATCH($A14,'PV_.PX.UTS._.PTC.2031'!$B$9:$B$47,0),1),0)</f>
        <v>102.9719095566077</v>
      </c>
    </row>
    <row r="15" spans="1:14">
      <c r="A15" s="67">
        <f t="shared" si="1"/>
        <v>2033</v>
      </c>
      <c r="B15" s="68">
        <f>IFERROR(INDEX('WD_.PX.BDG._.PTC.2029'!$L$9:$L$45,MATCH($A15,'WD_.PX.BDG._.PTC.2029'!$B$9:$B$45,0),1),0)</f>
        <v>134.41845254174956</v>
      </c>
      <c r="C15" s="68">
        <f>IFERROR(INDEX('WD_.PX.BDG._.PTC.2030'!$L$9:$L$47,MATCH($A15,'WD_.PX.BDG._.PTC.2030'!$B$9:$B$47,0),1),0)</f>
        <v>132.27036468258365</v>
      </c>
      <c r="D15" s="68">
        <f>IFERROR(INDEX('WD_.PX.BDG._.PTC.2031'!$L$9:$L$47,MATCH($A15,'WD_.PX.BDG._.PTC.2031'!$B$9:$B$47,0),1),0)</f>
        <v>131.29378588692646</v>
      </c>
      <c r="E15" s="68">
        <f>IFERROR(INDEX('Table 3 WD_.PX.DJW._.PTC.2029'!$L$9:$L$48,MATCH($A15,'Table 3 WD_.PX.DJW._.PTC.2029'!$B$9:$B$48,0),1),0)</f>
        <v>134.41845254174956</v>
      </c>
      <c r="F15" s="68">
        <f>IFERROR(INDEX('WD_.PX.DJW._.PTC.2030'!$L$9:$L$47,MATCH($A15,'WD_.PX.DJW._.PTC.2030'!$B$9:$B$47,0),1),0)</f>
        <v>132.27036468258365</v>
      </c>
      <c r="G15" s="68">
        <f>IFERROR(INDEX('WD_.PX.DJW._.PTC.2031'!$L$9:$L$47,MATCH($A15,'WD_.PX.DJW._.PTC.2031'!$B$9:$B$47,0),1),0)</f>
        <v>131.29378588692646</v>
      </c>
      <c r="H15" s="68">
        <f>IFERROR(INDEX('PV_.PX.BDG._.PTC.2031'!$L$9:$L$47,MATCH($A15,'PV_.PX.BDG._.PTC.2031'!$B$9:$B$47,0),1),0)</f>
        <v>105.21669718617223</v>
      </c>
      <c r="I15" s="68">
        <f>IFERROR(INDEX('PV_.PX.HTG._.PTC.2031'!$L$9:$L$47,MATCH($A15,'PV_.PX.HTG._.PTC.2031'!$B$9:$B$47,0),1),0)</f>
        <v>105.21669718617223</v>
      </c>
      <c r="J15" s="68">
        <f>IFERROR(INDEX('PV_.PX.NTN._.PTC.2031'!$L$9:$L$47,MATCH($A15,'PV_.PX.NTN._.PTC.2031'!$B$9:$B$47,0),1),0)</f>
        <v>105.21669718617223</v>
      </c>
      <c r="K15" s="68">
        <f>IFERROR(INDEX('PV_.PX.UTS._.PTC.2031'!$M$9:$M$47,MATCH($A15,'PV_.PX.UTS._.PTC.2031'!$B$9:$B$47,0),1),0)</f>
        <v>105.21669718617223</v>
      </c>
    </row>
    <row r="16" spans="1:14">
      <c r="A16" s="67">
        <f t="shared" si="1"/>
        <v>2034</v>
      </c>
      <c r="B16" s="68">
        <f>IFERROR(INDEX('WD_.PX.BDG._.PTC.2029'!$L$9:$L$45,MATCH($A16,'WD_.PX.BDG._.PTC.2029'!$B$9:$B$45,0),1),0)</f>
        <v>137.34877490736955</v>
      </c>
      <c r="C16" s="68">
        <f>IFERROR(INDEX('WD_.PX.BDG._.PTC.2030'!$L$9:$L$47,MATCH($A16,'WD_.PX.BDG._.PTC.2030'!$B$9:$B$47,0),1),0)</f>
        <v>135.15385873127238</v>
      </c>
      <c r="D16" s="68">
        <f>IFERROR(INDEX('WD_.PX.BDG._.PTC.2031'!$L$9:$L$47,MATCH($A16,'WD_.PX.BDG._.PTC.2031'!$B$9:$B$47,0),1),0)</f>
        <v>134.15599051714182</v>
      </c>
      <c r="E16" s="68">
        <f>IFERROR(INDEX('Table 3 WD_.PX.DJW._.PTC.2029'!$L$9:$L$48,MATCH($A16,'Table 3 WD_.PX.DJW._.PTC.2029'!$B$9:$B$48,0),1),0)</f>
        <v>137.34877490736955</v>
      </c>
      <c r="F16" s="68">
        <f>IFERROR(INDEX('WD_.PX.DJW._.PTC.2030'!$L$9:$L$47,MATCH($A16,'WD_.PX.DJW._.PTC.2030'!$B$9:$B$47,0),1),0)</f>
        <v>135.15385873127238</v>
      </c>
      <c r="G16" s="68">
        <f>IFERROR(INDEX('WD_.PX.DJW._.PTC.2031'!$L$9:$L$47,MATCH($A16,'WD_.PX.DJW._.PTC.2031'!$B$9:$B$47,0),1),0)</f>
        <v>134.15599051714182</v>
      </c>
      <c r="H16" s="68">
        <f>IFERROR(INDEX('PV_.PX.BDG._.PTC.2031'!$L$9:$L$47,MATCH($A16,'PV_.PX.BDG._.PTC.2031'!$B$9:$B$47,0),1),0)</f>
        <v>107.51042126327052</v>
      </c>
      <c r="I16" s="68">
        <f>IFERROR(INDEX('PV_.PX.HTG._.PTC.2031'!$L$9:$L$47,MATCH($A16,'PV_.PX.HTG._.PTC.2031'!$B$9:$B$47,0),1),0)</f>
        <v>107.51042126327052</v>
      </c>
      <c r="J16" s="68">
        <f>IFERROR(INDEX('PV_.PX.NTN._.PTC.2031'!$L$9:$L$47,MATCH($A16,'PV_.PX.NTN._.PTC.2031'!$B$9:$B$47,0),1),0)</f>
        <v>107.51042126327052</v>
      </c>
      <c r="K16" s="68">
        <f>IFERROR(INDEX('PV_.PX.UTS._.PTC.2031'!$M$9:$M$47,MATCH($A16,'PV_.PX.UTS._.PTC.2031'!$B$9:$B$47,0),1),0)</f>
        <v>107.51042126327052</v>
      </c>
    </row>
    <row r="17" spans="1:11">
      <c r="A17" s="67">
        <f t="shared" si="1"/>
        <v>2035</v>
      </c>
      <c r="B17" s="68">
        <f>IFERROR(INDEX('WD_.PX.BDG._.PTC.2029'!$L$9:$L$45,MATCH($A17,'WD_.PX.BDG._.PTC.2029'!$B$9:$B$45,0),1),0)</f>
        <v>140.34297816516823</v>
      </c>
      <c r="C17" s="68">
        <f>IFERROR(INDEX('WD_.PX.BDG._.PTC.2030'!$L$9:$L$47,MATCH($A17,'WD_.PX.BDG._.PTC.2030'!$B$9:$B$47,0),1),0)</f>
        <v>138.10021281699443</v>
      </c>
      <c r="D17" s="68">
        <f>IFERROR(INDEX('WD_.PX.BDG._.PTC.2031'!$L$9:$L$47,MATCH($A17,'WD_.PX.BDG._.PTC.2031'!$B$9:$B$47,0),1),0)</f>
        <v>137.08059107605141</v>
      </c>
      <c r="E17" s="68">
        <f>IFERROR(INDEX('Table 3 WD_.PX.DJW._.PTC.2029'!$L$9:$L$48,MATCH($A17,'Table 3 WD_.PX.DJW._.PTC.2029'!$B$9:$B$48,0),1),0)</f>
        <v>140.34297816516823</v>
      </c>
      <c r="F17" s="68">
        <f>IFERROR(INDEX('WD_.PX.DJW._.PTC.2030'!$L$9:$L$47,MATCH($A17,'WD_.PX.DJW._.PTC.2030'!$B$9:$B$47,0),1),0)</f>
        <v>138.10021281699443</v>
      </c>
      <c r="G17" s="68">
        <f>IFERROR(INDEX('WD_.PX.DJW._.PTC.2031'!$L$9:$L$47,MATCH($A17,'WD_.PX.DJW._.PTC.2031'!$B$9:$B$47,0),1),0)</f>
        <v>137.08059107605141</v>
      </c>
      <c r="H17" s="68">
        <f>IFERROR(INDEX('PV_.PX.BDG._.PTC.2031'!$L$9:$L$47,MATCH($A17,'PV_.PX.BDG._.PTC.2031'!$B$9:$B$47,0),1),0)</f>
        <v>109.85414841927098</v>
      </c>
      <c r="I17" s="68">
        <f>IFERROR(INDEX('PV_.PX.HTG._.PTC.2031'!$L$9:$L$47,MATCH($A17,'PV_.PX.HTG._.PTC.2031'!$B$9:$B$47,0),1),0)</f>
        <v>109.85414841927098</v>
      </c>
      <c r="J17" s="68">
        <f>IFERROR(INDEX('PV_.PX.NTN._.PTC.2031'!$L$9:$L$47,MATCH($A17,'PV_.PX.NTN._.PTC.2031'!$B$9:$B$47,0),1),0)</f>
        <v>109.85414841927098</v>
      </c>
      <c r="K17" s="68">
        <f>IFERROR(INDEX('PV_.PX.UTS._.PTC.2031'!$M$9:$M$47,MATCH($A17,'PV_.PX.UTS._.PTC.2031'!$B$9:$B$47,0),1),0)</f>
        <v>109.85414841927098</v>
      </c>
    </row>
    <row r="18" spans="1:11">
      <c r="A18" s="67">
        <f t="shared" si="1"/>
        <v>2036</v>
      </c>
      <c r="B18" s="68">
        <f>IFERROR(INDEX('WD_.PX.BDG._.PTC.2029'!$L$9:$L$45,MATCH($A18,'WD_.PX.BDG._.PTC.2029'!$B$9:$B$45,0),1),0)</f>
        <v>143.40245509016526</v>
      </c>
      <c r="C18" s="68">
        <f>IFERROR(INDEX('WD_.PX.BDG._.PTC.2030'!$L$9:$L$47,MATCH($A18,'WD_.PX.BDG._.PTC.2030'!$B$9:$B$47,0),1),0)</f>
        <v>141.1107974573853</v>
      </c>
      <c r="D18" s="68">
        <f>IFERROR(INDEX('WD_.PX.BDG._.PTC.2031'!$L$9:$L$47,MATCH($A18,'WD_.PX.BDG._.PTC.2031'!$B$9:$B$47,0),1),0)</f>
        <v>140.0689479624825</v>
      </c>
      <c r="E18" s="68">
        <f>IFERROR(INDEX('Table 3 WD_.PX.DJW._.PTC.2029'!$L$9:$L$48,MATCH($A18,'Table 3 WD_.PX.DJW._.PTC.2029'!$B$9:$B$48,0),1),0)</f>
        <v>143.40245509016526</v>
      </c>
      <c r="F18" s="68">
        <f>IFERROR(INDEX('WD_.PX.DJW._.PTC.2030'!$L$9:$L$47,MATCH($A18,'WD_.PX.DJW._.PTC.2030'!$B$9:$B$47,0),1),0)</f>
        <v>141.1107974573853</v>
      </c>
      <c r="G18" s="68">
        <f>IFERROR(INDEX('WD_.PX.DJW._.PTC.2031'!$L$9:$L$47,MATCH($A18,'WD_.PX.DJW._.PTC.2031'!$B$9:$B$47,0),1),0)</f>
        <v>140.0689479624825</v>
      </c>
      <c r="H18" s="68">
        <f>IFERROR(INDEX('PV_.PX.BDG._.PTC.2031'!$L$9:$L$47,MATCH($A18,'PV_.PX.BDG._.PTC.2031'!$B$9:$B$47,0),1),0)</f>
        <v>112.24896885559099</v>
      </c>
      <c r="I18" s="68">
        <f>IFERROR(INDEX('PV_.PX.HTG._.PTC.2031'!$L$9:$L$47,MATCH($A18,'PV_.PX.HTG._.PTC.2031'!$B$9:$B$47,0),1),0)</f>
        <v>112.24896885559099</v>
      </c>
      <c r="J18" s="68">
        <f>IFERROR(INDEX('PV_.PX.NTN._.PTC.2031'!$L$9:$L$47,MATCH($A18,'PV_.PX.NTN._.PTC.2031'!$B$9:$B$47,0),1),0)</f>
        <v>112.24896885559099</v>
      </c>
      <c r="K18" s="68">
        <f>IFERROR(INDEX('PV_.PX.UTS._.PTC.2031'!$M$9:$M$47,MATCH($A18,'PV_.PX.UTS._.PTC.2031'!$B$9:$B$47,0),1),0)</f>
        <v>112.24896885559099</v>
      </c>
    </row>
    <row r="19" spans="1:11">
      <c r="A19" s="67">
        <f t="shared" si="1"/>
        <v>2037</v>
      </c>
      <c r="B19" s="68">
        <f>IFERROR(INDEX('WD_.PX.BDG._.PTC.2029'!$L$9:$L$45,MATCH($A19,'WD_.PX.BDG._.PTC.2029'!$B$9:$B$45,0),1),0)</f>
        <v>146.52862856904096</v>
      </c>
      <c r="C19" s="68">
        <f>IFERROR(INDEX('WD_.PX.BDG._.PTC.2030'!$L$9:$L$47,MATCH($A19,'WD_.PX.BDG._.PTC.2030'!$B$9:$B$47,0),1),0)</f>
        <v>144.18701280053904</v>
      </c>
      <c r="D19" s="68">
        <f>IFERROR(INDEX('WD_.PX.BDG._.PTC.2031'!$L$9:$L$47,MATCH($A19,'WD_.PX.BDG._.PTC.2031'!$B$9:$B$47,0),1),0)</f>
        <v>143.12245098695314</v>
      </c>
      <c r="E19" s="68">
        <f>IFERROR(INDEX('Table 3 WD_.PX.DJW._.PTC.2029'!$L$9:$L$48,MATCH($A19,'Table 3 WD_.PX.DJW._.PTC.2029'!$B$9:$B$48,0),1),0)</f>
        <v>146.52862856904096</v>
      </c>
      <c r="F19" s="68">
        <f>IFERROR(INDEX('WD_.PX.DJW._.PTC.2030'!$L$9:$L$47,MATCH($A19,'WD_.PX.DJW._.PTC.2030'!$B$9:$B$47,0),1),0)</f>
        <v>144.18701280053904</v>
      </c>
      <c r="G19" s="68">
        <f>IFERROR(INDEX('WD_.PX.DJW._.PTC.2031'!$L$9:$L$47,MATCH($A19,'WD_.PX.DJW._.PTC.2031'!$B$9:$B$47,0),1),0)</f>
        <v>143.12245098695314</v>
      </c>
      <c r="H19" s="68">
        <f>IFERROR(INDEX('PV_.PX.BDG._.PTC.2031'!$L$9:$L$47,MATCH($A19,'PV_.PX.BDG._.PTC.2031'!$B$9:$B$47,0),1),0)</f>
        <v>114.69599634369681</v>
      </c>
      <c r="I19" s="68">
        <f>IFERROR(INDEX('PV_.PX.HTG._.PTC.2031'!$L$9:$L$47,MATCH($A19,'PV_.PX.HTG._.PTC.2031'!$B$9:$B$47,0),1),0)</f>
        <v>114.69599634369681</v>
      </c>
      <c r="J19" s="68">
        <f>IFERROR(INDEX('PV_.PX.NTN._.PTC.2031'!$L$9:$L$47,MATCH($A19,'PV_.PX.NTN._.PTC.2031'!$B$9:$B$47,0),1),0)</f>
        <v>114.69599634369681</v>
      </c>
      <c r="K19" s="68">
        <f>IFERROR(INDEX('PV_.PX.UTS._.PTC.2031'!$M$9:$M$47,MATCH($A19,'PV_.PX.UTS._.PTC.2031'!$B$9:$B$47,0),1),0)</f>
        <v>114.69599634369681</v>
      </c>
    </row>
    <row r="20" spans="1:11">
      <c r="A20" s="67">
        <f t="shared" si="1"/>
        <v>2038</v>
      </c>
      <c r="B20" s="68">
        <f>IFERROR(INDEX('WD_.PX.BDG._.PTC.2029'!$L$9:$L$45,MATCH($A20,'WD_.PX.BDG._.PTC.2029'!$B$9:$B$45,0),1),0)</f>
        <v>149.72295270718297</v>
      </c>
      <c r="C20" s="68">
        <f>IFERROR(INDEX('WD_.PX.BDG._.PTC.2030'!$L$9:$L$47,MATCH($A20,'WD_.PX.BDG._.PTC.2030'!$B$9:$B$47,0),1),0)</f>
        <v>147.330289714363</v>
      </c>
      <c r="D20" s="68">
        <f>IFERROR(INDEX('WD_.PX.BDG._.PTC.2031'!$L$9:$L$47,MATCH($A20,'WD_.PX.BDG._.PTC.2031'!$B$9:$B$47,0),1),0)</f>
        <v>146.24252045298422</v>
      </c>
      <c r="E20" s="68">
        <f>IFERROR(INDEX('Table 3 WD_.PX.DJW._.PTC.2029'!$L$9:$L$48,MATCH($A20,'Table 3 WD_.PX.DJW._.PTC.2029'!$B$9:$B$48,0),1),0)</f>
        <v>149.72295270718297</v>
      </c>
      <c r="F20" s="68">
        <f>IFERROR(INDEX('WD_.PX.DJW._.PTC.2030'!$L$9:$L$47,MATCH($A20,'WD_.PX.DJW._.PTC.2030'!$B$9:$B$47,0),1),0)</f>
        <v>147.330289714363</v>
      </c>
      <c r="G20" s="68">
        <f>IFERROR(INDEX('WD_.PX.DJW._.PTC.2031'!$L$9:$L$47,MATCH($A20,'WD_.PX.DJW._.PTC.2031'!$B$9:$B$47,0),1),0)</f>
        <v>146.24252045298422</v>
      </c>
      <c r="H20" s="68">
        <f>IFERROR(INDEX('PV_.PX.BDG._.PTC.2031'!$L$9:$L$47,MATCH($A20,'PV_.PX.BDG._.PTC.2031'!$B$9:$B$47,0),1),0)</f>
        <v>117.19636909164954</v>
      </c>
      <c r="I20" s="68">
        <f>IFERROR(INDEX('PV_.PX.HTG._.PTC.2031'!$L$9:$L$47,MATCH($A20,'PV_.PX.HTG._.PTC.2031'!$B$9:$B$47,0),1),0)</f>
        <v>117.19636909164954</v>
      </c>
      <c r="J20" s="68">
        <f>IFERROR(INDEX('PV_.PX.NTN._.PTC.2031'!$L$9:$L$47,MATCH($A20,'PV_.PX.NTN._.PTC.2031'!$B$9:$B$47,0),1),0)</f>
        <v>117.19636909164954</v>
      </c>
      <c r="K20" s="68">
        <f>IFERROR(INDEX('PV_.PX.UTS._.PTC.2031'!$M$9:$M$47,MATCH($A20,'PV_.PX.UTS._.PTC.2031'!$B$9:$B$47,0),1),0)</f>
        <v>117.19636909164954</v>
      </c>
    </row>
    <row r="21" spans="1:11">
      <c r="A21" s="67">
        <f t="shared" si="1"/>
        <v>2039</v>
      </c>
      <c r="B21" s="68">
        <f>IFERROR(INDEX('WD_.PX.BDG._.PTC.2029'!$L$9:$L$45,MATCH($A21,'WD_.PX.BDG._.PTC.2029'!$B$9:$B$45,0),1),0)</f>
        <v>152.98691305009541</v>
      </c>
      <c r="C21" s="68">
        <f>IFERROR(INDEX('WD_.PX.BDG._.PTC.2030'!$L$9:$L$47,MATCH($A21,'WD_.PX.BDG._.PTC.2030'!$B$9:$B$47,0),1),0)</f>
        <v>150.54209000444914</v>
      </c>
      <c r="D21" s="68">
        <f>IFERROR(INDEX('WD_.PX.BDG._.PTC.2031'!$L$9:$L$47,MATCH($A21,'WD_.PX.BDG._.PTC.2031'!$B$9:$B$47,0),1),0)</f>
        <v>149.43060737336194</v>
      </c>
      <c r="E21" s="68">
        <f>IFERROR(INDEX('Table 3 WD_.PX.DJW._.PTC.2029'!$L$9:$L$48,MATCH($A21,'Table 3 WD_.PX.DJW._.PTC.2029'!$B$9:$B$48,0),1),0)</f>
        <v>152.98691305009541</v>
      </c>
      <c r="F21" s="68">
        <f>IFERROR(INDEX('WD_.PX.DJW._.PTC.2030'!$L$9:$L$47,MATCH($A21,'WD_.PX.DJW._.PTC.2030'!$B$9:$B$47,0),1),0)</f>
        <v>150.54209000444914</v>
      </c>
      <c r="G21" s="68">
        <f>IFERROR(INDEX('WD_.PX.DJW._.PTC.2031'!$L$9:$L$47,MATCH($A21,'WD_.PX.DJW._.PTC.2031'!$B$9:$B$47,0),1),0)</f>
        <v>149.43060737336194</v>
      </c>
      <c r="H21" s="68">
        <f>IFERROR(INDEX('PV_.PX.BDG._.PTC.2031'!$L$9:$L$47,MATCH($A21,'PV_.PX.BDG._.PTC.2031'!$B$9:$B$47,0),1),0)</f>
        <v>119.75124991741436</v>
      </c>
      <c r="I21" s="68">
        <f>IFERROR(INDEX('PV_.PX.HTG._.PTC.2031'!$L$9:$L$47,MATCH($A21,'PV_.PX.HTG._.PTC.2031'!$B$9:$B$47,0),1),0)</f>
        <v>119.75124991741436</v>
      </c>
      <c r="J21" s="68">
        <f>IFERROR(INDEX('PV_.PX.NTN._.PTC.2031'!$L$9:$L$47,MATCH($A21,'PV_.PX.NTN._.PTC.2031'!$B$9:$B$47,0),1),0)</f>
        <v>119.75124991741436</v>
      </c>
      <c r="K21" s="68">
        <f>IFERROR(INDEX('PV_.PX.UTS._.PTC.2031'!$M$9:$M$47,MATCH($A21,'PV_.PX.UTS._.PTC.2031'!$B$9:$B$47,0),1),0)</f>
        <v>119.75124991741436</v>
      </c>
    </row>
    <row r="22" spans="1:11">
      <c r="A22" s="67">
        <f t="shared" si="1"/>
        <v>2040</v>
      </c>
      <c r="B22" s="68">
        <f>IFERROR(INDEX('WD_.PX.BDG._.PTC.2029'!$L$9:$L$45,MATCH($A22,'WD_.PX.BDG._.PTC.2029'!$B$9:$B$45,0),1),0)</f>
        <v>156.32202780114989</v>
      </c>
      <c r="C22" s="68">
        <f>IFERROR(INDEX('WD_.PX.BDG._.PTC.2030'!$L$9:$L$47,MATCH($A22,'WD_.PX.BDG._.PTC.2030'!$B$9:$B$47,0),1),0)</f>
        <v>153.82390761236439</v>
      </c>
      <c r="D22" s="68">
        <f>IFERROR(INDEX('WD_.PX.BDG._.PTC.2031'!$L$9:$L$47,MATCH($A22,'WD_.PX.BDG._.PTC.2031'!$B$9:$B$47,0),1),0)</f>
        <v>152.68819465958123</v>
      </c>
      <c r="E22" s="68">
        <f>IFERROR(INDEX('Table 3 WD_.PX.DJW._.PTC.2029'!$L$9:$L$48,MATCH($A22,'Table 3 WD_.PX.DJW._.PTC.2029'!$B$9:$B$48,0),1),0)</f>
        <v>156.32202780114989</v>
      </c>
      <c r="F22" s="68">
        <f>IFERROR(INDEX('WD_.PX.DJW._.PTC.2030'!$L$9:$L$47,MATCH($A22,'WD_.PX.DJW._.PTC.2030'!$B$9:$B$47,0),1),0)</f>
        <v>153.82390761236439</v>
      </c>
      <c r="G22" s="68">
        <f>IFERROR(INDEX('WD_.PX.DJW._.PTC.2031'!$L$9:$L$47,MATCH($A22,'WD_.PX.DJW._.PTC.2031'!$B$9:$B$47,0),1),0)</f>
        <v>152.68819465958123</v>
      </c>
      <c r="H22" s="68">
        <f>IFERROR(INDEX('PV_.PX.BDG._.PTC.2031'!$L$9:$L$47,MATCH($A22,'PV_.PX.BDG._.PTC.2031'!$B$9:$B$47,0),1),0)</f>
        <v>122.36182720206089</v>
      </c>
      <c r="I22" s="68">
        <f>IFERROR(INDEX('PV_.PX.HTG._.PTC.2031'!$L$9:$L$47,MATCH($A22,'PV_.PX.HTG._.PTC.2031'!$B$9:$B$47,0),1),0)</f>
        <v>122.36182720206089</v>
      </c>
      <c r="J22" s="68">
        <f>IFERROR(INDEX('PV_.PX.NTN._.PTC.2031'!$L$9:$L$47,MATCH($A22,'PV_.PX.NTN._.PTC.2031'!$B$9:$B$47,0),1),0)</f>
        <v>122.36182720206089</v>
      </c>
      <c r="K22" s="68">
        <f>IFERROR(INDEX('PV_.PX.UTS._.PTC.2031'!$M$9:$M$47,MATCH($A22,'PV_.PX.UTS._.PTC.2031'!$B$9:$B$47,0),1),0)</f>
        <v>122.36182720206089</v>
      </c>
    </row>
    <row r="23" spans="1:11">
      <c r="A23" s="67">
        <f t="shared" si="1"/>
        <v>2041</v>
      </c>
      <c r="B23" s="68">
        <f>IFERROR(INDEX('WD_.PX.BDG._.PTC.2029'!$L$9:$L$45,MATCH($A23,'WD_.PX.BDG._.PTC.2029'!$B$9:$B$45,0),1),0)</f>
        <v>159.72984793229006</v>
      </c>
      <c r="C23" s="68">
        <f>IFERROR(INDEX('WD_.PX.BDG._.PTC.2030'!$L$9:$L$47,MATCH($A23,'WD_.PX.BDG._.PTC.2030'!$B$9:$B$47,0),1),0)</f>
        <v>157.17726872458636</v>
      </c>
      <c r="D23" s="68">
        <f>IFERROR(INDEX('WD_.PX.BDG._.PTC.2031'!$L$9:$L$47,MATCH($A23,'WD_.PX.BDG._.PTC.2031'!$B$9:$B$47,0),1),0)</f>
        <v>156.0167972299769</v>
      </c>
      <c r="E23" s="68">
        <f>IFERROR(INDEX('Table 3 WD_.PX.DJW._.PTC.2029'!$L$9:$L$48,MATCH($A23,'Table 3 WD_.PX.DJW._.PTC.2029'!$B$9:$B$48,0),1),0)</f>
        <v>159.72984793229006</v>
      </c>
      <c r="F23" s="68">
        <f>IFERROR(INDEX('WD_.PX.DJW._.PTC.2030'!$L$9:$L$47,MATCH($A23,'WD_.PX.DJW._.PTC.2030'!$B$9:$B$47,0),1),0)</f>
        <v>157.17726872458636</v>
      </c>
      <c r="G23" s="68">
        <f>IFERROR(INDEX('WD_.PX.DJW._.PTC.2031'!$L$9:$L$47,MATCH($A23,'WD_.PX.DJW._.PTC.2031'!$B$9:$B$47,0),1),0)</f>
        <v>156.0167972299769</v>
      </c>
      <c r="H23" s="68">
        <f>IFERROR(INDEX('PV_.PX.BDG._.PTC.2031'!$L$9:$L$47,MATCH($A23,'PV_.PX.BDG._.PTC.2031'!$B$9:$B$47,0),1),0)</f>
        <v>125.02931497641799</v>
      </c>
      <c r="I23" s="68">
        <f>IFERROR(INDEX('PV_.PX.HTG._.PTC.2031'!$L$9:$L$47,MATCH($A23,'PV_.PX.HTG._.PTC.2031'!$B$9:$B$47,0),1),0)</f>
        <v>125.02931497641799</v>
      </c>
      <c r="J23" s="68">
        <f>IFERROR(INDEX('PV_.PX.NTN._.PTC.2031'!$L$9:$L$47,MATCH($A23,'PV_.PX.NTN._.PTC.2031'!$B$9:$B$47,0),1),0)</f>
        <v>125.02931497641799</v>
      </c>
      <c r="K23" s="68">
        <f>IFERROR(INDEX('PV_.PX.UTS._.PTC.2031'!$M$9:$M$47,MATCH($A23,'PV_.PX.UTS._.PTC.2031'!$B$9:$B$47,0),1),0)</f>
        <v>125.02931497641799</v>
      </c>
    </row>
    <row r="24" spans="1:11">
      <c r="A24" s="67">
        <f t="shared" si="1"/>
        <v>2042</v>
      </c>
      <c r="B24" s="68">
        <f>IFERROR(INDEX('WD_.PX.BDG._.PTC.2029'!$L$9:$L$45,MATCH($A24,'WD_.PX.BDG._.PTC.2029'!$B$9:$B$45,0),1),0)</f>
        <v>163.21195862319203</v>
      </c>
      <c r="C24" s="68">
        <f>IFERROR(INDEX('WD_.PX.BDG._.PTC.2030'!$L$9:$L$47,MATCH($A24,'WD_.PX.BDG._.PTC.2030'!$B$9:$B$47,0),1),0)</f>
        <v>160.60373318866488</v>
      </c>
      <c r="D24" s="68">
        <f>IFERROR(INDEX('WD_.PX.BDG._.PTC.2031'!$L$9:$L$47,MATCH($A24,'WD_.PX.BDG._.PTC.2031'!$B$9:$B$47,0),1),0)</f>
        <v>159.41796341542948</v>
      </c>
      <c r="E24" s="68">
        <f>IFERROR(INDEX('Table 3 WD_.PX.DJW._.PTC.2029'!$L$9:$L$48,MATCH($A24,'Table 3 WD_.PX.DJW._.PTC.2029'!$B$9:$B$48,0),1),0)</f>
        <v>163.21195862319203</v>
      </c>
      <c r="F24" s="68">
        <f>IFERROR(INDEX('WD_.PX.DJW._.PTC.2030'!$L$9:$L$47,MATCH($A24,'WD_.PX.DJW._.PTC.2030'!$B$9:$B$47,0),1),0)</f>
        <v>160.60373318866488</v>
      </c>
      <c r="G24" s="68">
        <f>IFERROR(INDEX('WD_.PX.DJW._.PTC.2031'!$L$9:$L$47,MATCH($A24,'WD_.PX.DJW._.PTC.2031'!$B$9:$B$47,0),1),0)</f>
        <v>159.41796341542948</v>
      </c>
      <c r="H24" s="68">
        <f>IFERROR(INDEX('PV_.PX.BDG._.PTC.2031'!$L$9:$L$47,MATCH($A24,'PV_.PX.BDG._.PTC.2031'!$B$9:$B$47,0),1),0)</f>
        <v>127.75495404758324</v>
      </c>
      <c r="I24" s="68">
        <f>IFERROR(INDEX('PV_.PX.HTG._.PTC.2031'!$L$9:$L$47,MATCH($A24,'PV_.PX.HTG._.PTC.2031'!$B$9:$B$47,0),1),0)</f>
        <v>127.75495404758324</v>
      </c>
      <c r="J24" s="68">
        <f>IFERROR(INDEX('PV_.PX.NTN._.PTC.2031'!$L$9:$L$47,MATCH($A24,'PV_.PX.NTN._.PTC.2031'!$B$9:$B$47,0),1),0)</f>
        <v>127.75495404758324</v>
      </c>
      <c r="K24" s="68">
        <f>IFERROR(INDEX('PV_.PX.UTS._.PTC.2031'!$M$9:$M$47,MATCH($A24,'PV_.PX.UTS._.PTC.2031'!$B$9:$B$47,0),1),0)</f>
        <v>127.75495404758324</v>
      </c>
    </row>
    <row r="25" spans="1:11">
      <c r="A25" s="67">
        <f t="shared" si="1"/>
        <v>2043</v>
      </c>
      <c r="B25" s="68">
        <f>IFERROR(INDEX('WD_.PX.BDG._.PTC.2029'!$L$9:$L$45,MATCH($A25,'WD_.PX.BDG._.PTC.2029'!$B$9:$B$45,0),1),0)</f>
        <v>166.7699793719689</v>
      </c>
      <c r="C25" s="68">
        <f>IFERROR(INDEX('WD_.PX.BDG._.PTC.2030'!$L$9:$L$47,MATCH($A25,'WD_.PX.BDG._.PTC.2030'!$B$9:$B$47,0),1),0)</f>
        <v>164.10489462215736</v>
      </c>
      <c r="D25" s="68">
        <f>IFERROR(INDEX('WD_.PX.BDG._.PTC.2031'!$L$9:$L$47,MATCH($A25,'WD_.PX.BDG._.PTC.2031'!$B$9:$B$47,0),1),0)</f>
        <v>162.89327506749646</v>
      </c>
      <c r="E25" s="68">
        <f>IFERROR(INDEX('Table 3 WD_.PX.DJW._.PTC.2029'!$L$9:$L$48,MATCH($A25,'Table 3 WD_.PX.DJW._.PTC.2029'!$B$9:$B$48,0),1),0)</f>
        <v>166.7699793719689</v>
      </c>
      <c r="F25" s="68">
        <f>IFERROR(INDEX('WD_.PX.DJW._.PTC.2030'!$L$9:$L$47,MATCH($A25,'WD_.PX.DJW._.PTC.2030'!$B$9:$B$47,0),1),0)</f>
        <v>164.10489462215736</v>
      </c>
      <c r="G25" s="68">
        <f>IFERROR(INDEX('WD_.PX.DJW._.PTC.2031'!$L$9:$L$47,MATCH($A25,'WD_.PX.DJW._.PTC.2031'!$B$9:$B$47,0),1),0)</f>
        <v>162.89327506749646</v>
      </c>
      <c r="H25" s="68">
        <f>IFERROR(INDEX('PV_.PX.BDG._.PTC.2031'!$L$9:$L$47,MATCH($A25,'PV_.PX.BDG._.PTC.2031'!$B$9:$B$47,0),1),0)</f>
        <v>130.5400120855777</v>
      </c>
      <c r="I25" s="68">
        <f>IFERROR(INDEX('PV_.PX.HTG._.PTC.2031'!$L$9:$L$47,MATCH($A25,'PV_.PX.HTG._.PTC.2031'!$B$9:$B$47,0),1),0)</f>
        <v>130.5400120855777</v>
      </c>
      <c r="J25" s="68">
        <f>IFERROR(INDEX('PV_.PX.NTN._.PTC.2031'!$L$9:$L$47,MATCH($A25,'PV_.PX.NTN._.PTC.2031'!$B$9:$B$47,0),1),0)</f>
        <v>130.5400120855777</v>
      </c>
      <c r="K25" s="68">
        <f>IFERROR(INDEX('PV_.PX.UTS._.PTC.2031'!$M$9:$M$47,MATCH($A25,'PV_.PX.UTS._.PTC.2031'!$B$9:$B$47,0),1),0)</f>
        <v>130.5400120855777</v>
      </c>
    </row>
    <row r="26" spans="1:11">
      <c r="A26" s="67">
        <f t="shared" si="1"/>
        <v>2044</v>
      </c>
      <c r="B26" s="68">
        <f>IFERROR(INDEX('WD_.PX.BDG._.PTC.2029'!$L$9:$L$45,MATCH($A26,'WD_.PX.BDG._.PTC.2029'!$B$9:$B$45,0),1),0)</f>
        <v>170.40556488080787</v>
      </c>
      <c r="C26" s="68">
        <f>IFERROR(INDEX('WD_.PX.BDG._.PTC.2030'!$L$9:$L$47,MATCH($A26,'WD_.PX.BDG._.PTC.2030'!$B$9:$B$47,0),1),0)</f>
        <v>167.68238128411315</v>
      </c>
      <c r="D26" s="68">
        <f>IFERROR(INDEX('WD_.PX.BDG._.PTC.2031'!$L$9:$L$47,MATCH($A26,'WD_.PX.BDG._.PTC.2031'!$B$9:$B$47,0),1),0)</f>
        <v>166.44434842346192</v>
      </c>
      <c r="E26" s="68">
        <f>IFERROR(INDEX('Table 3 WD_.PX.DJW._.PTC.2029'!$L$9:$L$48,MATCH($A26,'Table 3 WD_.PX.DJW._.PTC.2029'!$B$9:$B$48,0),1),0)</f>
        <v>170.40556488080787</v>
      </c>
      <c r="F26" s="68">
        <f>IFERROR(INDEX('WD_.PX.DJW._.PTC.2030'!$L$9:$L$47,MATCH($A26,'WD_.PX.DJW._.PTC.2030'!$B$9:$B$47,0),1),0)</f>
        <v>167.68238128411315</v>
      </c>
      <c r="G26" s="68">
        <f>IFERROR(INDEX('WD_.PX.DJW._.PTC.2031'!$L$9:$L$47,MATCH($A26,'WD_.PX.DJW._.PTC.2031'!$B$9:$B$47,0),1),0)</f>
        <v>166.44434842346192</v>
      </c>
      <c r="H26" s="68">
        <f>IFERROR(INDEX('PV_.PX.BDG._.PTC.2031'!$L$9:$L$47,MATCH($A26,'PV_.PX.BDG._.PTC.2031'!$B$9:$B$47,0),1),0)</f>
        <v>133.38578431658249</v>
      </c>
      <c r="I26" s="68">
        <f>IFERROR(INDEX('PV_.PX.HTG._.PTC.2031'!$L$9:$L$47,MATCH($A26,'PV_.PX.HTG._.PTC.2031'!$B$9:$B$47,0),1),0)</f>
        <v>133.38578431658249</v>
      </c>
      <c r="J26" s="68">
        <f>IFERROR(INDEX('PV_.PX.NTN._.PTC.2031'!$L$9:$L$47,MATCH($A26,'PV_.PX.NTN._.PTC.2031'!$B$9:$B$47,0),1),0)</f>
        <v>133.38578431658249</v>
      </c>
      <c r="K26" s="68">
        <f>IFERROR(INDEX('PV_.PX.UTS._.PTC.2031'!$M$9:$M$47,MATCH($A26,'PV_.PX.UTS._.PTC.2031'!$B$9:$B$47,0),1),0)</f>
        <v>133.38578431658249</v>
      </c>
    </row>
    <row r="27" spans="1:11">
      <c r="A27" s="67">
        <f t="shared" si="1"/>
        <v>2045</v>
      </c>
      <c r="B27" s="68">
        <f>IFERROR(INDEX('WD_.PX.BDG._.PTC.2029'!$L$9:$L$45,MATCH($A27,'WD_.PX.BDG._.PTC.2029'!$B$9:$B$45,0),1),0)</f>
        <v>174.12040627372122</v>
      </c>
      <c r="C27" s="68">
        <f>IFERROR(INDEX('WD_.PX.BDG._.PTC.2030'!$L$9:$L$47,MATCH($A27,'WD_.PX.BDG._.PTC.2030'!$B$9:$B$47,0),1),0)</f>
        <v>171.33785727336391</v>
      </c>
      <c r="D27" s="68">
        <f>IFERROR(INDEX('WD_.PX.BDG._.PTC.2031'!$L$9:$L$47,MATCH($A27,'WD_.PX.BDG._.PTC.2031'!$B$9:$B$47,0),1),0)</f>
        <v>170.07283529578007</v>
      </c>
      <c r="E27" s="68">
        <f>IFERROR(INDEX('Table 3 WD_.PX.DJW._.PTC.2029'!$L$9:$L$48,MATCH($A27,'Table 3 WD_.PX.DJW._.PTC.2029'!$B$9:$B$48,0),1),0)</f>
        <v>174.12040627372122</v>
      </c>
      <c r="F27" s="68">
        <f>IFERROR(INDEX('WD_.PX.DJW._.PTC.2030'!$L$9:$L$47,MATCH($A27,'WD_.PX.DJW._.PTC.2030'!$B$9:$B$47,0),1),0)</f>
        <v>171.33785727336391</v>
      </c>
      <c r="G27" s="68">
        <f>IFERROR(INDEX('WD_.PX.DJW._.PTC.2031'!$L$9:$L$47,MATCH($A27,'WD_.PX.DJW._.PTC.2031'!$B$9:$B$47,0),1),0)</f>
        <v>170.07283529578007</v>
      </c>
      <c r="H27" s="68">
        <f>IFERROR(INDEX('PV_.PX.BDG._.PTC.2031'!$L$9:$L$47,MATCH($A27,'PV_.PX.BDG._.PTC.2031'!$B$9:$B$47,0),1),0)</f>
        <v>136.29359447613942</v>
      </c>
      <c r="I27" s="68">
        <f>IFERROR(INDEX('PV_.PX.HTG._.PTC.2031'!$L$9:$L$47,MATCH($A27,'PV_.PX.HTG._.PTC.2031'!$B$9:$B$47,0),1),0)</f>
        <v>136.29359447613942</v>
      </c>
      <c r="J27" s="68">
        <f>IFERROR(INDEX('PV_.PX.NTN._.PTC.2031'!$L$9:$L$47,MATCH($A27,'PV_.PX.NTN._.PTC.2031'!$B$9:$B$47,0),1),0)</f>
        <v>136.29359447613942</v>
      </c>
      <c r="K27" s="68">
        <f>IFERROR(INDEX('PV_.PX.UTS._.PTC.2031'!$M$9:$M$47,MATCH($A27,'PV_.PX.UTS._.PTC.2031'!$B$9:$B$47,0),1),0)</f>
        <v>136.29359447613942</v>
      </c>
    </row>
    <row r="28" spans="1:11">
      <c r="A28" s="67">
        <f>A27+1</f>
        <v>2046</v>
      </c>
      <c r="B28" s="68">
        <f>IFERROR(INDEX('WD_.PX.BDG._.PTC.2029'!$L$9:$L$45,MATCH($A28,'WD_.PX.BDG._.PTC.2029'!$B$9:$B$45,0),1),0)</f>
        <v>177.91623109654628</v>
      </c>
      <c r="C28" s="68">
        <f>IFERROR(INDEX('WD_.PX.BDG._.PTC.2030'!$L$9:$L$47,MATCH($A28,'WD_.PX.BDG._.PTC.2030'!$B$9:$B$47,0),1),0)</f>
        <v>175.07302252852358</v>
      </c>
      <c r="D28" s="68">
        <f>IFERROR(INDEX('WD_.PX.BDG._.PTC.2031'!$L$9:$L$47,MATCH($A28,'WD_.PX.BDG._.PTC.2031'!$B$9:$B$47,0),1),0)</f>
        <v>173.78042307207502</v>
      </c>
      <c r="E28" s="68">
        <f>IFERROR(INDEX('Table 3 WD_.PX.DJW._.PTC.2029'!$L$9:$L$48,MATCH($A28,'Table 3 WD_.PX.DJW._.PTC.2029'!$B$9:$B$48,0),1),0)</f>
        <v>177.91623109654628</v>
      </c>
      <c r="F28" s="68">
        <f>IFERROR(INDEX('WD_.PX.DJW._.PTC.2030'!$L$9:$L$47,MATCH($A28,'WD_.PX.DJW._.PTC.2030'!$B$9:$B$47,0),1),0)</f>
        <v>175.07302252852358</v>
      </c>
      <c r="G28" s="68">
        <f>IFERROR(INDEX('WD_.PX.DJW._.PTC.2031'!$L$9:$L$47,MATCH($A28,'WD_.PX.DJW._.PTC.2031'!$B$9:$B$47,0),1),0)</f>
        <v>173.78042307207502</v>
      </c>
      <c r="H28" s="68">
        <f>IFERROR(INDEX('PV_.PX.BDG._.PTC.2031'!$L$9:$L$47,MATCH($A28,'PV_.PX.BDG._.PTC.2031'!$B$9:$B$47,0),1),0)</f>
        <v>139.26479480915094</v>
      </c>
      <c r="I28" s="68">
        <f>IFERROR(INDEX('PV_.PX.HTG._.PTC.2031'!$L$9:$L$47,MATCH($A28,'PV_.PX.HTG._.PTC.2031'!$B$9:$B$47,0),1),0)</f>
        <v>139.26479480915094</v>
      </c>
      <c r="J28" s="68">
        <f>IFERROR(INDEX('PV_.PX.NTN._.PTC.2031'!$L$9:$L$47,MATCH($A28,'PV_.PX.NTN._.PTC.2031'!$B$9:$B$47,0),1),0)</f>
        <v>139.26479480915094</v>
      </c>
      <c r="K28" s="68">
        <f>IFERROR(INDEX('PV_.PX.UTS._.PTC.2031'!$M$9:$M$47,MATCH($A28,'PV_.PX.UTS._.PTC.2031'!$B$9:$B$47,0),1),0)</f>
        <v>139.26479480915094</v>
      </c>
    </row>
    <row r="29" spans="1:11">
      <c r="A29" s="67">
        <f>A28+1</f>
        <v>2047</v>
      </c>
      <c r="B29" s="68">
        <f>IFERROR(INDEX('WD_.PX.BDG._.PTC.2029'!$L$9:$L$45,MATCH($A29,'WD_.PX.BDG._.PTC.2029'!$B$9:$B$45,0),1),0)</f>
        <v>181.79480486681047</v>
      </c>
      <c r="C29" s="68">
        <f>IFERROR(INDEX('WD_.PX.BDG._.PTC.2030'!$L$9:$L$47,MATCH($A29,'WD_.PX.BDG._.PTC.2030'!$B$9:$B$47,0),1),0)</f>
        <v>178.88961435308579</v>
      </c>
      <c r="D29" s="68">
        <f>IFERROR(INDEX('WD_.PX.BDG._.PTC.2031'!$L$9:$L$47,MATCH($A29,'WD_.PX.BDG._.PTC.2031'!$B$9:$B$47,0),1),0)</f>
        <v>177.56883622897806</v>
      </c>
      <c r="E29" s="68">
        <f>IFERROR(INDEX('Table 3 WD_.PX.DJW._.PTC.2029'!$L$9:$L$48,MATCH($A29,'Table 3 WD_.PX.DJW._.PTC.2029'!$B$9:$B$48,0),1),0)</f>
        <v>181.79480486681047</v>
      </c>
      <c r="F29" s="68">
        <f>IFERROR(INDEX('WD_.PX.DJW._.PTC.2030'!$L$9:$L$47,MATCH($A29,'WD_.PX.DJW._.PTC.2030'!$B$9:$B$47,0),1),0)</f>
        <v>178.88961435308579</v>
      </c>
      <c r="G29" s="68">
        <f>IFERROR(INDEX('WD_.PX.DJW._.PTC.2031'!$L$9:$L$47,MATCH($A29,'WD_.PX.DJW._.PTC.2031'!$B$9:$B$47,0),1),0)</f>
        <v>177.56883622897806</v>
      </c>
      <c r="H29" s="68">
        <f>IFERROR(INDEX('PV_.PX.BDG._.PTC.2031'!$L$9:$L$47,MATCH($A29,'PV_.PX.BDG._.PTC.2031'!$B$9:$B$47,0),1),0)</f>
        <v>142.30076728304451</v>
      </c>
      <c r="I29" s="68">
        <f>IFERROR(INDEX('PV_.PX.HTG._.PTC.2031'!$L$9:$L$47,MATCH($A29,'PV_.PX.HTG._.PTC.2031'!$B$9:$B$47,0),1),0)</f>
        <v>142.30076728304451</v>
      </c>
      <c r="J29" s="68">
        <f>IFERROR(INDEX('PV_.PX.NTN._.PTC.2031'!$L$9:$L$47,MATCH($A29,'PV_.PX.NTN._.PTC.2031'!$B$9:$B$47,0),1),0)</f>
        <v>142.30076728304451</v>
      </c>
      <c r="K29" s="68">
        <f>IFERROR(INDEX('PV_.PX.UTS._.PTC.2031'!$M$9:$M$47,MATCH($A29,'PV_.PX.UTS._.PTC.2031'!$B$9:$B$47,0),1),0)</f>
        <v>142.30076728304451</v>
      </c>
    </row>
    <row r="30" spans="1:11">
      <c r="A30" s="67">
        <f>A29+1</f>
        <v>2048</v>
      </c>
      <c r="B30" s="68">
        <f>IFERROR(INDEX('WD_.PX.BDG._.PTC.2029'!$L$9:$L$45,MATCH($A30,'WD_.PX.BDG._.PTC.2029'!$B$9:$B$45,0),1),0)</f>
        <v>185.75793154379184</v>
      </c>
      <c r="C30" s="68">
        <f>IFERROR(INDEX('WD_.PX.BDG._.PTC.2030'!$L$9:$L$47,MATCH($A30,'WD_.PX.BDG._.PTC.2030'!$B$9:$B$47,0),1),0)</f>
        <v>182.78940787797245</v>
      </c>
      <c r="D30" s="68">
        <f>IFERROR(INDEX('WD_.PX.BDG._.PTC.2031'!$L$9:$L$47,MATCH($A30,'WD_.PX.BDG._.PTC.2031'!$B$9:$B$47,0),1),0)</f>
        <v>181.43983679126131</v>
      </c>
      <c r="E30" s="68">
        <f>IFERROR(INDEX('Table 3 WD_.PX.DJW._.PTC.2029'!$L$9:$L$48,MATCH($A30,'Table 3 WD_.PX.DJW._.PTC.2029'!$B$9:$B$48,0),1),0)</f>
        <v>185.75793154379184</v>
      </c>
      <c r="F30" s="68">
        <f>IFERROR(INDEX('WD_.PX.DJW._.PTC.2030'!$L$9:$L$47,MATCH($A30,'WD_.PX.DJW._.PTC.2030'!$B$9:$B$47,0),1),0)</f>
        <v>182.78940787797245</v>
      </c>
      <c r="G30" s="68">
        <f>IFERROR(INDEX('WD_.PX.DJW._.PTC.2031'!$L$9:$L$47,MATCH($A30,'WD_.PX.DJW._.PTC.2031'!$B$9:$B$47,0),1),0)</f>
        <v>181.43983679126131</v>
      </c>
      <c r="H30" s="68">
        <f>IFERROR(INDEX('PV_.PX.BDG._.PTC.2031'!$L$9:$L$47,MATCH($A30,'PV_.PX.BDG._.PTC.2031'!$B$9:$B$47,0),1),0)</f>
        <v>145.4029239557147</v>
      </c>
      <c r="I30" s="68">
        <f>IFERROR(INDEX('PV_.PX.HTG._.PTC.2031'!$L$9:$L$47,MATCH($A30,'PV_.PX.HTG._.PTC.2031'!$B$9:$B$47,0),1),0)</f>
        <v>145.4029239557147</v>
      </c>
      <c r="J30" s="68">
        <f>IFERROR(INDEX('PV_.PX.NTN._.PTC.2031'!$L$9:$L$47,MATCH($A30,'PV_.PX.NTN._.PTC.2031'!$B$9:$B$47,0),1),0)</f>
        <v>145.4029239557147</v>
      </c>
      <c r="K30" s="68">
        <f>IFERROR(INDEX('PV_.PX.UTS._.PTC.2031'!$M$9:$M$47,MATCH($A30,'PV_.PX.UTS._.PTC.2031'!$B$9:$B$47,0),1),0)</f>
        <v>145.4029239557147</v>
      </c>
    </row>
    <row r="31" spans="1:11">
      <c r="A31" s="67">
        <f>A30+1</f>
        <v>2049</v>
      </c>
      <c r="B31" s="68">
        <f>IFERROR(INDEX('WD_.PX.BDG._.PTC.2029'!$L$9:$L$45,MATCH($A31,'WD_.PX.BDG._.PTC.2029'!$B$9:$B$45,0),1),0)</f>
        <v>189.80745438082474</v>
      </c>
      <c r="C31" s="68">
        <f>IFERROR(INDEX('WD_.PX.BDG._.PTC.2030'!$L$9:$L$47,MATCH($A31,'WD_.PX.BDG._.PTC.2030'!$B$9:$B$47,0),1),0)</f>
        <v>186.77421690021902</v>
      </c>
      <c r="D31" s="68">
        <f>IFERROR(INDEX('WD_.PX.BDG._.PTC.2031'!$L$9:$L$47,MATCH($A31,'WD_.PX.BDG._.PTC.2031'!$B$9:$B$47,0),1),0)</f>
        <v>185.39522516433067</v>
      </c>
      <c r="E31" s="68">
        <f>IFERROR(INDEX('Table 3 WD_.PX.DJW._.PTC.2029'!$L$9:$L$48,MATCH($A31,'Table 3 WD_.PX.DJW._.PTC.2029'!$B$9:$B$48,0),1),0)</f>
        <v>189.80745438082474</v>
      </c>
      <c r="F31" s="68">
        <f>IFERROR(INDEX('WD_.PX.DJW._.PTC.2030'!$L$9:$L$47,MATCH($A31,'WD_.PX.DJW._.PTC.2030'!$B$9:$B$47,0),1),0)</f>
        <v>186.77421690021902</v>
      </c>
      <c r="G31" s="68">
        <f>IFERROR(INDEX('WD_.PX.DJW._.PTC.2031'!$L$9:$L$47,MATCH($A31,'WD_.PX.DJW._.PTC.2031'!$B$9:$B$47,0),1),0)</f>
        <v>185.39522516433067</v>
      </c>
      <c r="H31" s="68">
        <f>IFERROR(INDEX('PV_.PX.BDG._.PTC.2031'!$L$9:$L$47,MATCH($A31,'PV_.PX.BDG._.PTC.2031'!$B$9:$B$47,0),1),0)</f>
        <v>148.57270764266974</v>
      </c>
      <c r="I31" s="68">
        <f>IFERROR(INDEX('PV_.PX.HTG._.PTC.2031'!$L$9:$L$47,MATCH($A31,'PV_.PX.HTG._.PTC.2031'!$B$9:$B$47,0),1),0)</f>
        <v>148.57270764266974</v>
      </c>
      <c r="J31" s="68">
        <f>IFERROR(INDEX('PV_.PX.NTN._.PTC.2031'!$L$9:$L$47,MATCH($A31,'PV_.PX.NTN._.PTC.2031'!$B$9:$B$47,0),1),0)</f>
        <v>148.57270764266974</v>
      </c>
      <c r="K31" s="68">
        <f>IFERROR(INDEX('PV_.PX.UTS._.PTC.2031'!$M$9:$M$47,MATCH($A31,'PV_.PX.UTS._.PTC.2031'!$B$9:$B$47,0),1),0)</f>
        <v>148.57270764266974</v>
      </c>
    </row>
    <row r="32" spans="1:11">
      <c r="A32" s="67">
        <f>A31+1</f>
        <v>2050</v>
      </c>
      <c r="B32" s="68">
        <f>IFERROR(INDEX('WD_.PX.BDG._.PTC.2029'!$L$9:$L$45,MATCH($A32,'WD_.PX.BDG._.PTC.2029'!$B$9:$B$45,0),1),0)</f>
        <v>183.18893035202484</v>
      </c>
      <c r="C32" s="68">
        <f>IFERROR(INDEX('WD_.PX.BDG._.PTC.2030'!$L$9:$L$47,MATCH($A32,'WD_.PX.BDG._.PTC.2030'!$B$9:$B$47,0),1),0)</f>
        <v>190.84589475763559</v>
      </c>
      <c r="D32" s="68">
        <f>IFERROR(INDEX('WD_.PX.BDG._.PTC.2031'!$L$9:$L$47,MATCH($A32,'WD_.PX.BDG._.PTC.2031'!$B$9:$B$47,0),1),0)</f>
        <v>189.43684100242913</v>
      </c>
      <c r="E32" s="68">
        <f>IFERROR(INDEX('Table 3 WD_.PX.DJW._.PTC.2029'!$L$9:$L$48,MATCH($A32,'Table 3 WD_.PX.DJW._.PTC.2029'!$B$9:$B$48,0),1),0)</f>
        <v>193.94525681416536</v>
      </c>
      <c r="F32" s="68">
        <f>IFERROR(INDEX('WD_.PX.DJW._.PTC.2030'!$L$9:$L$47,MATCH($A32,'WD_.PX.DJW._.PTC.2030'!$B$9:$B$47,0),1),0)</f>
        <v>190.84589475763559</v>
      </c>
      <c r="G32" s="68">
        <f>IFERROR(INDEX('WD_.PX.DJW._.PTC.2031'!$L$9:$L$47,MATCH($A32,'WD_.PX.DJW._.PTC.2031'!$B$9:$B$47,0),1),0)</f>
        <v>189.43684100242913</v>
      </c>
      <c r="H32" s="68">
        <f>IFERROR(INDEX('PV_.PX.BDG._.PTC.2031'!$L$9:$L$47,MATCH($A32,'PV_.PX.BDG._.PTC.2031'!$B$9:$B$47,0),1),0)</f>
        <v>151.81159261279529</v>
      </c>
      <c r="I32" s="68">
        <f>IFERROR(INDEX('PV_.PX.HTG._.PTC.2031'!$L$9:$L$47,MATCH($A32,'PV_.PX.HTG._.PTC.2031'!$B$9:$B$47,0),1),0)</f>
        <v>151.81159261279529</v>
      </c>
      <c r="J32" s="68">
        <f>IFERROR(INDEX('PV_.PX.NTN._.PTC.2031'!$L$9:$L$47,MATCH($A32,'PV_.PX.NTN._.PTC.2031'!$B$9:$B$47,0),1),0)</f>
        <v>151.81159261279529</v>
      </c>
      <c r="K32" s="68">
        <f>IFERROR(INDEX('PV_.PX.UTS._.PTC.2031'!$M$9:$M$47,MATCH($A32,'PV_.PX.UTS._.PTC.2031'!$B$9:$B$47,0),1),0)</f>
        <v>151.81159261279529</v>
      </c>
    </row>
    <row r="33" spans="1:11">
      <c r="A33" s="67"/>
      <c r="B33" s="166"/>
      <c r="C33" s="166"/>
      <c r="D33" s="166"/>
      <c r="E33" s="167"/>
      <c r="F33" s="167"/>
      <c r="G33" s="167"/>
    </row>
    <row r="34" spans="1:11">
      <c r="A34" t="s">
        <v>199</v>
      </c>
    </row>
    <row r="35" spans="1:11" s="172" customFormat="1">
      <c r="A35" s="171" t="s">
        <v>9</v>
      </c>
      <c r="B35" s="179">
        <f t="shared" ref="B35:K35" ca="1" si="2">-PMT(Discount_Rate,15,NPV(Discount_Rate,OFFSET(B6,B$3-$A$6,0,15)))</f>
        <v>140.51386583613538</v>
      </c>
      <c r="C35" s="179">
        <f t="shared" ca="1" si="2"/>
        <v>141.28262005030541</v>
      </c>
      <c r="D35" s="179">
        <f t="shared" ca="1" si="2"/>
        <v>143.29672309964167</v>
      </c>
      <c r="E35" s="179">
        <f t="shared" ca="1" si="2"/>
        <v>140.51386583613538</v>
      </c>
      <c r="F35" s="179">
        <f t="shared" ca="1" si="2"/>
        <v>141.28262005030541</v>
      </c>
      <c r="G35" s="179">
        <f t="shared" ca="1" si="2"/>
        <v>143.29672309964167</v>
      </c>
      <c r="H35" s="179">
        <f t="shared" ca="1" si="2"/>
        <v>114.83565517053975</v>
      </c>
      <c r="I35" s="179">
        <f t="shared" ca="1" si="2"/>
        <v>114.83565517053975</v>
      </c>
      <c r="J35" s="179">
        <f t="shared" ca="1" si="2"/>
        <v>114.83565517053975</v>
      </c>
      <c r="K35" s="179">
        <f t="shared" ca="1" si="2"/>
        <v>114.83565517053975</v>
      </c>
    </row>
    <row r="36" spans="1:11">
      <c r="A36" t="s">
        <v>32</v>
      </c>
      <c r="B36" s="162">
        <f>'WD_.PX.BDG._.PTC.2029'!$R$59</f>
        <v>100</v>
      </c>
      <c r="C36" s="162">
        <f>'WD_.PX.BDG._.PTC.2030'!$R$59</f>
        <v>100</v>
      </c>
      <c r="D36" s="162">
        <f>'WD_.PX.BDG._.PTC.2031'!$R$59</f>
        <v>100</v>
      </c>
      <c r="E36" s="162">
        <f>'Table 3 WD_.PX.DJW._.PTC.2029'!$R$59</f>
        <v>100</v>
      </c>
      <c r="F36" s="162">
        <f>'WD_.PX.DJW._.PTC.2030'!$R$59</f>
        <v>100</v>
      </c>
      <c r="G36" s="162">
        <f>'WD_.PX.DJW._.PTC.2031'!$R$59</f>
        <v>244.18979999999999</v>
      </c>
      <c r="H36" s="162">
        <f>'PV_.PX.BDG._.PTC.2031'!$R$59</f>
        <v>88.5</v>
      </c>
      <c r="I36" s="162">
        <f>'PV_.PX.HTG._.PTC.2031'!$R$59</f>
        <v>405.94040000000001</v>
      </c>
      <c r="J36" s="162">
        <f>'PV_.PX.NTN._.PTC.2031'!$R$59</f>
        <v>100</v>
      </c>
      <c r="K36" s="162">
        <f>'PV_.PX.UTS._.PTC.2031'!$S$59</f>
        <v>73.5</v>
      </c>
    </row>
    <row r="37" spans="1:11" s="290" customFormat="1">
      <c r="A37" s="290" t="s">
        <v>297</v>
      </c>
      <c r="B37" s="338"/>
      <c r="C37" s="338"/>
      <c r="D37" s="338"/>
      <c r="E37" s="338"/>
      <c r="F37" s="338"/>
      <c r="G37" s="338"/>
      <c r="H37" s="338"/>
      <c r="I37" s="338"/>
      <c r="J37" s="338"/>
      <c r="K37" s="338"/>
    </row>
    <row r="38" spans="1:11">
      <c r="C38" t="s">
        <v>86</v>
      </c>
    </row>
    <row r="39" spans="1:11">
      <c r="A39" s="170" t="s">
        <v>195</v>
      </c>
      <c r="B39" s="147" t="s">
        <v>82</v>
      </c>
      <c r="C39" s="147" t="s">
        <v>9</v>
      </c>
      <c r="D39" s="147" t="s">
        <v>32</v>
      </c>
      <c r="E39" s="147" t="s">
        <v>239</v>
      </c>
      <c r="G39" s="147"/>
      <c r="I39" s="147"/>
      <c r="J39" s="147"/>
      <c r="K39" s="147"/>
    </row>
    <row r="40" spans="1:11">
      <c r="B40" s="145"/>
      <c r="E40" s="159"/>
    </row>
    <row r="41" spans="1:11">
      <c r="A41" t="s">
        <v>292</v>
      </c>
      <c r="B41" s="145">
        <f>INDEX($B$3:$K$3,1,MATCH($A41,$B$5:$K$5,0))</f>
        <v>2029</v>
      </c>
      <c r="C41" s="344">
        <f ca="1">INDEX($B$35:$K$35,1,MATCH($A41,$B$5:$K$5,0))</f>
        <v>140.51386583613538</v>
      </c>
      <c r="D41">
        <f>INDEX($B$36:$K$36,1,MATCH($A41,$B$5:$K$5,0))</f>
        <v>100</v>
      </c>
      <c r="E41" s="159">
        <f t="shared" ref="E41:E50" si="3">INDEX($37:$37,1,MATCH(A41,$5:$5,0))</f>
        <v>0</v>
      </c>
    </row>
    <row r="42" spans="1:11">
      <c r="A42" t="s">
        <v>293</v>
      </c>
      <c r="B42" s="145">
        <f t="shared" ref="B42:B50" si="4">INDEX($B$3:$K$3,1,MATCH($A42,$B$5:$K$5,0))</f>
        <v>2030</v>
      </c>
      <c r="C42" s="344">
        <f t="shared" ref="C42:C50" ca="1" si="5">INDEX($B$35:$K$35,1,MATCH($A42,$B$5:$K$5,0))</f>
        <v>141.28262005030541</v>
      </c>
      <c r="D42">
        <f t="shared" ref="D42:D50" si="6">INDEX($B$36:$K$36,1,MATCH($A42,$B$5:$K$5,0))</f>
        <v>100</v>
      </c>
      <c r="E42" s="159">
        <f t="shared" si="3"/>
        <v>0</v>
      </c>
    </row>
    <row r="43" spans="1:11">
      <c r="A43" t="s">
        <v>294</v>
      </c>
      <c r="B43" s="145">
        <f t="shared" si="4"/>
        <v>2031</v>
      </c>
      <c r="C43" s="344">
        <f t="shared" ca="1" si="5"/>
        <v>143.29672309964167</v>
      </c>
      <c r="D43">
        <f t="shared" si="6"/>
        <v>100</v>
      </c>
      <c r="E43" s="159">
        <f t="shared" si="3"/>
        <v>0</v>
      </c>
    </row>
    <row r="44" spans="1:11">
      <c r="A44" t="s">
        <v>194</v>
      </c>
      <c r="B44" s="145">
        <f t="shared" si="4"/>
        <v>2029</v>
      </c>
      <c r="C44" s="344">
        <f t="shared" ca="1" si="5"/>
        <v>140.51386583613538</v>
      </c>
      <c r="D44">
        <f t="shared" si="6"/>
        <v>100</v>
      </c>
      <c r="E44" s="159">
        <f t="shared" si="3"/>
        <v>0</v>
      </c>
      <c r="H44" s="159"/>
    </row>
    <row r="45" spans="1:11">
      <c r="A45" t="s">
        <v>295</v>
      </c>
      <c r="B45" s="145">
        <f t="shared" si="4"/>
        <v>2030</v>
      </c>
      <c r="C45" s="344">
        <f t="shared" ca="1" si="5"/>
        <v>141.28262005030541</v>
      </c>
      <c r="D45">
        <f t="shared" si="6"/>
        <v>100</v>
      </c>
      <c r="E45" s="159">
        <f t="shared" si="3"/>
        <v>0</v>
      </c>
      <c r="H45" s="159"/>
    </row>
    <row r="46" spans="1:11">
      <c r="A46" s="167" t="s">
        <v>296</v>
      </c>
      <c r="B46" s="343">
        <f t="shared" si="4"/>
        <v>2031</v>
      </c>
      <c r="C46" s="345">
        <f t="shared" ca="1" si="5"/>
        <v>143.29672309964167</v>
      </c>
      <c r="D46" s="167">
        <f t="shared" si="6"/>
        <v>244.18979999999999</v>
      </c>
      <c r="E46" s="159">
        <f t="shared" si="3"/>
        <v>0</v>
      </c>
      <c r="H46" s="159"/>
    </row>
    <row r="47" spans="1:11">
      <c r="A47" t="s">
        <v>298</v>
      </c>
      <c r="B47" s="145">
        <f t="shared" si="4"/>
        <v>2031</v>
      </c>
      <c r="C47" s="344">
        <f t="shared" ca="1" si="5"/>
        <v>114.83565517053975</v>
      </c>
      <c r="D47">
        <f t="shared" si="6"/>
        <v>88.5</v>
      </c>
      <c r="E47" s="159">
        <f t="shared" si="3"/>
        <v>0</v>
      </c>
      <c r="H47" s="159"/>
    </row>
    <row r="48" spans="1:11">
      <c r="A48" t="s">
        <v>299</v>
      </c>
      <c r="B48" s="145">
        <f t="shared" si="4"/>
        <v>2031</v>
      </c>
      <c r="C48" s="344">
        <f t="shared" ca="1" si="5"/>
        <v>114.83565517053975</v>
      </c>
      <c r="D48">
        <f t="shared" si="6"/>
        <v>405.94040000000001</v>
      </c>
      <c r="E48" s="159">
        <f t="shared" si="3"/>
        <v>0</v>
      </c>
      <c r="H48" s="159"/>
    </row>
    <row r="49" spans="1:8">
      <c r="A49" t="s">
        <v>300</v>
      </c>
      <c r="B49" s="145">
        <f t="shared" si="4"/>
        <v>2031</v>
      </c>
      <c r="C49" s="344">
        <f t="shared" ca="1" si="5"/>
        <v>114.83565517053975</v>
      </c>
      <c r="D49">
        <f t="shared" si="6"/>
        <v>100</v>
      </c>
      <c r="E49" s="159">
        <f t="shared" si="3"/>
        <v>0</v>
      </c>
      <c r="H49" s="159"/>
    </row>
    <row r="50" spans="1:8">
      <c r="A50" t="s">
        <v>301</v>
      </c>
      <c r="B50" s="145">
        <f t="shared" si="4"/>
        <v>2031</v>
      </c>
      <c r="C50" s="344">
        <f t="shared" ca="1" si="5"/>
        <v>114.83565517053975</v>
      </c>
      <c r="D50">
        <f t="shared" si="6"/>
        <v>73.5</v>
      </c>
      <c r="E50" s="159">
        <f t="shared" si="3"/>
        <v>0</v>
      </c>
      <c r="H50" s="159"/>
    </row>
    <row r="51" spans="1:8">
      <c r="B51" s="145"/>
      <c r="C51" s="145"/>
      <c r="D51" s="145"/>
      <c r="H51" s="159"/>
    </row>
    <row r="52" spans="1:8">
      <c r="B52" s="145"/>
      <c r="C52" s="145"/>
      <c r="D52" s="145"/>
      <c r="H52" s="159"/>
    </row>
    <row r="53" spans="1:8">
      <c r="B53" s="145"/>
      <c r="C53" s="145"/>
      <c r="D53" s="145"/>
      <c r="H53" s="159"/>
    </row>
    <row r="54" spans="1:8">
      <c r="B54" s="145"/>
      <c r="C54" s="145"/>
      <c r="D54" s="145"/>
      <c r="H54" s="159"/>
    </row>
    <row r="55" spans="1:8">
      <c r="A55" s="164"/>
      <c r="B55" s="145"/>
      <c r="C55" s="145"/>
      <c r="D55" s="145"/>
      <c r="H55" s="159"/>
    </row>
    <row r="56" spans="1:8" hidden="1">
      <c r="A56" s="164"/>
      <c r="B56" s="145"/>
      <c r="C56" s="145"/>
      <c r="D56" s="145"/>
      <c r="F56" s="165"/>
      <c r="G56" s="165"/>
      <c r="H56" s="159"/>
    </row>
    <row r="57" spans="1:8" hidden="1">
      <c r="A57" s="164"/>
      <c r="B57" s="145"/>
      <c r="C57" s="145"/>
      <c r="D57" s="145"/>
      <c r="F57" s="165"/>
      <c r="G57" s="165"/>
      <c r="H57" s="159"/>
    </row>
    <row r="58" spans="1:8" hidden="1">
      <c r="A58" s="164"/>
      <c r="B58" s="145"/>
      <c r="C58" s="145"/>
      <c r="D58" s="145"/>
      <c r="F58" s="165"/>
      <c r="G58" s="165"/>
      <c r="H58" s="159"/>
    </row>
    <row r="59" spans="1:8" hidden="1">
      <c r="A59" s="164"/>
      <c r="B59" s="145"/>
      <c r="C59" s="145"/>
      <c r="D59" s="145"/>
      <c r="F59" s="165"/>
      <c r="G59" s="165"/>
      <c r="H59" s="159"/>
    </row>
    <row r="60" spans="1:8" hidden="1">
      <c r="A60" s="164"/>
      <c r="B60" s="145"/>
      <c r="C60" s="145"/>
      <c r="D60" s="145"/>
      <c r="F60" s="165"/>
      <c r="G60" s="165"/>
      <c r="H60" s="159"/>
    </row>
    <row r="61" spans="1:8" hidden="1">
      <c r="A61" s="164"/>
      <c r="B61" s="145"/>
      <c r="C61" s="145"/>
      <c r="D61" s="145"/>
      <c r="F61" s="165"/>
      <c r="G61" s="165"/>
      <c r="H61" s="159"/>
    </row>
    <row r="62" spans="1:8" hidden="1">
      <c r="B62" s="145"/>
      <c r="C62" s="145"/>
      <c r="D62" s="145"/>
      <c r="F62" s="165"/>
      <c r="G62" s="165"/>
      <c r="H62" s="159"/>
    </row>
    <row r="63" spans="1:8" hidden="1">
      <c r="B63" s="145"/>
      <c r="C63" s="145"/>
      <c r="D63" s="145"/>
    </row>
    <row r="64" spans="1:8">
      <c r="B64" s="145"/>
      <c r="C64" s="145"/>
      <c r="D64" s="145"/>
    </row>
    <row r="65" spans="1:11">
      <c r="A65" s="169" t="s">
        <v>196</v>
      </c>
      <c r="B65" s="55" t="s">
        <v>82</v>
      </c>
      <c r="C65" s="55" t="s">
        <v>82</v>
      </c>
      <c r="D65" s="55" t="s">
        <v>82</v>
      </c>
      <c r="E65" s="147" t="s">
        <v>9</v>
      </c>
      <c r="F65" s="147" t="s">
        <v>32</v>
      </c>
      <c r="G65" s="147" t="s">
        <v>32</v>
      </c>
      <c r="H65" s="147" t="s">
        <v>239</v>
      </c>
      <c r="I65" s="147"/>
      <c r="J65" s="147"/>
      <c r="K65" s="147"/>
    </row>
    <row r="66" spans="1:11">
      <c r="B66" s="145"/>
      <c r="C66" s="145"/>
      <c r="D66" s="145"/>
      <c r="H66" s="159"/>
    </row>
    <row r="67" spans="1:11">
      <c r="A67" t="s">
        <v>193</v>
      </c>
      <c r="B67" s="145" t="e">
        <f t="shared" ref="B67:D69" si="7">INDEX($B$3:$K$3,1,MATCH($A67,$B$5:$K$5,0))</f>
        <v>#N/A</v>
      </c>
      <c r="C67" s="145" t="e">
        <f t="shared" si="7"/>
        <v>#N/A</v>
      </c>
      <c r="D67" s="145" t="e">
        <f t="shared" si="7"/>
        <v>#N/A</v>
      </c>
      <c r="E67" t="e">
        <f>INDEX($B$35:$K$35,1,MATCH($A67,$B$5:$K$5,0))</f>
        <v>#N/A</v>
      </c>
      <c r="F67" t="e">
        <f t="shared" ref="F67:G69" si="8">INDEX($B$36:$K$36,1,MATCH($A67,$B$5:$K$5,0))</f>
        <v>#N/A</v>
      </c>
      <c r="G67" t="e">
        <f t="shared" si="8"/>
        <v>#N/A</v>
      </c>
      <c r="H67" s="159" t="e">
        <f>INDEX($37:$37,1,MATCH(A67,$5:$5,0))</f>
        <v>#N/A</v>
      </c>
    </row>
    <row r="68" spans="1:11">
      <c r="A68" t="s">
        <v>192</v>
      </c>
      <c r="B68" s="145" t="e">
        <f t="shared" si="7"/>
        <v>#N/A</v>
      </c>
      <c r="C68" s="145" t="e">
        <f t="shared" si="7"/>
        <v>#N/A</v>
      </c>
      <c r="D68" s="145" t="e">
        <f t="shared" si="7"/>
        <v>#N/A</v>
      </c>
      <c r="E68" t="e">
        <f>INDEX($B$35:$K$35,1,MATCH($A68,$B$5:$K$5,0))</f>
        <v>#N/A</v>
      </c>
      <c r="F68" t="e">
        <f t="shared" si="8"/>
        <v>#N/A</v>
      </c>
      <c r="G68" t="e">
        <f t="shared" si="8"/>
        <v>#N/A</v>
      </c>
      <c r="H68" s="159" t="e">
        <f>INDEX($37:$37,1,MATCH(A68,$5:$5,0))</f>
        <v>#N/A</v>
      </c>
    </row>
    <row r="69" spans="1:11">
      <c r="A69" t="s">
        <v>243</v>
      </c>
      <c r="B69" s="145" t="e">
        <f t="shared" si="7"/>
        <v>#N/A</v>
      </c>
      <c r="C69" s="145" t="e">
        <f t="shared" si="7"/>
        <v>#N/A</v>
      </c>
      <c r="D69" s="145" t="e">
        <f t="shared" si="7"/>
        <v>#N/A</v>
      </c>
      <c r="E69" t="e">
        <f>INDEX($B$35:$K$35,1,MATCH($A69,$B$5:$K$5,0))</f>
        <v>#N/A</v>
      </c>
      <c r="F69" t="e">
        <f t="shared" si="8"/>
        <v>#N/A</v>
      </c>
      <c r="G69" t="e">
        <f t="shared" si="8"/>
        <v>#N/A</v>
      </c>
      <c r="H69" s="159" t="e">
        <f>INDEX($37:$37,1,MATCH(A69,$5:$5,0))</f>
        <v>#N/A</v>
      </c>
    </row>
    <row r="70" spans="1:11">
      <c r="B70" s="145"/>
      <c r="C70" s="145"/>
      <c r="D70" s="145"/>
      <c r="H70" s="159"/>
    </row>
    <row r="71" spans="1:11">
      <c r="B71" s="145"/>
      <c r="C71" s="145"/>
      <c r="D71" s="145"/>
      <c r="H71" s="159"/>
    </row>
    <row r="72" spans="1:11">
      <c r="B72" s="145"/>
      <c r="C72" s="145"/>
      <c r="D72" s="145"/>
      <c r="H72" s="159"/>
    </row>
    <row r="73" spans="1:11">
      <c r="B73" s="145"/>
      <c r="C73" s="145"/>
      <c r="D73" s="145"/>
      <c r="H73" s="159"/>
    </row>
  </sheetData>
  <sortState xmlns:xlrd2="http://schemas.microsoft.com/office/spreadsheetml/2017/richdata2" ref="A66:Y69">
    <sortCondition descending="1" ref="I66:I69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80"/>
  <sheetViews>
    <sheetView topLeftCell="A151" workbookViewId="0">
      <selection activeCell="E174" sqref="E174"/>
    </sheetView>
  </sheetViews>
  <sheetFormatPr defaultColWidth="9.33203125" defaultRowHeight="15"/>
  <cols>
    <col min="1" max="1" width="22.5" style="241" customWidth="1"/>
    <col min="2" max="2" width="54.5" style="241" customWidth="1"/>
    <col min="3" max="3" width="37.33203125" style="241" customWidth="1"/>
    <col min="4" max="4" width="25.5" style="241" customWidth="1"/>
    <col min="5" max="5" width="15" style="241" customWidth="1"/>
    <col min="6" max="6" width="19" style="241" customWidth="1"/>
    <col min="7" max="7" width="17.83203125" style="241" customWidth="1"/>
    <col min="8" max="8" width="15.1640625" style="241" customWidth="1"/>
    <col min="9" max="9" width="23.83203125" style="241" customWidth="1"/>
    <col min="10" max="10" width="7.5" style="241" customWidth="1"/>
    <col min="11" max="11" width="16" style="241" customWidth="1"/>
    <col min="12" max="12" width="9.33203125" style="241"/>
    <col min="13" max="13" width="21.6640625" style="241" customWidth="1"/>
    <col min="14" max="14" width="34.1640625" style="241" customWidth="1"/>
    <col min="15" max="15" width="9.33203125" style="241"/>
    <col min="16" max="16" width="20.1640625" style="241" customWidth="1"/>
    <col min="17" max="21" width="9.33203125" style="241"/>
    <col min="22" max="22" width="40.1640625" style="241" customWidth="1"/>
    <col min="23" max="24" width="33.33203125" style="241" customWidth="1"/>
    <col min="25" max="25" width="14" style="241" customWidth="1"/>
    <col min="26" max="29" width="33.33203125" style="241" customWidth="1"/>
    <col min="30" max="16384" width="9.33203125" style="241"/>
  </cols>
  <sheetData>
    <row r="1" spans="1:29" s="239" customFormat="1">
      <c r="A1" s="239" t="s">
        <v>89</v>
      </c>
      <c r="B1" s="239" t="s">
        <v>90</v>
      </c>
      <c r="C1" s="239" t="s">
        <v>91</v>
      </c>
      <c r="D1" s="239" t="s">
        <v>92</v>
      </c>
      <c r="E1" s="239" t="s">
        <v>93</v>
      </c>
      <c r="F1" s="239" t="s">
        <v>94</v>
      </c>
      <c r="G1" s="239" t="s">
        <v>95</v>
      </c>
      <c r="H1" s="239" t="s">
        <v>96</v>
      </c>
      <c r="I1" s="239" t="s">
        <v>97</v>
      </c>
      <c r="J1" s="239" t="s">
        <v>98</v>
      </c>
      <c r="K1" s="239" t="s">
        <v>99</v>
      </c>
      <c r="L1" s="239" t="s">
        <v>100</v>
      </c>
      <c r="M1" s="239" t="s">
        <v>101</v>
      </c>
      <c r="N1" s="239" t="s">
        <v>102</v>
      </c>
      <c r="O1" s="239" t="s">
        <v>103</v>
      </c>
      <c r="P1" s="239" t="s">
        <v>104</v>
      </c>
      <c r="U1" s="240"/>
      <c r="V1" s="240"/>
      <c r="W1" s="240"/>
      <c r="X1" s="240"/>
      <c r="Y1" s="240"/>
      <c r="Z1" s="240"/>
      <c r="AA1" s="240"/>
      <c r="AB1" s="240"/>
      <c r="AC1" s="240"/>
    </row>
    <row r="2" spans="1:29">
      <c r="A2" s="241" t="s">
        <v>135</v>
      </c>
      <c r="B2" s="241" t="s">
        <v>106</v>
      </c>
      <c r="C2" s="241" t="s">
        <v>245</v>
      </c>
      <c r="D2" s="241" t="s">
        <v>137</v>
      </c>
      <c r="E2" s="241">
        <v>1216.55</v>
      </c>
      <c r="G2" s="241" t="s">
        <v>8</v>
      </c>
      <c r="H2" s="241">
        <v>1</v>
      </c>
      <c r="L2" s="241" t="s">
        <v>138</v>
      </c>
      <c r="M2" s="241" t="s">
        <v>139</v>
      </c>
      <c r="P2" s="241" t="s">
        <v>140</v>
      </c>
      <c r="U2" s="240"/>
      <c r="V2" s="239"/>
      <c r="W2" s="240"/>
      <c r="X2" s="240"/>
      <c r="Y2" s="240"/>
      <c r="Z2" s="240"/>
      <c r="AA2" s="240"/>
      <c r="AB2" s="240"/>
      <c r="AC2" s="240"/>
    </row>
    <row r="3" spans="1:29">
      <c r="A3" s="241" t="s">
        <v>135</v>
      </c>
      <c r="B3" s="241" t="s">
        <v>106</v>
      </c>
      <c r="C3" s="241" t="s">
        <v>246</v>
      </c>
      <c r="D3" s="241" t="s">
        <v>137</v>
      </c>
      <c r="E3" s="241">
        <v>1228.72</v>
      </c>
      <c r="G3" s="241" t="s">
        <v>8</v>
      </c>
      <c r="H3" s="241">
        <v>1</v>
      </c>
      <c r="L3" s="241" t="s">
        <v>138</v>
      </c>
      <c r="M3" s="241" t="s">
        <v>139</v>
      </c>
      <c r="P3" s="241" t="s">
        <v>140</v>
      </c>
    </row>
    <row r="4" spans="1:29">
      <c r="A4" s="241" t="s">
        <v>135</v>
      </c>
      <c r="B4" s="241" t="s">
        <v>106</v>
      </c>
      <c r="C4" s="241" t="s">
        <v>247</v>
      </c>
      <c r="D4" s="241" t="s">
        <v>137</v>
      </c>
      <c r="E4" s="241">
        <v>1984.28</v>
      </c>
      <c r="G4" s="241" t="s">
        <v>8</v>
      </c>
      <c r="H4" s="241">
        <v>1</v>
      </c>
      <c r="I4" s="242"/>
      <c r="J4" s="242"/>
      <c r="L4" s="241" t="s">
        <v>138</v>
      </c>
      <c r="M4" s="241" t="s">
        <v>183</v>
      </c>
      <c r="P4" s="241" t="s">
        <v>140</v>
      </c>
      <c r="U4" s="240"/>
      <c r="V4" s="243"/>
      <c r="W4" s="244"/>
      <c r="X4" s="245"/>
      <c r="Y4" s="245"/>
      <c r="Z4" s="246"/>
      <c r="AA4" s="245"/>
      <c r="AB4" s="247"/>
      <c r="AC4" s="245"/>
    </row>
    <row r="5" spans="1:29">
      <c r="A5" s="241" t="s">
        <v>135</v>
      </c>
      <c r="B5" s="241" t="s">
        <v>106</v>
      </c>
      <c r="C5" s="241" t="s">
        <v>248</v>
      </c>
      <c r="D5" s="241" t="s">
        <v>137</v>
      </c>
      <c r="E5" s="241">
        <v>2082.5100000000002</v>
      </c>
      <c r="G5" s="241" t="s">
        <v>8</v>
      </c>
      <c r="H5" s="241">
        <v>1</v>
      </c>
      <c r="I5" s="242"/>
      <c r="J5" s="242"/>
      <c r="L5" s="241" t="s">
        <v>138</v>
      </c>
      <c r="M5" s="241" t="s">
        <v>183</v>
      </c>
      <c r="P5" s="241" t="s">
        <v>140</v>
      </c>
      <c r="U5" s="240"/>
      <c r="V5" s="243"/>
      <c r="W5" s="244"/>
      <c r="X5" s="245"/>
      <c r="Y5" s="245"/>
      <c r="Z5" s="246"/>
      <c r="AA5" s="245"/>
      <c r="AB5" s="247"/>
      <c r="AC5" s="245"/>
    </row>
    <row r="6" spans="1:29">
      <c r="A6" s="241" t="s">
        <v>135</v>
      </c>
      <c r="B6" s="241" t="s">
        <v>106</v>
      </c>
      <c r="C6" s="241" t="s">
        <v>136</v>
      </c>
      <c r="D6" s="241" t="s">
        <v>137</v>
      </c>
      <c r="E6" s="241">
        <v>1289.55</v>
      </c>
      <c r="G6" s="241" t="s">
        <v>8</v>
      </c>
      <c r="H6" s="241">
        <v>1</v>
      </c>
      <c r="I6" s="242"/>
      <c r="J6" s="242"/>
      <c r="L6" s="241" t="s">
        <v>138</v>
      </c>
      <c r="M6" s="241" t="s">
        <v>139</v>
      </c>
      <c r="P6" s="241" t="s">
        <v>140</v>
      </c>
      <c r="U6" s="240"/>
      <c r="V6" s="243"/>
      <c r="W6" s="244"/>
      <c r="X6" s="245"/>
      <c r="Y6" s="245"/>
      <c r="Z6" s="246"/>
      <c r="AA6" s="245"/>
      <c r="AB6" s="247"/>
      <c r="AC6" s="245"/>
    </row>
    <row r="7" spans="1:29">
      <c r="A7" s="241" t="s">
        <v>135</v>
      </c>
      <c r="B7" s="241" t="s">
        <v>106</v>
      </c>
      <c r="C7" s="241" t="s">
        <v>249</v>
      </c>
      <c r="D7" s="241" t="s">
        <v>137</v>
      </c>
      <c r="E7" s="241">
        <v>1216.55</v>
      </c>
      <c r="G7" s="241" t="s">
        <v>8</v>
      </c>
      <c r="H7" s="241">
        <v>1</v>
      </c>
      <c r="L7" s="241" t="s">
        <v>138</v>
      </c>
      <c r="M7" s="241" t="s">
        <v>139</v>
      </c>
      <c r="P7" s="241" t="s">
        <v>140</v>
      </c>
      <c r="U7" s="240"/>
      <c r="V7" s="243"/>
      <c r="W7" s="244"/>
      <c r="X7" s="245"/>
      <c r="Y7" s="245"/>
      <c r="Z7" s="246"/>
      <c r="AA7" s="245"/>
      <c r="AB7" s="247"/>
      <c r="AC7" s="245"/>
    </row>
    <row r="8" spans="1:29">
      <c r="A8" s="241" t="s">
        <v>135</v>
      </c>
      <c r="B8" s="241" t="s">
        <v>106</v>
      </c>
      <c r="C8" s="241" t="s">
        <v>250</v>
      </c>
      <c r="D8" s="241" t="s">
        <v>137</v>
      </c>
      <c r="E8" s="241">
        <v>1984.28</v>
      </c>
      <c r="G8" s="241" t="s">
        <v>8</v>
      </c>
      <c r="H8" s="241">
        <v>1</v>
      </c>
      <c r="I8" s="242"/>
      <c r="J8" s="242"/>
      <c r="L8" s="241" t="s">
        <v>138</v>
      </c>
      <c r="M8" s="241" t="s">
        <v>183</v>
      </c>
      <c r="P8" s="241" t="s">
        <v>140</v>
      </c>
      <c r="U8" s="240"/>
      <c r="V8" s="243"/>
      <c r="W8" s="244"/>
      <c r="X8" s="245"/>
      <c r="Y8" s="245"/>
      <c r="Z8" s="246"/>
      <c r="AA8" s="245"/>
      <c r="AB8" s="247"/>
      <c r="AC8" s="245"/>
    </row>
    <row r="9" spans="1:29">
      <c r="A9" s="241" t="s">
        <v>135</v>
      </c>
      <c r="B9" s="241" t="s">
        <v>106</v>
      </c>
      <c r="C9" s="241" t="s">
        <v>251</v>
      </c>
      <c r="D9" s="241" t="s">
        <v>137</v>
      </c>
      <c r="E9" s="241">
        <v>1228.72</v>
      </c>
      <c r="G9" s="241" t="s">
        <v>8</v>
      </c>
      <c r="H9" s="241">
        <v>1</v>
      </c>
      <c r="L9" s="241" t="s">
        <v>138</v>
      </c>
      <c r="M9" s="241" t="s">
        <v>139</v>
      </c>
      <c r="P9" s="241" t="s">
        <v>140</v>
      </c>
    </row>
    <row r="10" spans="1:29">
      <c r="A10" s="241" t="s">
        <v>135</v>
      </c>
      <c r="B10" s="241" t="s">
        <v>106</v>
      </c>
      <c r="C10" s="241" t="s">
        <v>252</v>
      </c>
      <c r="D10" s="241" t="s">
        <v>137</v>
      </c>
      <c r="E10" s="241">
        <v>1216.55</v>
      </c>
      <c r="G10" s="241" t="s">
        <v>8</v>
      </c>
      <c r="H10" s="241">
        <v>1</v>
      </c>
      <c r="I10" s="242"/>
      <c r="J10" s="242"/>
      <c r="L10" s="241" t="s">
        <v>138</v>
      </c>
      <c r="M10" s="241" t="s">
        <v>139</v>
      </c>
      <c r="P10" s="241" t="s">
        <v>140</v>
      </c>
      <c r="U10" s="240"/>
      <c r="V10" s="243"/>
      <c r="W10" s="244"/>
      <c r="X10" s="245"/>
      <c r="Y10" s="245"/>
      <c r="Z10" s="246"/>
      <c r="AA10" s="245"/>
      <c r="AB10" s="247"/>
      <c r="AC10" s="245"/>
    </row>
    <row r="11" spans="1:29">
      <c r="A11" s="241" t="s">
        <v>135</v>
      </c>
      <c r="B11" s="241" t="s">
        <v>106</v>
      </c>
      <c r="C11" s="241" t="s">
        <v>253</v>
      </c>
      <c r="D11" s="241" t="s">
        <v>137</v>
      </c>
      <c r="E11" s="241">
        <v>1216.55</v>
      </c>
      <c r="G11" s="241" t="s">
        <v>8</v>
      </c>
      <c r="H11" s="241">
        <v>1</v>
      </c>
      <c r="I11" s="242"/>
      <c r="J11" s="242"/>
      <c r="L11" s="241" t="s">
        <v>138</v>
      </c>
      <c r="M11" s="241" t="s">
        <v>139</v>
      </c>
      <c r="P11" s="241" t="s">
        <v>140</v>
      </c>
      <c r="U11" s="240"/>
      <c r="V11" s="243"/>
      <c r="W11" s="244"/>
      <c r="X11" s="245"/>
      <c r="Y11" s="245"/>
      <c r="Z11" s="246"/>
      <c r="AA11" s="245"/>
      <c r="AB11" s="247"/>
      <c r="AC11" s="245"/>
    </row>
    <row r="12" spans="1:29">
      <c r="A12" s="241" t="s">
        <v>135</v>
      </c>
      <c r="B12" s="241" t="s">
        <v>106</v>
      </c>
      <c r="C12" s="241" t="s">
        <v>254</v>
      </c>
      <c r="D12" s="241" t="s">
        <v>137</v>
      </c>
      <c r="E12" s="241">
        <v>1984.28</v>
      </c>
      <c r="G12" s="241" t="s">
        <v>8</v>
      </c>
      <c r="H12" s="241">
        <v>1</v>
      </c>
      <c r="I12" s="242"/>
      <c r="J12" s="242"/>
      <c r="L12" s="241" t="s">
        <v>138</v>
      </c>
      <c r="M12" s="241" t="s">
        <v>183</v>
      </c>
      <c r="P12" s="241" t="s">
        <v>140</v>
      </c>
      <c r="U12" s="240"/>
      <c r="V12" s="243"/>
      <c r="W12" s="244"/>
      <c r="X12" s="245"/>
      <c r="Y12" s="245"/>
      <c r="Z12" s="246"/>
      <c r="AA12" s="245"/>
      <c r="AB12" s="247"/>
      <c r="AC12" s="245"/>
    </row>
    <row r="13" spans="1:29">
      <c r="A13" s="241" t="s">
        <v>135</v>
      </c>
      <c r="B13" s="241" t="s">
        <v>106</v>
      </c>
      <c r="C13" s="241" t="s">
        <v>255</v>
      </c>
      <c r="D13" s="241" t="s">
        <v>137</v>
      </c>
      <c r="E13" s="241">
        <v>1228.72</v>
      </c>
      <c r="G13" s="241" t="s">
        <v>8</v>
      </c>
      <c r="H13" s="241">
        <v>1</v>
      </c>
      <c r="L13" s="241" t="s">
        <v>138</v>
      </c>
      <c r="M13" s="241" t="s">
        <v>139</v>
      </c>
      <c r="P13" s="241" t="s">
        <v>140</v>
      </c>
      <c r="U13" s="240"/>
      <c r="V13" s="243"/>
      <c r="W13" s="244"/>
      <c r="X13" s="245"/>
      <c r="Y13" s="245"/>
      <c r="Z13" s="246"/>
      <c r="AA13" s="245"/>
      <c r="AB13" s="247"/>
      <c r="AC13" s="245"/>
    </row>
    <row r="14" spans="1:29">
      <c r="A14" s="241" t="s">
        <v>135</v>
      </c>
      <c r="B14" s="241" t="s">
        <v>106</v>
      </c>
      <c r="C14" s="241" t="s">
        <v>256</v>
      </c>
      <c r="D14" s="241" t="s">
        <v>137</v>
      </c>
      <c r="E14" s="241">
        <v>2180.75</v>
      </c>
      <c r="G14" s="241" t="s">
        <v>8</v>
      </c>
      <c r="H14" s="241">
        <v>1</v>
      </c>
      <c r="I14" s="242"/>
      <c r="J14" s="242"/>
      <c r="L14" s="241" t="s">
        <v>138</v>
      </c>
      <c r="M14" s="241" t="s">
        <v>183</v>
      </c>
      <c r="P14" s="241" t="s">
        <v>140</v>
      </c>
      <c r="U14" s="240"/>
      <c r="V14" s="243"/>
      <c r="W14" s="244"/>
      <c r="X14" s="245"/>
      <c r="Y14" s="245"/>
      <c r="Z14" s="246"/>
      <c r="AA14" s="245"/>
      <c r="AB14" s="247"/>
      <c r="AC14" s="245"/>
    </row>
    <row r="15" spans="1:29">
      <c r="A15" s="241" t="s">
        <v>135</v>
      </c>
      <c r="B15" s="241" t="s">
        <v>106</v>
      </c>
      <c r="C15" s="241" t="s">
        <v>141</v>
      </c>
      <c r="D15" s="241" t="s">
        <v>137</v>
      </c>
      <c r="E15" s="241">
        <v>1350.37</v>
      </c>
      <c r="G15" s="241" t="s">
        <v>8</v>
      </c>
      <c r="H15" s="241">
        <v>1</v>
      </c>
      <c r="I15" s="242"/>
      <c r="J15" s="242"/>
      <c r="L15" s="241" t="s">
        <v>138</v>
      </c>
      <c r="M15" s="241" t="s">
        <v>139</v>
      </c>
      <c r="P15" s="241" t="s">
        <v>140</v>
      </c>
      <c r="U15" s="240"/>
      <c r="V15" s="243"/>
      <c r="W15" s="240"/>
      <c r="X15" s="245"/>
      <c r="Y15" s="240"/>
      <c r="Z15" s="246"/>
      <c r="AA15" s="245"/>
      <c r="AB15" s="247"/>
      <c r="AC15" s="245"/>
    </row>
    <row r="16" spans="1:29">
      <c r="A16" s="241" t="s">
        <v>135</v>
      </c>
      <c r="B16" s="241" t="s">
        <v>106</v>
      </c>
      <c r="C16" s="241" t="s">
        <v>142</v>
      </c>
      <c r="D16" s="241" t="s">
        <v>137</v>
      </c>
      <c r="E16" s="241">
        <v>1289.55</v>
      </c>
      <c r="G16" s="241" t="s">
        <v>8</v>
      </c>
      <c r="H16" s="241">
        <v>1</v>
      </c>
      <c r="I16" s="242"/>
      <c r="J16" s="242"/>
      <c r="L16" s="241" t="s">
        <v>138</v>
      </c>
      <c r="M16" s="241" t="s">
        <v>139</v>
      </c>
      <c r="P16" s="241" t="s">
        <v>140</v>
      </c>
      <c r="U16" s="240"/>
      <c r="V16" s="243"/>
      <c r="W16" s="244"/>
      <c r="X16" s="245"/>
      <c r="Y16" s="245"/>
      <c r="Z16" s="246"/>
      <c r="AA16" s="245"/>
      <c r="AB16" s="247"/>
      <c r="AC16" s="245"/>
    </row>
    <row r="17" spans="1:29">
      <c r="A17" s="241" t="s">
        <v>135</v>
      </c>
      <c r="B17" s="241" t="s">
        <v>106</v>
      </c>
      <c r="C17" s="241" t="s">
        <v>257</v>
      </c>
      <c r="D17" s="241" t="s">
        <v>137</v>
      </c>
      <c r="E17" s="241">
        <v>1964.64</v>
      </c>
      <c r="G17" s="241" t="s">
        <v>8</v>
      </c>
      <c r="H17" s="241">
        <v>1</v>
      </c>
      <c r="I17" s="242"/>
      <c r="J17" s="242"/>
      <c r="L17" s="241" t="s">
        <v>138</v>
      </c>
      <c r="M17" s="241" t="s">
        <v>183</v>
      </c>
      <c r="P17" s="241" t="s">
        <v>140</v>
      </c>
      <c r="U17" s="240"/>
      <c r="V17" s="243"/>
      <c r="W17" s="244"/>
      <c r="X17" s="245"/>
      <c r="Y17" s="245"/>
      <c r="Z17" s="246"/>
      <c r="AA17" s="245"/>
      <c r="AB17" s="247"/>
      <c r="AC17" s="245"/>
    </row>
    <row r="18" spans="1:29">
      <c r="A18" s="241" t="s">
        <v>135</v>
      </c>
      <c r="B18" s="241" t="s">
        <v>106</v>
      </c>
      <c r="C18" s="241" t="s">
        <v>143</v>
      </c>
      <c r="D18" s="241" t="s">
        <v>137</v>
      </c>
      <c r="E18" s="241">
        <v>1216.55</v>
      </c>
      <c r="G18" s="241" t="s">
        <v>8</v>
      </c>
      <c r="H18" s="241">
        <v>1</v>
      </c>
      <c r="I18" s="242"/>
      <c r="J18" s="242"/>
      <c r="L18" s="241" t="s">
        <v>138</v>
      </c>
      <c r="M18" s="241" t="s">
        <v>139</v>
      </c>
      <c r="P18" s="241" t="s">
        <v>140</v>
      </c>
      <c r="U18" s="240"/>
      <c r="V18" s="243"/>
      <c r="W18" s="244"/>
      <c r="X18" s="245"/>
      <c r="Y18" s="245"/>
      <c r="Z18" s="246"/>
      <c r="AA18" s="245"/>
      <c r="AB18" s="247"/>
      <c r="AC18" s="245"/>
    </row>
    <row r="19" spans="1:29">
      <c r="A19" s="241" t="s">
        <v>135</v>
      </c>
      <c r="B19" s="241" t="s">
        <v>106</v>
      </c>
      <c r="C19" s="241" t="s">
        <v>258</v>
      </c>
      <c r="D19" s="241" t="s">
        <v>137</v>
      </c>
      <c r="E19" s="241">
        <v>2082.5100000000002</v>
      </c>
      <c r="G19" s="241" t="s">
        <v>8</v>
      </c>
      <c r="H19" s="241">
        <v>1</v>
      </c>
      <c r="I19" s="242"/>
      <c r="J19" s="242"/>
      <c r="L19" s="241" t="s">
        <v>138</v>
      </c>
      <c r="M19" s="241" t="s">
        <v>183</v>
      </c>
      <c r="P19" s="241" t="s">
        <v>140</v>
      </c>
      <c r="U19" s="240"/>
      <c r="V19" s="243"/>
      <c r="W19" s="244"/>
      <c r="X19" s="245"/>
      <c r="Y19" s="245"/>
      <c r="Z19" s="246"/>
      <c r="AA19" s="245"/>
      <c r="AB19" s="247"/>
      <c r="AC19" s="245"/>
    </row>
    <row r="20" spans="1:29">
      <c r="A20" s="241" t="s">
        <v>135</v>
      </c>
      <c r="B20" s="241" t="s">
        <v>106</v>
      </c>
      <c r="C20" s="241" t="s">
        <v>144</v>
      </c>
      <c r="D20" s="241" t="s">
        <v>137</v>
      </c>
      <c r="E20" s="241">
        <v>1289.55</v>
      </c>
      <c r="G20" s="241" t="s">
        <v>8</v>
      </c>
      <c r="H20" s="241">
        <v>1</v>
      </c>
      <c r="I20" s="242"/>
      <c r="J20" s="242"/>
      <c r="L20" s="241" t="s">
        <v>138</v>
      </c>
      <c r="M20" s="241" t="s">
        <v>139</v>
      </c>
      <c r="P20" s="241" t="s">
        <v>140</v>
      </c>
      <c r="U20" s="240"/>
      <c r="V20" s="243"/>
      <c r="W20" s="244"/>
      <c r="X20" s="245"/>
      <c r="Y20" s="245"/>
      <c r="Z20" s="246"/>
      <c r="AA20" s="245"/>
      <c r="AB20" s="247"/>
      <c r="AC20" s="245"/>
    </row>
    <row r="21" spans="1:29">
      <c r="A21" s="241" t="s">
        <v>135</v>
      </c>
      <c r="B21" s="241" t="s">
        <v>106</v>
      </c>
      <c r="C21" s="241" t="s">
        <v>259</v>
      </c>
      <c r="D21" s="241" t="s">
        <v>137</v>
      </c>
      <c r="E21" s="241">
        <v>1964.64</v>
      </c>
      <c r="G21" s="241" t="s">
        <v>8</v>
      </c>
      <c r="H21" s="241">
        <v>1</v>
      </c>
      <c r="I21" s="242"/>
      <c r="J21" s="242"/>
      <c r="L21" s="241" t="s">
        <v>138</v>
      </c>
      <c r="M21" s="241" t="s">
        <v>183</v>
      </c>
      <c r="P21" s="241" t="s">
        <v>140</v>
      </c>
      <c r="U21" s="240"/>
      <c r="V21" s="243"/>
      <c r="W21" s="244"/>
      <c r="X21" s="245"/>
      <c r="Y21" s="245"/>
      <c r="Z21" s="246"/>
      <c r="AA21" s="245"/>
      <c r="AB21" s="247"/>
      <c r="AC21" s="245"/>
    </row>
    <row r="22" spans="1:29">
      <c r="A22" s="241" t="s">
        <v>135</v>
      </c>
      <c r="B22" s="241" t="s">
        <v>106</v>
      </c>
      <c r="C22" s="241" t="s">
        <v>260</v>
      </c>
      <c r="D22" s="241" t="s">
        <v>137</v>
      </c>
      <c r="E22" s="241">
        <v>2003.93</v>
      </c>
      <c r="G22" s="241" t="s">
        <v>8</v>
      </c>
      <c r="H22" s="241">
        <v>1</v>
      </c>
      <c r="I22" s="242"/>
      <c r="J22" s="242"/>
      <c r="L22" s="241" t="s">
        <v>138</v>
      </c>
      <c r="M22" s="241" t="s">
        <v>183</v>
      </c>
      <c r="P22" s="241" t="s">
        <v>140</v>
      </c>
      <c r="U22" s="240"/>
      <c r="V22" s="243"/>
      <c r="W22" s="244"/>
      <c r="X22" s="245"/>
      <c r="Y22" s="245"/>
      <c r="Z22" s="246"/>
      <c r="AA22" s="245"/>
      <c r="AB22" s="247"/>
      <c r="AC22" s="245"/>
    </row>
    <row r="23" spans="1:29">
      <c r="A23" s="241" t="s">
        <v>135</v>
      </c>
      <c r="B23" s="241" t="s">
        <v>106</v>
      </c>
      <c r="C23" s="241" t="s">
        <v>188</v>
      </c>
      <c r="D23" s="241" t="s">
        <v>137</v>
      </c>
      <c r="E23" s="241">
        <v>1240.8800000000001</v>
      </c>
      <c r="G23" s="241" t="s">
        <v>8</v>
      </c>
      <c r="H23" s="241">
        <v>1</v>
      </c>
      <c r="I23" s="242"/>
      <c r="J23" s="242"/>
      <c r="L23" s="241" t="s">
        <v>138</v>
      </c>
      <c r="M23" s="241" t="s">
        <v>139</v>
      </c>
      <c r="P23" s="241" t="s">
        <v>140</v>
      </c>
      <c r="U23" s="240"/>
      <c r="V23" s="243"/>
      <c r="W23" s="244"/>
      <c r="X23" s="245"/>
      <c r="Y23" s="245"/>
      <c r="Z23" s="246"/>
      <c r="AA23" s="245"/>
      <c r="AB23" s="247"/>
      <c r="AC23" s="245"/>
    </row>
    <row r="24" spans="1:29">
      <c r="A24" s="241" t="s">
        <v>135</v>
      </c>
      <c r="B24" s="241" t="s">
        <v>106</v>
      </c>
      <c r="C24" s="241" t="s">
        <v>261</v>
      </c>
      <c r="D24" s="241" t="s">
        <v>137</v>
      </c>
      <c r="E24" s="241">
        <v>1964.64</v>
      </c>
      <c r="G24" s="241" t="s">
        <v>8</v>
      </c>
      <c r="H24" s="241">
        <v>1</v>
      </c>
      <c r="I24" s="242"/>
      <c r="J24" s="242"/>
      <c r="L24" s="241" t="s">
        <v>138</v>
      </c>
      <c r="M24" s="241" t="s">
        <v>183</v>
      </c>
      <c r="P24" s="241" t="s">
        <v>140</v>
      </c>
      <c r="U24" s="240"/>
      <c r="V24" s="243"/>
      <c r="W24" s="244"/>
      <c r="X24" s="245"/>
      <c r="Y24" s="245"/>
      <c r="Z24" s="246"/>
      <c r="AA24" s="245"/>
      <c r="AB24" s="247"/>
      <c r="AC24" s="245"/>
    </row>
    <row r="25" spans="1:29">
      <c r="A25" s="241" t="s">
        <v>135</v>
      </c>
      <c r="B25" s="241" t="s">
        <v>106</v>
      </c>
      <c r="C25" s="241" t="s">
        <v>262</v>
      </c>
      <c r="D25" s="241" t="s">
        <v>137</v>
      </c>
      <c r="E25" s="241">
        <v>1964.64</v>
      </c>
      <c r="G25" s="241" t="s">
        <v>8</v>
      </c>
      <c r="H25" s="241">
        <v>1</v>
      </c>
      <c r="I25" s="242"/>
      <c r="J25" s="242"/>
      <c r="L25" s="241" t="s">
        <v>138</v>
      </c>
      <c r="M25" s="241" t="s">
        <v>183</v>
      </c>
      <c r="P25" s="241" t="s">
        <v>140</v>
      </c>
      <c r="U25" s="240"/>
      <c r="V25" s="243"/>
      <c r="W25" s="244"/>
      <c r="X25" s="245"/>
      <c r="Y25" s="245"/>
      <c r="Z25" s="246"/>
      <c r="AA25" s="245"/>
      <c r="AB25" s="247"/>
      <c r="AC25" s="245"/>
    </row>
    <row r="26" spans="1:29">
      <c r="A26" s="241" t="s">
        <v>135</v>
      </c>
      <c r="B26" s="241" t="s">
        <v>106</v>
      </c>
      <c r="C26" s="241" t="s">
        <v>263</v>
      </c>
      <c r="D26" s="241" t="s">
        <v>137</v>
      </c>
      <c r="E26" s="241">
        <v>1216.55</v>
      </c>
      <c r="G26" s="241" t="s">
        <v>8</v>
      </c>
      <c r="H26" s="241">
        <v>1</v>
      </c>
      <c r="I26" s="242"/>
      <c r="J26" s="242"/>
      <c r="L26" s="241" t="s">
        <v>138</v>
      </c>
      <c r="M26" s="241" t="s">
        <v>139</v>
      </c>
      <c r="P26" s="241" t="s">
        <v>140</v>
      </c>
      <c r="U26" s="240"/>
      <c r="V26" s="243"/>
      <c r="W26" s="244"/>
      <c r="X26" s="245"/>
      <c r="Y26" s="245"/>
      <c r="Z26" s="246"/>
      <c r="AA26" s="245"/>
      <c r="AB26" s="247"/>
      <c r="AC26" s="245"/>
    </row>
    <row r="27" spans="1:29">
      <c r="A27" s="241" t="s">
        <v>135</v>
      </c>
      <c r="B27" s="241" t="s">
        <v>106</v>
      </c>
      <c r="C27" s="241" t="s">
        <v>264</v>
      </c>
      <c r="D27" s="241" t="s">
        <v>137</v>
      </c>
      <c r="E27" s="241">
        <v>1964.64</v>
      </c>
      <c r="G27" s="241" t="s">
        <v>8</v>
      </c>
      <c r="H27" s="241">
        <v>1</v>
      </c>
      <c r="I27" s="242"/>
      <c r="J27" s="242"/>
      <c r="L27" s="241" t="s">
        <v>138</v>
      </c>
      <c r="M27" s="241" t="s">
        <v>183</v>
      </c>
      <c r="P27" s="241" t="s">
        <v>140</v>
      </c>
      <c r="U27" s="240"/>
      <c r="V27" s="243"/>
      <c r="W27" s="244"/>
      <c r="X27" s="245"/>
      <c r="Y27" s="245"/>
      <c r="Z27" s="246"/>
      <c r="AA27" s="245"/>
      <c r="AB27" s="247"/>
      <c r="AC27" s="245"/>
    </row>
    <row r="28" spans="1:29">
      <c r="A28" s="241" t="s">
        <v>135</v>
      </c>
      <c r="B28" s="241" t="s">
        <v>106</v>
      </c>
      <c r="C28" s="241" t="s">
        <v>265</v>
      </c>
      <c r="D28" s="241" t="s">
        <v>137</v>
      </c>
      <c r="E28" s="241">
        <v>2003.93</v>
      </c>
      <c r="G28" s="241" t="s">
        <v>8</v>
      </c>
      <c r="H28" s="241">
        <v>1</v>
      </c>
      <c r="I28" s="242"/>
      <c r="J28" s="242"/>
      <c r="L28" s="241" t="s">
        <v>138</v>
      </c>
      <c r="M28" s="241" t="s">
        <v>183</v>
      </c>
      <c r="P28" s="241" t="s">
        <v>140</v>
      </c>
      <c r="U28" s="240"/>
      <c r="V28" s="243"/>
      <c r="W28" s="244"/>
      <c r="X28" s="245"/>
      <c r="Y28" s="245"/>
      <c r="Z28" s="246"/>
      <c r="AA28" s="245"/>
      <c r="AB28" s="247"/>
      <c r="AC28" s="245"/>
    </row>
    <row r="29" spans="1:29">
      <c r="A29" s="241" t="s">
        <v>135</v>
      </c>
      <c r="B29" s="241" t="s">
        <v>106</v>
      </c>
      <c r="C29" s="241" t="s">
        <v>145</v>
      </c>
      <c r="D29" s="241" t="s">
        <v>137</v>
      </c>
      <c r="E29" s="241">
        <v>1240.8800000000001</v>
      </c>
      <c r="G29" s="241" t="s">
        <v>8</v>
      </c>
      <c r="H29" s="241">
        <v>1</v>
      </c>
      <c r="I29" s="242"/>
      <c r="J29" s="242"/>
      <c r="L29" s="241" t="s">
        <v>138</v>
      </c>
      <c r="M29" s="241" t="s">
        <v>139</v>
      </c>
      <c r="P29" s="241" t="s">
        <v>140</v>
      </c>
      <c r="U29" s="240"/>
      <c r="V29" s="243"/>
      <c r="W29" s="244"/>
      <c r="X29" s="245"/>
      <c r="Y29" s="245"/>
      <c r="Z29" s="246"/>
      <c r="AA29" s="245"/>
      <c r="AB29" s="247"/>
      <c r="AC29" s="245"/>
    </row>
    <row r="30" spans="1:29">
      <c r="A30" s="241" t="s">
        <v>135</v>
      </c>
      <c r="B30" s="241" t="s">
        <v>106</v>
      </c>
      <c r="C30" s="241" t="s">
        <v>146</v>
      </c>
      <c r="D30" s="241" t="s">
        <v>137</v>
      </c>
      <c r="E30" s="241">
        <v>1392.68</v>
      </c>
      <c r="G30" s="241" t="s">
        <v>8</v>
      </c>
      <c r="H30" s="241">
        <v>1</v>
      </c>
      <c r="I30" s="242"/>
      <c r="J30" s="242"/>
      <c r="L30" s="241" t="s">
        <v>138</v>
      </c>
      <c r="M30" s="241" t="s">
        <v>147</v>
      </c>
      <c r="P30" s="241" t="s">
        <v>148</v>
      </c>
      <c r="U30" s="240"/>
      <c r="V30" s="243"/>
      <c r="W30" s="244"/>
      <c r="X30" s="245"/>
      <c r="Y30" s="245"/>
      <c r="Z30" s="246"/>
      <c r="AA30" s="245"/>
      <c r="AB30" s="247"/>
      <c r="AC30" s="245"/>
    </row>
    <row r="31" spans="1:29">
      <c r="A31" s="241" t="s">
        <v>135</v>
      </c>
      <c r="B31" s="241" t="s">
        <v>106</v>
      </c>
      <c r="C31" s="241" t="s">
        <v>266</v>
      </c>
      <c r="D31" s="241" t="s">
        <v>137</v>
      </c>
      <c r="E31" s="241">
        <v>1449.53</v>
      </c>
      <c r="G31" s="241" t="s">
        <v>8</v>
      </c>
      <c r="H31" s="241">
        <v>1</v>
      </c>
      <c r="I31" s="242"/>
      <c r="J31" s="242"/>
      <c r="L31" s="241" t="s">
        <v>138</v>
      </c>
      <c r="M31" s="241" t="s">
        <v>147</v>
      </c>
      <c r="P31" s="241" t="s">
        <v>148</v>
      </c>
      <c r="U31" s="240"/>
      <c r="V31" s="243"/>
      <c r="W31" s="244"/>
      <c r="X31" s="245"/>
      <c r="Y31" s="245"/>
      <c r="Z31" s="246"/>
      <c r="AA31" s="245"/>
      <c r="AB31" s="247"/>
      <c r="AC31" s="245"/>
    </row>
    <row r="32" spans="1:29">
      <c r="A32" s="241" t="s">
        <v>135</v>
      </c>
      <c r="B32" s="241" t="s">
        <v>106</v>
      </c>
      <c r="C32" s="241" t="s">
        <v>267</v>
      </c>
      <c r="D32" s="241" t="s">
        <v>137</v>
      </c>
      <c r="E32" s="241">
        <v>2605.6799999999998</v>
      </c>
      <c r="G32" s="241" t="s">
        <v>8</v>
      </c>
      <c r="H32" s="241">
        <v>1</v>
      </c>
      <c r="I32" s="242"/>
      <c r="J32" s="242"/>
      <c r="L32" s="241" t="s">
        <v>138</v>
      </c>
      <c r="M32" s="241" t="s">
        <v>152</v>
      </c>
      <c r="P32" s="241" t="s">
        <v>148</v>
      </c>
      <c r="U32" s="240"/>
      <c r="V32" s="243"/>
      <c r="W32" s="244"/>
      <c r="X32" s="245"/>
      <c r="Y32" s="245"/>
      <c r="Z32" s="246"/>
      <c r="AA32" s="245"/>
      <c r="AB32" s="247"/>
      <c r="AC32" s="245"/>
    </row>
    <row r="33" spans="1:29">
      <c r="A33" s="241" t="s">
        <v>135</v>
      </c>
      <c r="B33" s="241" t="s">
        <v>106</v>
      </c>
      <c r="C33" s="241" t="s">
        <v>268</v>
      </c>
      <c r="D33" s="241" t="s">
        <v>137</v>
      </c>
      <c r="E33" s="241">
        <v>2835.59</v>
      </c>
      <c r="G33" s="241" t="s">
        <v>8</v>
      </c>
      <c r="H33" s="241">
        <v>1</v>
      </c>
      <c r="I33" s="242"/>
      <c r="J33" s="242"/>
      <c r="L33" s="241" t="s">
        <v>138</v>
      </c>
      <c r="M33" s="241" t="s">
        <v>152</v>
      </c>
      <c r="P33" s="241" t="s">
        <v>148</v>
      </c>
      <c r="U33" s="240"/>
      <c r="V33" s="243"/>
      <c r="W33" s="244"/>
      <c r="X33" s="245"/>
      <c r="Y33" s="245"/>
      <c r="Z33" s="246"/>
      <c r="AA33" s="245"/>
      <c r="AB33" s="247"/>
      <c r="AC33" s="245"/>
    </row>
    <row r="34" spans="1:29">
      <c r="A34" s="241" t="s">
        <v>135</v>
      </c>
      <c r="B34" s="241" t="s">
        <v>106</v>
      </c>
      <c r="C34" s="241" t="s">
        <v>269</v>
      </c>
      <c r="D34" s="241" t="s">
        <v>137</v>
      </c>
      <c r="E34" s="241">
        <v>1577.43</v>
      </c>
      <c r="G34" s="241" t="s">
        <v>8</v>
      </c>
      <c r="H34" s="241">
        <v>1</v>
      </c>
      <c r="I34" s="242"/>
      <c r="J34" s="242"/>
      <c r="L34" s="241" t="s">
        <v>138</v>
      </c>
      <c r="M34" s="241" t="s">
        <v>147</v>
      </c>
      <c r="P34" s="241" t="s">
        <v>148</v>
      </c>
      <c r="U34" s="240"/>
      <c r="V34" s="243"/>
      <c r="W34" s="244"/>
      <c r="X34" s="245"/>
      <c r="Y34" s="245"/>
      <c r="Z34" s="246"/>
      <c r="AA34" s="245"/>
      <c r="AB34" s="247"/>
      <c r="AC34" s="245"/>
    </row>
    <row r="35" spans="1:29">
      <c r="A35" s="241" t="s">
        <v>135</v>
      </c>
      <c r="B35" s="241" t="s">
        <v>106</v>
      </c>
      <c r="C35" s="241" t="s">
        <v>149</v>
      </c>
      <c r="D35" s="241" t="s">
        <v>137</v>
      </c>
      <c r="E35" s="241">
        <v>1392.68</v>
      </c>
      <c r="G35" s="241" t="s">
        <v>8</v>
      </c>
      <c r="H35" s="241">
        <v>1</v>
      </c>
      <c r="I35" s="242"/>
      <c r="J35" s="242"/>
      <c r="L35" s="241" t="s">
        <v>138</v>
      </c>
      <c r="M35" s="241" t="s">
        <v>147</v>
      </c>
      <c r="P35" s="241" t="s">
        <v>148</v>
      </c>
      <c r="U35" s="240"/>
      <c r="V35" s="243"/>
      <c r="W35" s="244"/>
      <c r="X35" s="245"/>
      <c r="Y35" s="245"/>
      <c r="Z35" s="246"/>
      <c r="AA35" s="245"/>
      <c r="AB35" s="247"/>
      <c r="AC35" s="245"/>
    </row>
    <row r="36" spans="1:29">
      <c r="A36" s="241" t="s">
        <v>135</v>
      </c>
      <c r="B36" s="241" t="s">
        <v>106</v>
      </c>
      <c r="C36" s="241" t="s">
        <v>270</v>
      </c>
      <c r="D36" s="241" t="s">
        <v>137</v>
      </c>
      <c r="E36" s="241">
        <v>2605.6799999999998</v>
      </c>
      <c r="G36" s="241" t="s">
        <v>8</v>
      </c>
      <c r="H36" s="241">
        <v>1</v>
      </c>
      <c r="I36" s="242"/>
      <c r="J36" s="242"/>
      <c r="L36" s="241" t="s">
        <v>138</v>
      </c>
      <c r="M36" s="241" t="s">
        <v>152</v>
      </c>
      <c r="P36" s="241" t="s">
        <v>148</v>
      </c>
      <c r="U36" s="240"/>
      <c r="V36" s="243"/>
      <c r="W36" s="244"/>
      <c r="X36" s="245"/>
      <c r="Y36" s="245"/>
      <c r="Z36" s="246"/>
      <c r="AA36" s="245"/>
      <c r="AB36" s="247"/>
      <c r="AC36" s="245"/>
    </row>
    <row r="37" spans="1:29">
      <c r="A37" s="241" t="s">
        <v>135</v>
      </c>
      <c r="B37" s="241" t="s">
        <v>106</v>
      </c>
      <c r="C37" s="241" t="s">
        <v>271</v>
      </c>
      <c r="D37" s="241" t="s">
        <v>137</v>
      </c>
      <c r="E37" s="241">
        <v>1449.53</v>
      </c>
      <c r="G37" s="241" t="s">
        <v>8</v>
      </c>
      <c r="H37" s="241">
        <v>1</v>
      </c>
      <c r="I37" s="242"/>
      <c r="J37" s="242"/>
      <c r="L37" s="241" t="s">
        <v>138</v>
      </c>
      <c r="M37" s="241" t="s">
        <v>147</v>
      </c>
      <c r="P37" s="241" t="s">
        <v>148</v>
      </c>
      <c r="U37" s="240"/>
      <c r="V37" s="243"/>
      <c r="W37" s="244"/>
      <c r="X37" s="245"/>
      <c r="Y37" s="245"/>
      <c r="Z37" s="246"/>
      <c r="AA37" s="245"/>
      <c r="AB37" s="247"/>
      <c r="AC37" s="245"/>
    </row>
    <row r="38" spans="1:29">
      <c r="A38" s="241" t="s">
        <v>135</v>
      </c>
      <c r="B38" s="241" t="s">
        <v>106</v>
      </c>
      <c r="C38" s="241" t="s">
        <v>272</v>
      </c>
      <c r="D38" s="241" t="s">
        <v>137</v>
      </c>
      <c r="E38" s="241">
        <v>1435.32</v>
      </c>
      <c r="G38" s="241" t="s">
        <v>8</v>
      </c>
      <c r="H38" s="241">
        <v>1</v>
      </c>
      <c r="I38" s="242"/>
      <c r="J38" s="242"/>
      <c r="L38" s="241" t="s">
        <v>138</v>
      </c>
      <c r="M38" s="241" t="s">
        <v>147</v>
      </c>
      <c r="P38" s="241" t="s">
        <v>148</v>
      </c>
      <c r="U38" s="240"/>
      <c r="V38" s="243"/>
      <c r="W38" s="244"/>
      <c r="X38" s="245"/>
      <c r="Y38" s="245"/>
      <c r="Z38" s="246"/>
      <c r="AA38" s="245"/>
      <c r="AB38" s="247"/>
      <c r="AC38" s="245"/>
    </row>
    <row r="39" spans="1:29">
      <c r="A39" s="241" t="s">
        <v>135</v>
      </c>
      <c r="B39" s="241" t="s">
        <v>106</v>
      </c>
      <c r="C39" s="241" t="s">
        <v>273</v>
      </c>
      <c r="D39" s="241" t="s">
        <v>137</v>
      </c>
      <c r="E39" s="241">
        <v>1435.32</v>
      </c>
      <c r="G39" s="241" t="s">
        <v>8</v>
      </c>
      <c r="H39" s="241">
        <v>1</v>
      </c>
      <c r="I39" s="242"/>
      <c r="J39" s="242"/>
      <c r="L39" s="241" t="s">
        <v>138</v>
      </c>
      <c r="M39" s="241" t="s">
        <v>147</v>
      </c>
      <c r="P39" s="241" t="s">
        <v>148</v>
      </c>
      <c r="U39" s="240"/>
      <c r="V39" s="243"/>
      <c r="W39" s="244"/>
      <c r="X39" s="245"/>
      <c r="Y39" s="245"/>
      <c r="Z39" s="246"/>
      <c r="AA39" s="245"/>
      <c r="AB39" s="247"/>
      <c r="AC39" s="245"/>
    </row>
    <row r="40" spans="1:29">
      <c r="A40" s="241" t="s">
        <v>135</v>
      </c>
      <c r="B40" s="241" t="s">
        <v>106</v>
      </c>
      <c r="C40" s="241" t="s">
        <v>274</v>
      </c>
      <c r="D40" s="241" t="s">
        <v>137</v>
      </c>
      <c r="E40" s="241">
        <v>2605.6799999999998</v>
      </c>
      <c r="G40" s="241" t="s">
        <v>8</v>
      </c>
      <c r="H40" s="241">
        <v>1</v>
      </c>
      <c r="I40" s="242"/>
      <c r="J40" s="242"/>
      <c r="L40" s="241" t="s">
        <v>138</v>
      </c>
      <c r="M40" s="241" t="s">
        <v>152</v>
      </c>
      <c r="P40" s="241" t="s">
        <v>148</v>
      </c>
      <c r="U40" s="240"/>
      <c r="V40" s="243"/>
      <c r="W40" s="244"/>
      <c r="X40" s="245"/>
      <c r="Y40" s="245"/>
      <c r="Z40" s="246"/>
      <c r="AA40" s="245"/>
      <c r="AB40" s="247"/>
      <c r="AC40" s="245"/>
    </row>
    <row r="41" spans="1:29">
      <c r="A41" s="241" t="s">
        <v>135</v>
      </c>
      <c r="B41" s="241" t="s">
        <v>106</v>
      </c>
      <c r="C41" s="241" t="s">
        <v>275</v>
      </c>
      <c r="D41" s="241" t="s">
        <v>137</v>
      </c>
      <c r="E41" s="241">
        <v>1449.53</v>
      </c>
      <c r="G41" s="241" t="s">
        <v>8</v>
      </c>
      <c r="H41" s="241">
        <v>1</v>
      </c>
      <c r="I41" s="242"/>
      <c r="J41" s="242"/>
      <c r="L41" s="241" t="s">
        <v>138</v>
      </c>
      <c r="M41" s="241" t="s">
        <v>147</v>
      </c>
      <c r="P41" s="241" t="s">
        <v>148</v>
      </c>
      <c r="U41" s="240"/>
      <c r="V41" s="243"/>
      <c r="W41" s="244"/>
      <c r="X41" s="245"/>
      <c r="Y41" s="245"/>
      <c r="Z41" s="246"/>
      <c r="AA41" s="245"/>
      <c r="AB41" s="247"/>
      <c r="AC41" s="245"/>
    </row>
    <row r="42" spans="1:29">
      <c r="A42" s="241" t="s">
        <v>135</v>
      </c>
      <c r="B42" s="241" t="s">
        <v>106</v>
      </c>
      <c r="C42" s="241" t="s">
        <v>276</v>
      </c>
      <c r="D42" s="241" t="s">
        <v>137</v>
      </c>
      <c r="E42" s="241">
        <v>9841.8700000000008</v>
      </c>
      <c r="G42" s="241" t="s">
        <v>8</v>
      </c>
      <c r="H42" s="241">
        <v>1</v>
      </c>
      <c r="I42" s="242"/>
      <c r="J42" s="242"/>
      <c r="L42" s="241" t="s">
        <v>138</v>
      </c>
      <c r="M42" s="241" t="s">
        <v>277</v>
      </c>
      <c r="P42" s="241" t="s">
        <v>148</v>
      </c>
      <c r="U42" s="240"/>
      <c r="V42" s="243"/>
      <c r="W42" s="244"/>
      <c r="X42" s="245"/>
      <c r="Y42" s="245"/>
      <c r="Z42" s="246"/>
      <c r="AA42" s="245"/>
      <c r="AB42" s="247"/>
      <c r="AC42" s="245"/>
    </row>
    <row r="43" spans="1:29">
      <c r="A43" s="241" t="s">
        <v>135</v>
      </c>
      <c r="B43" s="241" t="s">
        <v>106</v>
      </c>
      <c r="C43" s="241" t="s">
        <v>278</v>
      </c>
      <c r="D43" s="241" t="s">
        <v>137</v>
      </c>
      <c r="E43" s="241">
        <v>3014.41</v>
      </c>
      <c r="G43" s="241" t="s">
        <v>8</v>
      </c>
      <c r="H43" s="241">
        <v>1</v>
      </c>
      <c r="I43" s="242"/>
      <c r="J43" s="242"/>
      <c r="L43" s="241" t="s">
        <v>138</v>
      </c>
      <c r="M43" s="241" t="s">
        <v>152</v>
      </c>
      <c r="P43" s="241" t="s">
        <v>148</v>
      </c>
      <c r="U43" s="240"/>
      <c r="V43" s="243"/>
      <c r="W43" s="244"/>
      <c r="X43" s="245"/>
      <c r="Y43" s="245"/>
      <c r="Z43" s="246"/>
      <c r="AA43" s="245"/>
      <c r="AB43" s="247"/>
      <c r="AC43" s="245"/>
    </row>
    <row r="44" spans="1:29">
      <c r="A44" s="241" t="s">
        <v>135</v>
      </c>
      <c r="B44" s="241" t="s">
        <v>106</v>
      </c>
      <c r="C44" s="241" t="s">
        <v>279</v>
      </c>
      <c r="D44" s="241" t="s">
        <v>137</v>
      </c>
      <c r="E44" s="241">
        <v>1676.9</v>
      </c>
      <c r="G44" s="241" t="s">
        <v>8</v>
      </c>
      <c r="H44" s="241">
        <v>1</v>
      </c>
      <c r="I44" s="242"/>
      <c r="J44" s="242"/>
      <c r="L44" s="241" t="s">
        <v>138</v>
      </c>
      <c r="M44" s="241" t="s">
        <v>147</v>
      </c>
      <c r="P44" s="241" t="s">
        <v>148</v>
      </c>
      <c r="U44" s="240"/>
      <c r="V44" s="243"/>
      <c r="W44" s="244"/>
      <c r="X44" s="245"/>
      <c r="Y44" s="245"/>
      <c r="Z44" s="246"/>
      <c r="AA44" s="245"/>
      <c r="AB44" s="247"/>
      <c r="AC44" s="245"/>
    </row>
    <row r="45" spans="1:29">
      <c r="A45" s="241" t="s">
        <v>135</v>
      </c>
      <c r="B45" s="241" t="s">
        <v>106</v>
      </c>
      <c r="C45" s="241" t="s">
        <v>280</v>
      </c>
      <c r="D45" s="241" t="s">
        <v>137</v>
      </c>
      <c r="E45" s="241">
        <v>1577.43</v>
      </c>
      <c r="G45" s="241" t="s">
        <v>8</v>
      </c>
      <c r="H45" s="241">
        <v>1</v>
      </c>
      <c r="I45" s="242"/>
      <c r="J45" s="242"/>
      <c r="L45" s="241" t="s">
        <v>138</v>
      </c>
      <c r="M45" s="241" t="s">
        <v>147</v>
      </c>
      <c r="P45" s="241" t="s">
        <v>148</v>
      </c>
      <c r="U45" s="240"/>
      <c r="V45" s="243"/>
      <c r="W45" s="244"/>
      <c r="X45" s="245"/>
      <c r="Y45" s="245"/>
      <c r="Z45" s="246"/>
      <c r="AA45" s="245"/>
      <c r="AB45" s="247"/>
      <c r="AC45" s="245"/>
    </row>
    <row r="46" spans="1:29">
      <c r="A46" s="241" t="s">
        <v>135</v>
      </c>
      <c r="B46" s="241" t="s">
        <v>106</v>
      </c>
      <c r="C46" s="241" t="s">
        <v>281</v>
      </c>
      <c r="D46" s="241" t="s">
        <v>137</v>
      </c>
      <c r="E46" s="241">
        <v>2580.13</v>
      </c>
      <c r="G46" s="241" t="s">
        <v>8</v>
      </c>
      <c r="H46" s="241">
        <v>1</v>
      </c>
      <c r="I46" s="242"/>
      <c r="J46" s="242"/>
      <c r="L46" s="241" t="s">
        <v>138</v>
      </c>
      <c r="M46" s="241" t="s">
        <v>152</v>
      </c>
      <c r="P46" s="241" t="s">
        <v>148</v>
      </c>
      <c r="U46" s="240"/>
      <c r="V46" s="243"/>
      <c r="W46" s="244"/>
      <c r="X46" s="245"/>
      <c r="Y46" s="245"/>
      <c r="Z46" s="246"/>
      <c r="AA46" s="245"/>
      <c r="AB46" s="247"/>
      <c r="AC46" s="245"/>
    </row>
    <row r="47" spans="1:29">
      <c r="A47" s="241" t="s">
        <v>135</v>
      </c>
      <c r="B47" s="241" t="s">
        <v>106</v>
      </c>
      <c r="C47" s="241" t="s">
        <v>282</v>
      </c>
      <c r="D47" s="241" t="s">
        <v>137</v>
      </c>
      <c r="E47" s="241">
        <v>1435.32</v>
      </c>
      <c r="G47" s="241" t="s">
        <v>8</v>
      </c>
      <c r="H47" s="241">
        <v>1</v>
      </c>
      <c r="I47" s="242"/>
      <c r="J47" s="242"/>
      <c r="L47" s="241" t="s">
        <v>138</v>
      </c>
      <c r="M47" s="241" t="s">
        <v>147</v>
      </c>
      <c r="P47" s="241" t="s">
        <v>148</v>
      </c>
      <c r="U47" s="240"/>
      <c r="V47" s="243"/>
      <c r="W47" s="244"/>
      <c r="X47" s="245"/>
      <c r="Y47" s="245"/>
      <c r="Z47" s="246"/>
      <c r="AA47" s="245"/>
      <c r="AB47" s="247"/>
      <c r="AC47" s="245"/>
    </row>
    <row r="48" spans="1:29">
      <c r="A48" s="241" t="s">
        <v>135</v>
      </c>
      <c r="B48" s="241" t="s">
        <v>106</v>
      </c>
      <c r="C48" s="241" t="s">
        <v>283</v>
      </c>
      <c r="D48" s="241" t="s">
        <v>137</v>
      </c>
      <c r="E48" s="241">
        <v>2835.59</v>
      </c>
      <c r="G48" s="241" t="s">
        <v>8</v>
      </c>
      <c r="H48" s="241">
        <v>1</v>
      </c>
      <c r="I48" s="242"/>
      <c r="J48" s="242"/>
      <c r="L48" s="241" t="s">
        <v>138</v>
      </c>
      <c r="M48" s="241" t="s">
        <v>152</v>
      </c>
      <c r="P48" s="241" t="s">
        <v>148</v>
      </c>
      <c r="U48" s="240"/>
      <c r="V48" s="243"/>
      <c r="W48" s="244"/>
      <c r="X48" s="245"/>
      <c r="Y48" s="245"/>
      <c r="Z48" s="246"/>
      <c r="AA48" s="245"/>
      <c r="AB48" s="247"/>
      <c r="AC48" s="245"/>
    </row>
    <row r="49" spans="1:29">
      <c r="A49" s="241" t="s">
        <v>135</v>
      </c>
      <c r="B49" s="241" t="s">
        <v>106</v>
      </c>
      <c r="C49" s="241" t="s">
        <v>150</v>
      </c>
      <c r="D49" s="241" t="s">
        <v>137</v>
      </c>
      <c r="E49" s="241">
        <v>1577.43</v>
      </c>
      <c r="G49" s="241" t="s">
        <v>8</v>
      </c>
      <c r="H49" s="241">
        <v>1</v>
      </c>
      <c r="I49" s="242"/>
      <c r="J49" s="242"/>
      <c r="L49" s="241" t="s">
        <v>138</v>
      </c>
      <c r="M49" s="241" t="s">
        <v>147</v>
      </c>
      <c r="P49" s="241" t="s">
        <v>148</v>
      </c>
      <c r="U49" s="240"/>
      <c r="V49" s="243"/>
      <c r="W49" s="244"/>
      <c r="X49" s="245"/>
      <c r="Y49" s="245"/>
      <c r="Z49" s="246"/>
      <c r="AA49" s="245"/>
      <c r="AB49" s="247"/>
      <c r="AC49" s="245"/>
    </row>
    <row r="50" spans="1:29">
      <c r="A50" s="241" t="s">
        <v>135</v>
      </c>
      <c r="B50" s="241" t="s">
        <v>106</v>
      </c>
      <c r="C50" s="241" t="s">
        <v>284</v>
      </c>
      <c r="D50" s="241" t="s">
        <v>137</v>
      </c>
      <c r="E50" s="241">
        <v>2580.13</v>
      </c>
      <c r="G50" s="241" t="s">
        <v>8</v>
      </c>
      <c r="H50" s="241">
        <v>1</v>
      </c>
      <c r="I50" s="242"/>
      <c r="J50" s="242"/>
      <c r="L50" s="241" t="s">
        <v>138</v>
      </c>
      <c r="M50" s="241" t="s">
        <v>152</v>
      </c>
      <c r="P50" s="241" t="s">
        <v>148</v>
      </c>
      <c r="U50" s="240"/>
      <c r="V50" s="243"/>
      <c r="W50" s="244"/>
      <c r="X50" s="245"/>
      <c r="Y50" s="245"/>
      <c r="Z50" s="246"/>
      <c r="AA50" s="245"/>
      <c r="AB50" s="247"/>
      <c r="AC50" s="245"/>
    </row>
    <row r="51" spans="1:29">
      <c r="A51" s="241" t="s">
        <v>135</v>
      </c>
      <c r="B51" s="241" t="s">
        <v>106</v>
      </c>
      <c r="C51" s="241" t="s">
        <v>285</v>
      </c>
      <c r="D51" s="241" t="s">
        <v>137</v>
      </c>
      <c r="E51" s="241">
        <v>2656.77</v>
      </c>
      <c r="G51" s="241" t="s">
        <v>8</v>
      </c>
      <c r="H51" s="241">
        <v>1</v>
      </c>
      <c r="I51" s="242"/>
      <c r="J51" s="242"/>
      <c r="L51" s="241" t="s">
        <v>138</v>
      </c>
      <c r="M51" s="241" t="s">
        <v>152</v>
      </c>
      <c r="P51" s="241" t="s">
        <v>148</v>
      </c>
      <c r="U51" s="240"/>
      <c r="V51" s="243"/>
      <c r="W51" s="244"/>
      <c r="X51" s="245"/>
      <c r="Y51" s="245"/>
      <c r="Z51" s="246"/>
      <c r="AA51" s="245"/>
      <c r="AB51" s="247"/>
      <c r="AC51" s="245"/>
    </row>
    <row r="52" spans="1:29">
      <c r="A52" s="241" t="s">
        <v>135</v>
      </c>
      <c r="B52" s="241" t="s">
        <v>106</v>
      </c>
      <c r="C52" s="241" t="s">
        <v>286</v>
      </c>
      <c r="D52" s="241" t="s">
        <v>137</v>
      </c>
      <c r="E52" s="241">
        <v>1477.95</v>
      </c>
      <c r="G52" s="241" t="s">
        <v>8</v>
      </c>
      <c r="H52" s="241">
        <v>1</v>
      </c>
      <c r="I52" s="242"/>
      <c r="J52" s="242"/>
      <c r="L52" s="241" t="s">
        <v>138</v>
      </c>
      <c r="M52" s="241" t="s">
        <v>147</v>
      </c>
      <c r="P52" s="241" t="s">
        <v>148</v>
      </c>
      <c r="U52" s="240"/>
      <c r="V52" s="243"/>
      <c r="W52" s="244"/>
      <c r="X52" s="245"/>
      <c r="Y52" s="245"/>
      <c r="Z52" s="246"/>
      <c r="AA52" s="245"/>
      <c r="AB52" s="247"/>
      <c r="AC52" s="245"/>
    </row>
    <row r="53" spans="1:29">
      <c r="A53" s="241" t="s">
        <v>135</v>
      </c>
      <c r="B53" s="241" t="s">
        <v>106</v>
      </c>
      <c r="C53" s="241" t="s">
        <v>151</v>
      </c>
      <c r="D53" s="241" t="s">
        <v>137</v>
      </c>
      <c r="E53" s="241">
        <v>2503.4899999999998</v>
      </c>
      <c r="G53" s="241" t="s">
        <v>8</v>
      </c>
      <c r="H53" s="241">
        <v>1</v>
      </c>
      <c r="I53" s="242"/>
      <c r="J53" s="242"/>
      <c r="L53" s="241" t="s">
        <v>138</v>
      </c>
      <c r="M53" s="241" t="s">
        <v>152</v>
      </c>
      <c r="P53" s="241" t="s">
        <v>148</v>
      </c>
      <c r="U53" s="240"/>
      <c r="V53" s="243"/>
      <c r="W53" s="244"/>
      <c r="X53" s="245"/>
      <c r="Y53" s="245"/>
      <c r="Z53" s="246"/>
      <c r="AA53" s="245"/>
      <c r="AB53" s="247"/>
      <c r="AC53" s="245"/>
    </row>
    <row r="54" spans="1:29">
      <c r="A54" s="241" t="s">
        <v>135</v>
      </c>
      <c r="B54" s="241" t="s">
        <v>106</v>
      </c>
      <c r="C54" s="241" t="s">
        <v>153</v>
      </c>
      <c r="D54" s="241" t="s">
        <v>137</v>
      </c>
      <c r="E54" s="241">
        <v>2503.4899999999998</v>
      </c>
      <c r="G54" s="241" t="s">
        <v>8</v>
      </c>
      <c r="H54" s="241">
        <v>1</v>
      </c>
      <c r="I54" s="242"/>
      <c r="J54" s="242"/>
      <c r="L54" s="241" t="s">
        <v>138</v>
      </c>
      <c r="M54" s="241" t="s">
        <v>152</v>
      </c>
      <c r="P54" s="241" t="s">
        <v>148</v>
      </c>
      <c r="U54" s="240"/>
      <c r="V54" s="243"/>
      <c r="W54" s="244"/>
      <c r="X54" s="245"/>
      <c r="Y54" s="245"/>
      <c r="Z54" s="246"/>
      <c r="AA54" s="245"/>
      <c r="AB54" s="247"/>
      <c r="AC54" s="245"/>
    </row>
    <row r="55" spans="1:29">
      <c r="A55" s="241" t="s">
        <v>135</v>
      </c>
      <c r="B55" s="241" t="s">
        <v>106</v>
      </c>
      <c r="C55" s="241" t="s">
        <v>154</v>
      </c>
      <c r="D55" s="241" t="s">
        <v>137</v>
      </c>
      <c r="E55" s="241">
        <v>1392.68</v>
      </c>
      <c r="G55" s="241" t="s">
        <v>8</v>
      </c>
      <c r="H55" s="241">
        <v>1</v>
      </c>
      <c r="I55" s="242"/>
      <c r="J55" s="242"/>
      <c r="L55" s="241" t="s">
        <v>138</v>
      </c>
      <c r="M55" s="241" t="s">
        <v>147</v>
      </c>
      <c r="P55" s="241" t="s">
        <v>148</v>
      </c>
      <c r="U55" s="240"/>
      <c r="V55" s="243"/>
      <c r="W55" s="244"/>
      <c r="X55" s="245"/>
      <c r="Y55" s="245"/>
      <c r="Z55" s="246"/>
      <c r="AA55" s="245"/>
      <c r="AB55" s="247"/>
      <c r="AC55" s="245"/>
    </row>
    <row r="56" spans="1:29">
      <c r="A56" s="241" t="s">
        <v>135</v>
      </c>
      <c r="B56" s="241" t="s">
        <v>106</v>
      </c>
      <c r="C56" s="241" t="s">
        <v>287</v>
      </c>
      <c r="D56" s="241" t="s">
        <v>137</v>
      </c>
      <c r="E56" s="241">
        <v>2503.4899999999998</v>
      </c>
      <c r="G56" s="241" t="s">
        <v>8</v>
      </c>
      <c r="H56" s="241">
        <v>1</v>
      </c>
      <c r="I56" s="242"/>
      <c r="J56" s="242"/>
      <c r="L56" s="241" t="s">
        <v>138</v>
      </c>
      <c r="M56" s="241" t="s">
        <v>152</v>
      </c>
      <c r="P56" s="241" t="s">
        <v>148</v>
      </c>
      <c r="U56" s="240"/>
      <c r="V56" s="243"/>
      <c r="W56" s="244"/>
      <c r="X56" s="245"/>
      <c r="Y56" s="245"/>
      <c r="Z56" s="246"/>
      <c r="AA56" s="245"/>
      <c r="AB56" s="247"/>
      <c r="AC56" s="245"/>
    </row>
    <row r="57" spans="1:29">
      <c r="A57" s="241" t="s">
        <v>135</v>
      </c>
      <c r="B57" s="241" t="s">
        <v>106</v>
      </c>
      <c r="C57" s="241" t="s">
        <v>288</v>
      </c>
      <c r="D57" s="241" t="s">
        <v>137</v>
      </c>
      <c r="E57" s="241">
        <v>2656.77</v>
      </c>
      <c r="G57" s="241" t="s">
        <v>8</v>
      </c>
      <c r="H57" s="241">
        <v>1</v>
      </c>
      <c r="I57" s="242"/>
      <c r="J57" s="242"/>
      <c r="L57" s="241" t="s">
        <v>138</v>
      </c>
      <c r="M57" s="241" t="s">
        <v>152</v>
      </c>
      <c r="P57" s="241" t="s">
        <v>148</v>
      </c>
      <c r="U57" s="240"/>
      <c r="V57" s="243"/>
      <c r="W57" s="244"/>
      <c r="X57" s="245"/>
      <c r="Y57" s="245"/>
      <c r="Z57" s="246"/>
      <c r="AA57" s="245"/>
      <c r="AB57" s="247"/>
      <c r="AC57" s="245"/>
    </row>
    <row r="58" spans="1:29">
      <c r="A58" s="241" t="s">
        <v>135</v>
      </c>
      <c r="B58" s="241" t="s">
        <v>106</v>
      </c>
      <c r="C58" s="241" t="s">
        <v>289</v>
      </c>
      <c r="D58" s="241" t="s">
        <v>137</v>
      </c>
      <c r="E58" s="241">
        <v>1477.95</v>
      </c>
      <c r="G58" s="241" t="s">
        <v>8</v>
      </c>
      <c r="H58" s="241">
        <v>1</v>
      </c>
      <c r="I58" s="242"/>
      <c r="J58" s="242"/>
      <c r="L58" s="241" t="s">
        <v>138</v>
      </c>
      <c r="M58" s="241" t="s">
        <v>147</v>
      </c>
      <c r="P58" s="241" t="s">
        <v>148</v>
      </c>
      <c r="U58" s="240"/>
      <c r="V58" s="243"/>
      <c r="W58" s="244"/>
      <c r="X58" s="245"/>
      <c r="Y58" s="245"/>
      <c r="Z58" s="246"/>
      <c r="AA58" s="245"/>
      <c r="AB58" s="247"/>
      <c r="AC58" s="245"/>
    </row>
    <row r="59" spans="1:29" customFormat="1" ht="12.75">
      <c r="A59" t="s">
        <v>135</v>
      </c>
      <c r="B59" t="s">
        <v>106</v>
      </c>
      <c r="C59" t="s">
        <v>200</v>
      </c>
      <c r="D59" t="s">
        <v>137</v>
      </c>
      <c r="E59">
        <v>1235.75</v>
      </c>
      <c r="G59" t="s">
        <v>8</v>
      </c>
      <c r="H59">
        <v>1</v>
      </c>
      <c r="I59" s="276"/>
      <c r="J59" s="276"/>
      <c r="L59" t="s">
        <v>138</v>
      </c>
      <c r="M59" t="s">
        <v>107</v>
      </c>
      <c r="P59" t="s">
        <v>201</v>
      </c>
    </row>
    <row r="60" spans="1:29" customFormat="1" ht="12.75">
      <c r="I60" s="276"/>
      <c r="J60" s="276"/>
    </row>
    <row r="61" spans="1:29">
      <c r="I61" s="242"/>
      <c r="J61" s="242"/>
      <c r="U61" s="240"/>
      <c r="V61" s="243"/>
      <c r="W61" s="244"/>
      <c r="X61" s="245"/>
      <c r="Y61" s="245"/>
      <c r="Z61" s="246"/>
      <c r="AA61" s="245"/>
      <c r="AB61" s="247"/>
      <c r="AC61" s="245"/>
    </row>
    <row r="62" spans="1:29">
      <c r="A62" s="241" t="s">
        <v>135</v>
      </c>
      <c r="B62" s="241" t="s">
        <v>106</v>
      </c>
      <c r="C62" s="241" t="s">
        <v>245</v>
      </c>
      <c r="D62" s="241" t="s">
        <v>133</v>
      </c>
      <c r="E62" s="241">
        <v>20.52</v>
      </c>
      <c r="G62" s="241" t="s">
        <v>173</v>
      </c>
      <c r="H62" s="241">
        <v>1</v>
      </c>
      <c r="I62" s="242"/>
      <c r="J62" s="242"/>
      <c r="L62" s="241" t="s">
        <v>138</v>
      </c>
      <c r="M62" s="241" t="s">
        <v>107</v>
      </c>
      <c r="P62" s="241" t="s">
        <v>140</v>
      </c>
      <c r="U62" s="240"/>
      <c r="V62" s="243"/>
      <c r="W62" s="244"/>
      <c r="X62" s="245"/>
      <c r="Y62" s="245"/>
      <c r="Z62" s="246"/>
      <c r="AA62" s="245"/>
      <c r="AB62" s="247"/>
      <c r="AC62" s="245"/>
    </row>
    <row r="63" spans="1:29">
      <c r="A63" s="241" t="s">
        <v>135</v>
      </c>
      <c r="B63" s="241" t="s">
        <v>106</v>
      </c>
      <c r="C63" s="241" t="s">
        <v>246</v>
      </c>
      <c r="D63" s="241" t="s">
        <v>133</v>
      </c>
      <c r="E63" s="241">
        <v>20.52</v>
      </c>
      <c r="G63" s="241" t="s">
        <v>173</v>
      </c>
      <c r="H63" s="241">
        <v>1</v>
      </c>
      <c r="I63" s="242"/>
      <c r="J63" s="242"/>
      <c r="L63" s="241" t="s">
        <v>138</v>
      </c>
      <c r="M63" s="241" t="s">
        <v>107</v>
      </c>
      <c r="P63" s="241" t="s">
        <v>140</v>
      </c>
      <c r="U63" s="240"/>
      <c r="V63" s="243"/>
      <c r="W63" s="244"/>
      <c r="X63" s="245"/>
      <c r="Y63" s="245"/>
      <c r="Z63" s="246"/>
      <c r="AA63" s="245"/>
      <c r="AB63" s="247"/>
      <c r="AC63" s="245"/>
    </row>
    <row r="64" spans="1:29">
      <c r="A64" s="241" t="s">
        <v>135</v>
      </c>
      <c r="B64" s="241" t="s">
        <v>106</v>
      </c>
      <c r="C64" s="241" t="s">
        <v>247</v>
      </c>
      <c r="D64" s="241" t="s">
        <v>133</v>
      </c>
      <c r="E64" s="241">
        <v>18.16</v>
      </c>
      <c r="G64" s="241" t="s">
        <v>173</v>
      </c>
      <c r="H64" s="241">
        <v>1</v>
      </c>
      <c r="I64" s="242"/>
      <c r="J64" s="242"/>
      <c r="L64" s="241" t="s">
        <v>138</v>
      </c>
      <c r="M64" s="241" t="s">
        <v>107</v>
      </c>
      <c r="P64" s="241" t="s">
        <v>140</v>
      </c>
      <c r="U64" s="240"/>
      <c r="V64" s="243"/>
      <c r="W64" s="244"/>
      <c r="X64" s="245"/>
      <c r="Y64" s="245"/>
      <c r="Z64" s="246"/>
      <c r="AA64" s="245"/>
      <c r="AB64" s="247"/>
      <c r="AC64" s="245"/>
    </row>
    <row r="65" spans="1:29">
      <c r="A65" s="241" t="s">
        <v>135</v>
      </c>
      <c r="B65" s="241" t="s">
        <v>106</v>
      </c>
      <c r="C65" s="241" t="s">
        <v>248</v>
      </c>
      <c r="D65" s="241" t="s">
        <v>133</v>
      </c>
      <c r="E65" s="241">
        <v>18.16</v>
      </c>
      <c r="G65" s="241" t="s">
        <v>173</v>
      </c>
      <c r="H65" s="241">
        <v>1</v>
      </c>
      <c r="I65" s="242"/>
      <c r="J65" s="242"/>
      <c r="L65" s="241" t="s">
        <v>138</v>
      </c>
      <c r="M65" s="241" t="s">
        <v>107</v>
      </c>
      <c r="P65" s="241" t="s">
        <v>140</v>
      </c>
      <c r="U65" s="240"/>
      <c r="V65" s="243"/>
      <c r="W65" s="244"/>
      <c r="X65" s="245"/>
      <c r="Y65" s="245"/>
      <c r="Z65" s="246"/>
      <c r="AA65" s="245"/>
      <c r="AB65" s="247"/>
      <c r="AC65" s="245"/>
    </row>
    <row r="66" spans="1:29">
      <c r="A66" s="241" t="s">
        <v>135</v>
      </c>
      <c r="B66" s="241" t="s">
        <v>106</v>
      </c>
      <c r="C66" s="241" t="s">
        <v>136</v>
      </c>
      <c r="D66" s="241" t="s">
        <v>133</v>
      </c>
      <c r="E66" s="241">
        <v>20.52</v>
      </c>
      <c r="G66" s="241" t="s">
        <v>173</v>
      </c>
      <c r="H66" s="241">
        <v>1</v>
      </c>
      <c r="I66" s="242"/>
      <c r="J66" s="242"/>
      <c r="L66" s="241" t="s">
        <v>138</v>
      </c>
      <c r="M66" s="241" t="s">
        <v>107</v>
      </c>
      <c r="P66" s="241" t="s">
        <v>140</v>
      </c>
      <c r="U66" s="240"/>
      <c r="V66" s="243"/>
      <c r="W66" s="244"/>
      <c r="X66" s="245"/>
      <c r="Y66" s="245"/>
      <c r="Z66" s="246"/>
      <c r="AA66" s="245"/>
      <c r="AB66" s="247"/>
      <c r="AC66" s="245"/>
    </row>
    <row r="67" spans="1:29">
      <c r="A67" s="241" t="s">
        <v>135</v>
      </c>
      <c r="B67" s="241" t="s">
        <v>106</v>
      </c>
      <c r="C67" s="241" t="s">
        <v>249</v>
      </c>
      <c r="D67" s="241" t="s">
        <v>133</v>
      </c>
      <c r="E67" s="241">
        <v>20.52</v>
      </c>
      <c r="G67" s="241" t="s">
        <v>173</v>
      </c>
      <c r="H67" s="241">
        <v>1</v>
      </c>
      <c r="I67" s="242"/>
      <c r="J67" s="242"/>
      <c r="L67" s="241" t="s">
        <v>138</v>
      </c>
      <c r="M67" s="241" t="s">
        <v>107</v>
      </c>
      <c r="P67" s="241" t="s">
        <v>140</v>
      </c>
      <c r="U67" s="240"/>
      <c r="V67" s="243"/>
      <c r="W67" s="244"/>
      <c r="X67" s="245"/>
      <c r="Y67" s="245"/>
      <c r="Z67" s="246"/>
      <c r="AA67" s="245"/>
      <c r="AB67" s="247"/>
      <c r="AC67" s="245"/>
    </row>
    <row r="68" spans="1:29">
      <c r="A68" s="241" t="s">
        <v>135</v>
      </c>
      <c r="B68" s="241" t="s">
        <v>106</v>
      </c>
      <c r="C68" s="241" t="s">
        <v>250</v>
      </c>
      <c r="D68" s="241" t="s">
        <v>133</v>
      </c>
      <c r="E68" s="241">
        <v>18.16</v>
      </c>
      <c r="G68" s="241" t="s">
        <v>173</v>
      </c>
      <c r="H68" s="241">
        <v>1</v>
      </c>
      <c r="I68" s="242"/>
      <c r="J68" s="242"/>
      <c r="L68" s="241" t="s">
        <v>138</v>
      </c>
      <c r="M68" s="241" t="s">
        <v>107</v>
      </c>
      <c r="P68" s="241" t="s">
        <v>140</v>
      </c>
      <c r="U68" s="240"/>
      <c r="V68" s="243"/>
      <c r="W68" s="244"/>
      <c r="X68" s="245"/>
      <c r="Y68" s="245"/>
      <c r="Z68" s="246"/>
      <c r="AA68" s="245"/>
      <c r="AB68" s="247"/>
      <c r="AC68" s="245"/>
    </row>
    <row r="69" spans="1:29">
      <c r="A69" s="241" t="s">
        <v>135</v>
      </c>
      <c r="B69" s="241" t="s">
        <v>106</v>
      </c>
      <c r="C69" s="241" t="s">
        <v>251</v>
      </c>
      <c r="D69" s="241" t="s">
        <v>133</v>
      </c>
      <c r="E69" s="241">
        <v>20.52</v>
      </c>
      <c r="G69" s="241" t="s">
        <v>173</v>
      </c>
      <c r="H69" s="241">
        <v>1</v>
      </c>
      <c r="I69" s="242"/>
      <c r="J69" s="242"/>
      <c r="L69" s="241" t="s">
        <v>138</v>
      </c>
      <c r="M69" s="241" t="s">
        <v>107</v>
      </c>
      <c r="P69" s="241" t="s">
        <v>140</v>
      </c>
      <c r="U69" s="240"/>
      <c r="V69" s="243"/>
      <c r="W69" s="244"/>
      <c r="X69" s="245"/>
      <c r="Y69" s="245"/>
      <c r="Z69" s="246"/>
      <c r="AA69" s="245"/>
      <c r="AB69" s="247"/>
      <c r="AC69" s="245"/>
    </row>
    <row r="70" spans="1:29">
      <c r="A70" s="241" t="s">
        <v>135</v>
      </c>
      <c r="B70" s="241" t="s">
        <v>106</v>
      </c>
      <c r="C70" s="241" t="s">
        <v>252</v>
      </c>
      <c r="D70" s="241" t="s">
        <v>133</v>
      </c>
      <c r="E70" s="241">
        <v>20.52</v>
      </c>
      <c r="G70" s="241" t="s">
        <v>173</v>
      </c>
      <c r="H70" s="241">
        <v>1</v>
      </c>
      <c r="I70" s="242"/>
      <c r="J70" s="242"/>
      <c r="L70" s="241" t="s">
        <v>138</v>
      </c>
      <c r="M70" s="241" t="s">
        <v>107</v>
      </c>
      <c r="P70" s="241" t="s">
        <v>140</v>
      </c>
      <c r="U70" s="240"/>
      <c r="V70" s="243"/>
      <c r="W70" s="244"/>
      <c r="X70" s="245"/>
      <c r="Y70" s="245"/>
      <c r="Z70" s="246"/>
      <c r="AA70" s="245"/>
      <c r="AB70" s="247"/>
      <c r="AC70" s="245"/>
    </row>
    <row r="71" spans="1:29">
      <c r="A71" s="241" t="s">
        <v>135</v>
      </c>
      <c r="B71" s="241" t="s">
        <v>106</v>
      </c>
      <c r="C71" s="241" t="s">
        <v>253</v>
      </c>
      <c r="D71" s="241" t="s">
        <v>133</v>
      </c>
      <c r="E71" s="241">
        <v>20.52</v>
      </c>
      <c r="G71" s="241" t="s">
        <v>173</v>
      </c>
      <c r="H71" s="241">
        <v>1</v>
      </c>
      <c r="I71" s="242"/>
      <c r="J71" s="242"/>
      <c r="L71" s="241" t="s">
        <v>138</v>
      </c>
      <c r="M71" s="241" t="s">
        <v>107</v>
      </c>
      <c r="P71" s="241" t="s">
        <v>140</v>
      </c>
      <c r="U71" s="240"/>
      <c r="V71" s="243"/>
      <c r="W71" s="244"/>
      <c r="X71" s="245"/>
      <c r="Y71" s="245"/>
      <c r="Z71" s="246"/>
      <c r="AA71" s="245"/>
      <c r="AB71" s="247"/>
      <c r="AC71" s="245"/>
    </row>
    <row r="72" spans="1:29">
      <c r="A72" s="241" t="s">
        <v>135</v>
      </c>
      <c r="B72" s="241" t="s">
        <v>106</v>
      </c>
      <c r="C72" s="241" t="s">
        <v>254</v>
      </c>
      <c r="D72" s="241" t="s">
        <v>133</v>
      </c>
      <c r="E72" s="241">
        <v>18.16</v>
      </c>
      <c r="G72" s="241" t="s">
        <v>173</v>
      </c>
      <c r="H72" s="241">
        <v>1</v>
      </c>
      <c r="I72" s="242"/>
      <c r="J72" s="242"/>
      <c r="L72" s="241" t="s">
        <v>138</v>
      </c>
      <c r="M72" s="241" t="s">
        <v>107</v>
      </c>
      <c r="P72" s="241" t="s">
        <v>140</v>
      </c>
      <c r="U72" s="240"/>
      <c r="V72" s="243"/>
      <c r="W72" s="244"/>
      <c r="X72" s="245"/>
      <c r="Y72" s="245"/>
      <c r="Z72" s="246"/>
      <c r="AA72" s="245"/>
      <c r="AB72" s="247"/>
      <c r="AC72" s="245"/>
    </row>
    <row r="73" spans="1:29">
      <c r="A73" s="241" t="s">
        <v>135</v>
      </c>
      <c r="B73" s="241" t="s">
        <v>106</v>
      </c>
      <c r="C73" s="241" t="s">
        <v>255</v>
      </c>
      <c r="D73" s="241" t="s">
        <v>133</v>
      </c>
      <c r="E73" s="241">
        <v>20.52</v>
      </c>
      <c r="G73" s="241" t="s">
        <v>173</v>
      </c>
      <c r="H73" s="241">
        <v>1</v>
      </c>
      <c r="I73" s="242"/>
      <c r="J73" s="242"/>
      <c r="L73" s="241" t="s">
        <v>138</v>
      </c>
      <c r="M73" s="241" t="s">
        <v>107</v>
      </c>
      <c r="P73" s="241" t="s">
        <v>140</v>
      </c>
      <c r="U73" s="240"/>
      <c r="V73" s="243"/>
      <c r="W73" s="244"/>
      <c r="X73" s="245"/>
      <c r="Y73" s="245"/>
      <c r="Z73" s="246"/>
      <c r="AA73" s="245"/>
      <c r="AB73" s="247"/>
      <c r="AC73" s="245"/>
    </row>
    <row r="74" spans="1:29">
      <c r="A74" s="241" t="s">
        <v>135</v>
      </c>
      <c r="B74" s="241" t="s">
        <v>106</v>
      </c>
      <c r="C74" s="241" t="s">
        <v>256</v>
      </c>
      <c r="D74" s="241" t="s">
        <v>133</v>
      </c>
      <c r="E74" s="241">
        <v>18.16</v>
      </c>
      <c r="G74" s="241" t="s">
        <v>173</v>
      </c>
      <c r="H74" s="241">
        <v>1</v>
      </c>
      <c r="I74" s="242"/>
      <c r="J74" s="242"/>
      <c r="L74" s="241" t="s">
        <v>138</v>
      </c>
      <c r="M74" s="241" t="s">
        <v>107</v>
      </c>
      <c r="P74" s="241" t="s">
        <v>140</v>
      </c>
      <c r="U74" s="240"/>
      <c r="V74" s="243"/>
      <c r="W74" s="244"/>
      <c r="X74" s="245"/>
      <c r="Y74" s="245"/>
      <c r="Z74" s="246"/>
      <c r="AA74" s="245"/>
      <c r="AB74" s="247"/>
      <c r="AC74" s="245"/>
    </row>
    <row r="75" spans="1:29">
      <c r="A75" s="241" t="s">
        <v>135</v>
      </c>
      <c r="B75" s="241" t="s">
        <v>106</v>
      </c>
      <c r="C75" s="241" t="s">
        <v>141</v>
      </c>
      <c r="D75" s="241" t="s">
        <v>133</v>
      </c>
      <c r="E75" s="241">
        <v>20.52</v>
      </c>
      <c r="G75" s="241" t="s">
        <v>173</v>
      </c>
      <c r="H75" s="241">
        <v>1</v>
      </c>
      <c r="I75" s="242"/>
      <c r="J75" s="242"/>
      <c r="L75" s="241" t="s">
        <v>138</v>
      </c>
      <c r="M75" s="241" t="s">
        <v>107</v>
      </c>
      <c r="P75" s="241" t="s">
        <v>140</v>
      </c>
      <c r="U75" s="240"/>
      <c r="V75" s="243"/>
      <c r="W75" s="244"/>
      <c r="X75" s="245"/>
      <c r="Y75" s="245"/>
      <c r="Z75" s="246"/>
      <c r="AA75" s="245"/>
      <c r="AB75" s="247"/>
      <c r="AC75" s="245"/>
    </row>
    <row r="76" spans="1:29">
      <c r="A76" s="241" t="s">
        <v>135</v>
      </c>
      <c r="B76" s="241" t="s">
        <v>106</v>
      </c>
      <c r="C76" s="241" t="s">
        <v>142</v>
      </c>
      <c r="D76" s="241" t="s">
        <v>133</v>
      </c>
      <c r="E76" s="241">
        <v>20.52</v>
      </c>
      <c r="G76" s="241" t="s">
        <v>173</v>
      </c>
      <c r="H76" s="241">
        <v>1</v>
      </c>
      <c r="I76" s="242"/>
      <c r="J76" s="242"/>
      <c r="L76" s="241" t="s">
        <v>138</v>
      </c>
      <c r="M76" s="241" t="s">
        <v>107</v>
      </c>
      <c r="P76" s="241" t="s">
        <v>140</v>
      </c>
      <c r="U76" s="240"/>
      <c r="V76" s="243"/>
      <c r="W76" s="244"/>
      <c r="X76" s="245"/>
      <c r="Y76" s="245"/>
      <c r="Z76" s="246"/>
      <c r="AA76" s="245"/>
      <c r="AB76" s="247"/>
      <c r="AC76" s="245"/>
    </row>
    <row r="77" spans="1:29">
      <c r="A77" s="241" t="s">
        <v>135</v>
      </c>
      <c r="B77" s="241" t="s">
        <v>106</v>
      </c>
      <c r="C77" s="241" t="s">
        <v>257</v>
      </c>
      <c r="D77" s="241" t="s">
        <v>133</v>
      </c>
      <c r="E77" s="241">
        <v>18.16</v>
      </c>
      <c r="G77" s="241" t="s">
        <v>173</v>
      </c>
      <c r="H77" s="241">
        <v>1</v>
      </c>
      <c r="I77" s="242"/>
      <c r="J77" s="242"/>
      <c r="L77" s="241" t="s">
        <v>138</v>
      </c>
      <c r="M77" s="241" t="s">
        <v>107</v>
      </c>
      <c r="P77" s="241" t="s">
        <v>140</v>
      </c>
      <c r="U77" s="240"/>
      <c r="V77" s="243"/>
      <c r="W77" s="244"/>
      <c r="X77" s="245"/>
      <c r="Y77" s="245"/>
      <c r="Z77" s="246"/>
      <c r="AA77" s="245"/>
      <c r="AB77" s="247"/>
      <c r="AC77" s="245"/>
    </row>
    <row r="78" spans="1:29">
      <c r="A78" s="241" t="s">
        <v>135</v>
      </c>
      <c r="B78" s="241" t="s">
        <v>106</v>
      </c>
      <c r="C78" s="241" t="s">
        <v>143</v>
      </c>
      <c r="D78" s="241" t="s">
        <v>133</v>
      </c>
      <c r="E78" s="241">
        <v>20.52</v>
      </c>
      <c r="G78" s="241" t="s">
        <v>173</v>
      </c>
      <c r="H78" s="241">
        <v>1</v>
      </c>
      <c r="I78" s="242"/>
      <c r="J78" s="242"/>
      <c r="L78" s="241" t="s">
        <v>138</v>
      </c>
      <c r="M78" s="241" t="s">
        <v>107</v>
      </c>
      <c r="P78" s="241" t="s">
        <v>140</v>
      </c>
      <c r="U78" s="240"/>
      <c r="V78" s="243"/>
      <c r="W78" s="244"/>
      <c r="X78" s="245"/>
      <c r="Y78" s="245"/>
      <c r="Z78" s="246"/>
      <c r="AA78" s="245"/>
      <c r="AB78" s="247"/>
      <c r="AC78" s="245"/>
    </row>
    <row r="79" spans="1:29">
      <c r="A79" s="241" t="s">
        <v>135</v>
      </c>
      <c r="B79" s="241" t="s">
        <v>106</v>
      </c>
      <c r="C79" s="241" t="s">
        <v>258</v>
      </c>
      <c r="D79" s="241" t="s">
        <v>133</v>
      </c>
      <c r="E79" s="241">
        <v>18.16</v>
      </c>
      <c r="G79" s="241" t="s">
        <v>173</v>
      </c>
      <c r="H79" s="241">
        <v>1</v>
      </c>
      <c r="I79" s="242"/>
      <c r="J79" s="242"/>
      <c r="L79" s="241" t="s">
        <v>138</v>
      </c>
      <c r="M79" s="241" t="s">
        <v>107</v>
      </c>
      <c r="P79" s="241" t="s">
        <v>140</v>
      </c>
      <c r="U79" s="240"/>
      <c r="V79" s="243"/>
      <c r="W79" s="244"/>
      <c r="X79" s="245"/>
      <c r="Y79" s="245"/>
      <c r="Z79" s="246"/>
      <c r="AA79" s="245"/>
      <c r="AB79" s="247"/>
      <c r="AC79" s="245"/>
    </row>
    <row r="80" spans="1:29">
      <c r="A80" s="241" t="s">
        <v>135</v>
      </c>
      <c r="B80" s="241" t="s">
        <v>106</v>
      </c>
      <c r="C80" s="241" t="s">
        <v>144</v>
      </c>
      <c r="D80" s="241" t="s">
        <v>133</v>
      </c>
      <c r="E80" s="241">
        <v>20.52</v>
      </c>
      <c r="G80" s="241" t="s">
        <v>173</v>
      </c>
      <c r="H80" s="241">
        <v>1</v>
      </c>
      <c r="I80" s="242"/>
      <c r="J80" s="242"/>
      <c r="L80" s="241" t="s">
        <v>138</v>
      </c>
      <c r="M80" s="241" t="s">
        <v>107</v>
      </c>
      <c r="P80" s="241" t="s">
        <v>140</v>
      </c>
      <c r="U80" s="240"/>
      <c r="V80" s="243"/>
      <c r="W80" s="244"/>
      <c r="X80" s="245"/>
      <c r="Y80" s="245"/>
      <c r="Z80" s="246"/>
      <c r="AA80" s="245"/>
      <c r="AB80" s="247"/>
      <c r="AC80" s="245"/>
    </row>
    <row r="81" spans="1:29">
      <c r="A81" s="241" t="s">
        <v>135</v>
      </c>
      <c r="B81" s="241" t="s">
        <v>106</v>
      </c>
      <c r="C81" s="241" t="s">
        <v>259</v>
      </c>
      <c r="D81" s="241" t="s">
        <v>133</v>
      </c>
      <c r="E81" s="241">
        <v>18.16</v>
      </c>
      <c r="G81" s="241" t="s">
        <v>173</v>
      </c>
      <c r="H81" s="241">
        <v>1</v>
      </c>
      <c r="I81" s="242"/>
      <c r="J81" s="242"/>
      <c r="L81" s="241" t="s">
        <v>138</v>
      </c>
      <c r="M81" s="241" t="s">
        <v>107</v>
      </c>
      <c r="P81" s="241" t="s">
        <v>140</v>
      </c>
      <c r="U81" s="240"/>
      <c r="V81" s="243"/>
      <c r="W81" s="244"/>
      <c r="X81" s="245"/>
      <c r="Y81" s="245"/>
      <c r="Z81" s="246"/>
      <c r="AA81" s="245"/>
      <c r="AB81" s="247"/>
      <c r="AC81" s="245"/>
    </row>
    <row r="82" spans="1:29">
      <c r="A82" s="241" t="s">
        <v>135</v>
      </c>
      <c r="B82" s="241" t="s">
        <v>106</v>
      </c>
      <c r="C82" s="241" t="s">
        <v>260</v>
      </c>
      <c r="D82" s="241" t="s">
        <v>133</v>
      </c>
      <c r="E82" s="241">
        <v>18.16</v>
      </c>
      <c r="G82" s="241" t="s">
        <v>173</v>
      </c>
      <c r="H82" s="241">
        <v>1</v>
      </c>
      <c r="I82" s="242"/>
      <c r="J82" s="242"/>
      <c r="L82" s="241" t="s">
        <v>138</v>
      </c>
      <c r="M82" s="241" t="s">
        <v>107</v>
      </c>
      <c r="P82" s="241" t="s">
        <v>140</v>
      </c>
      <c r="U82" s="240"/>
      <c r="V82" s="243"/>
      <c r="W82" s="244"/>
      <c r="X82" s="245"/>
      <c r="Y82" s="245"/>
      <c r="Z82" s="246"/>
      <c r="AA82" s="245"/>
      <c r="AB82" s="247"/>
      <c r="AC82" s="245"/>
    </row>
    <row r="83" spans="1:29">
      <c r="A83" s="241" t="s">
        <v>135</v>
      </c>
      <c r="B83" s="241" t="s">
        <v>106</v>
      </c>
      <c r="C83" s="241" t="s">
        <v>188</v>
      </c>
      <c r="D83" s="241" t="s">
        <v>133</v>
      </c>
      <c r="E83" s="241">
        <v>20.52</v>
      </c>
      <c r="G83" s="241" t="s">
        <v>173</v>
      </c>
      <c r="H83" s="241">
        <v>1</v>
      </c>
      <c r="I83" s="242"/>
      <c r="J83" s="242"/>
      <c r="L83" s="241" t="s">
        <v>138</v>
      </c>
      <c r="M83" s="241" t="s">
        <v>107</v>
      </c>
      <c r="P83" s="241" t="s">
        <v>140</v>
      </c>
      <c r="U83" s="240"/>
      <c r="V83" s="243"/>
      <c r="W83" s="244"/>
      <c r="X83" s="245"/>
      <c r="Y83" s="245"/>
      <c r="Z83" s="246"/>
      <c r="AA83" s="245"/>
      <c r="AB83" s="247"/>
      <c r="AC83" s="245"/>
    </row>
    <row r="84" spans="1:29">
      <c r="A84" s="241" t="s">
        <v>135</v>
      </c>
      <c r="B84" s="241" t="s">
        <v>106</v>
      </c>
      <c r="C84" s="241" t="s">
        <v>261</v>
      </c>
      <c r="D84" s="241" t="s">
        <v>133</v>
      </c>
      <c r="E84" s="241">
        <v>18.16</v>
      </c>
      <c r="G84" s="241" t="s">
        <v>173</v>
      </c>
      <c r="H84" s="241">
        <v>1</v>
      </c>
      <c r="I84" s="242"/>
      <c r="J84" s="242"/>
      <c r="L84" s="241" t="s">
        <v>138</v>
      </c>
      <c r="M84" s="241" t="s">
        <v>107</v>
      </c>
      <c r="P84" s="241" t="s">
        <v>140</v>
      </c>
      <c r="U84" s="240"/>
      <c r="V84" s="243"/>
      <c r="W84" s="244"/>
      <c r="X84" s="245"/>
      <c r="Y84" s="245"/>
      <c r="Z84" s="246"/>
      <c r="AA84" s="245"/>
      <c r="AB84" s="247"/>
      <c r="AC84" s="245"/>
    </row>
    <row r="85" spans="1:29">
      <c r="A85" s="241" t="s">
        <v>135</v>
      </c>
      <c r="B85" s="241" t="s">
        <v>106</v>
      </c>
      <c r="C85" s="241" t="s">
        <v>262</v>
      </c>
      <c r="D85" s="241" t="s">
        <v>133</v>
      </c>
      <c r="E85" s="241">
        <v>18.16</v>
      </c>
      <c r="G85" s="241" t="s">
        <v>173</v>
      </c>
      <c r="H85" s="241">
        <v>1</v>
      </c>
      <c r="I85" s="242"/>
      <c r="J85" s="242"/>
      <c r="L85" s="241" t="s">
        <v>138</v>
      </c>
      <c r="M85" s="241" t="s">
        <v>107</v>
      </c>
      <c r="P85" s="241" t="s">
        <v>140</v>
      </c>
      <c r="U85" s="240"/>
      <c r="V85" s="243"/>
      <c r="W85" s="244"/>
      <c r="X85" s="245"/>
      <c r="Y85" s="245"/>
      <c r="Z85" s="246"/>
      <c r="AA85" s="245"/>
      <c r="AB85" s="247"/>
      <c r="AC85" s="245"/>
    </row>
    <row r="86" spans="1:29">
      <c r="A86" s="241" t="s">
        <v>135</v>
      </c>
      <c r="B86" s="241" t="s">
        <v>106</v>
      </c>
      <c r="C86" s="241" t="s">
        <v>263</v>
      </c>
      <c r="D86" s="241" t="s">
        <v>133</v>
      </c>
      <c r="E86" s="241">
        <v>20.52</v>
      </c>
      <c r="G86" s="241" t="s">
        <v>173</v>
      </c>
      <c r="H86" s="241">
        <v>1</v>
      </c>
      <c r="I86" s="242"/>
      <c r="J86" s="242"/>
      <c r="L86" s="241" t="s">
        <v>138</v>
      </c>
      <c r="M86" s="241" t="s">
        <v>107</v>
      </c>
      <c r="P86" s="241" t="s">
        <v>140</v>
      </c>
      <c r="U86" s="240"/>
      <c r="V86" s="243"/>
      <c r="W86" s="244"/>
      <c r="X86" s="245"/>
      <c r="Y86" s="245"/>
      <c r="Z86" s="246"/>
      <c r="AA86" s="245"/>
      <c r="AB86" s="247"/>
      <c r="AC86" s="245"/>
    </row>
    <row r="87" spans="1:29">
      <c r="A87" s="241" t="s">
        <v>135</v>
      </c>
      <c r="B87" s="241" t="s">
        <v>106</v>
      </c>
      <c r="C87" s="241" t="s">
        <v>264</v>
      </c>
      <c r="D87" s="241" t="s">
        <v>133</v>
      </c>
      <c r="E87" s="241">
        <v>18.16</v>
      </c>
      <c r="G87" s="241" t="s">
        <v>173</v>
      </c>
      <c r="H87" s="241">
        <v>1</v>
      </c>
      <c r="L87" s="241" t="s">
        <v>138</v>
      </c>
      <c r="M87" s="241" t="s">
        <v>107</v>
      </c>
      <c r="P87" s="241" t="s">
        <v>140</v>
      </c>
      <c r="U87" s="240"/>
      <c r="V87" s="243"/>
      <c r="W87" s="244"/>
      <c r="X87" s="245"/>
      <c r="Y87" s="245"/>
      <c r="Z87" s="246"/>
      <c r="AA87" s="245"/>
      <c r="AB87" s="247"/>
      <c r="AC87" s="245"/>
    </row>
    <row r="88" spans="1:29">
      <c r="A88" s="241" t="s">
        <v>135</v>
      </c>
      <c r="B88" s="241" t="s">
        <v>106</v>
      </c>
      <c r="C88" s="241" t="s">
        <v>265</v>
      </c>
      <c r="D88" s="241" t="s">
        <v>133</v>
      </c>
      <c r="E88" s="241">
        <v>18.16</v>
      </c>
      <c r="G88" s="241" t="s">
        <v>173</v>
      </c>
      <c r="H88" s="241">
        <v>1</v>
      </c>
      <c r="L88" s="241" t="s">
        <v>138</v>
      </c>
      <c r="M88" s="241" t="s">
        <v>107</v>
      </c>
      <c r="P88" s="241" t="s">
        <v>140</v>
      </c>
      <c r="U88" s="240"/>
      <c r="V88" s="243"/>
      <c r="W88" s="244"/>
      <c r="X88" s="245"/>
      <c r="Y88" s="245"/>
      <c r="Z88" s="246"/>
      <c r="AA88" s="245"/>
      <c r="AB88" s="247"/>
      <c r="AC88" s="245"/>
    </row>
    <row r="89" spans="1:29" customFormat="1">
      <c r="A89" t="s">
        <v>135</v>
      </c>
      <c r="B89" t="s">
        <v>106</v>
      </c>
      <c r="C89" t="s">
        <v>145</v>
      </c>
      <c r="D89" t="s">
        <v>133</v>
      </c>
      <c r="E89" s="241">
        <v>20.52</v>
      </c>
      <c r="G89" t="s">
        <v>173</v>
      </c>
      <c r="H89">
        <v>1</v>
      </c>
      <c r="I89" s="276"/>
      <c r="J89" s="276"/>
      <c r="L89" t="s">
        <v>138</v>
      </c>
      <c r="M89" t="s">
        <v>107</v>
      </c>
      <c r="P89" t="s">
        <v>140</v>
      </c>
      <c r="Q89" t="s">
        <v>345</v>
      </c>
    </row>
    <row r="90" spans="1:29" customFormat="1">
      <c r="A90" t="s">
        <v>135</v>
      </c>
      <c r="B90" t="s">
        <v>106</v>
      </c>
      <c r="C90" t="s">
        <v>146</v>
      </c>
      <c r="D90" t="s">
        <v>133</v>
      </c>
      <c r="E90" s="241">
        <v>31.65</v>
      </c>
      <c r="G90" t="s">
        <v>173</v>
      </c>
      <c r="H90">
        <v>1</v>
      </c>
      <c r="I90" s="276"/>
      <c r="J90" s="276"/>
      <c r="L90" t="s">
        <v>138</v>
      </c>
      <c r="M90" t="s">
        <v>107</v>
      </c>
      <c r="P90" t="s">
        <v>148</v>
      </c>
    </row>
    <row r="91" spans="1:29" customFormat="1">
      <c r="A91" t="s">
        <v>135</v>
      </c>
      <c r="B91" t="s">
        <v>106</v>
      </c>
      <c r="C91" t="s">
        <v>266</v>
      </c>
      <c r="D91" t="s">
        <v>133</v>
      </c>
      <c r="E91" s="241">
        <v>31.65</v>
      </c>
      <c r="G91" t="s">
        <v>173</v>
      </c>
      <c r="H91">
        <v>1</v>
      </c>
      <c r="I91" s="276"/>
      <c r="J91" s="276"/>
      <c r="L91" t="s">
        <v>138</v>
      </c>
      <c r="M91" t="s">
        <v>107</v>
      </c>
      <c r="P91" t="s">
        <v>148</v>
      </c>
    </row>
    <row r="92" spans="1:29" customFormat="1">
      <c r="A92" t="s">
        <v>135</v>
      </c>
      <c r="B92" t="s">
        <v>106</v>
      </c>
      <c r="C92" t="s">
        <v>267</v>
      </c>
      <c r="D92" t="s">
        <v>133</v>
      </c>
      <c r="E92" s="241">
        <v>38.79</v>
      </c>
      <c r="G92" t="s">
        <v>173</v>
      </c>
      <c r="H92">
        <v>1</v>
      </c>
      <c r="I92" s="276"/>
      <c r="J92" s="276"/>
      <c r="L92" t="s">
        <v>138</v>
      </c>
      <c r="M92" t="s">
        <v>107</v>
      </c>
      <c r="P92" t="s">
        <v>148</v>
      </c>
    </row>
    <row r="93" spans="1:29" customFormat="1">
      <c r="A93" t="s">
        <v>135</v>
      </c>
      <c r="B93" t="s">
        <v>106</v>
      </c>
      <c r="C93" t="s">
        <v>268</v>
      </c>
      <c r="D93" t="s">
        <v>133</v>
      </c>
      <c r="E93" s="241">
        <v>38.79</v>
      </c>
      <c r="G93" t="s">
        <v>173</v>
      </c>
      <c r="H93">
        <v>1</v>
      </c>
      <c r="I93" s="276"/>
      <c r="J93" s="276"/>
      <c r="L93" t="s">
        <v>138</v>
      </c>
      <c r="M93" t="s">
        <v>107</v>
      </c>
      <c r="P93" t="s">
        <v>148</v>
      </c>
    </row>
    <row r="94" spans="1:29" customFormat="1">
      <c r="A94" t="s">
        <v>135</v>
      </c>
      <c r="B94" t="s">
        <v>106</v>
      </c>
      <c r="C94" t="s">
        <v>269</v>
      </c>
      <c r="D94" t="s">
        <v>133</v>
      </c>
      <c r="E94" s="241">
        <v>31.65</v>
      </c>
      <c r="G94" t="s">
        <v>173</v>
      </c>
      <c r="H94">
        <v>1</v>
      </c>
      <c r="I94" s="276"/>
      <c r="J94" s="276"/>
      <c r="L94" t="s">
        <v>138</v>
      </c>
      <c r="M94" t="s">
        <v>107</v>
      </c>
      <c r="P94" t="s">
        <v>148</v>
      </c>
    </row>
    <row r="95" spans="1:29" customFormat="1">
      <c r="A95" t="s">
        <v>135</v>
      </c>
      <c r="B95" t="s">
        <v>106</v>
      </c>
      <c r="C95" t="s">
        <v>149</v>
      </c>
      <c r="D95" t="s">
        <v>133</v>
      </c>
      <c r="E95" s="241">
        <v>31.65</v>
      </c>
      <c r="G95" t="s">
        <v>173</v>
      </c>
      <c r="H95">
        <v>1</v>
      </c>
      <c r="I95" s="276"/>
      <c r="J95" s="276"/>
      <c r="L95" t="s">
        <v>138</v>
      </c>
      <c r="M95" t="s">
        <v>107</v>
      </c>
      <c r="P95" t="s">
        <v>148</v>
      </c>
    </row>
    <row r="96" spans="1:29" customFormat="1">
      <c r="A96" t="s">
        <v>135</v>
      </c>
      <c r="B96" t="s">
        <v>106</v>
      </c>
      <c r="C96" t="s">
        <v>270</v>
      </c>
      <c r="D96" t="s">
        <v>133</v>
      </c>
      <c r="E96" s="241">
        <v>38.79</v>
      </c>
      <c r="G96" t="s">
        <v>173</v>
      </c>
      <c r="H96">
        <v>1</v>
      </c>
      <c r="I96" s="276"/>
      <c r="J96" s="276"/>
      <c r="L96" t="s">
        <v>138</v>
      </c>
      <c r="M96" t="s">
        <v>107</v>
      </c>
      <c r="P96" t="s">
        <v>148</v>
      </c>
    </row>
    <row r="97" spans="1:16" customFormat="1">
      <c r="A97" t="s">
        <v>135</v>
      </c>
      <c r="B97" t="s">
        <v>106</v>
      </c>
      <c r="C97" t="s">
        <v>271</v>
      </c>
      <c r="D97" t="s">
        <v>133</v>
      </c>
      <c r="E97" s="241">
        <v>31.65</v>
      </c>
      <c r="G97" t="s">
        <v>173</v>
      </c>
      <c r="H97">
        <v>1</v>
      </c>
      <c r="I97" s="276"/>
      <c r="J97" s="276"/>
      <c r="L97" t="s">
        <v>138</v>
      </c>
      <c r="M97" t="s">
        <v>107</v>
      </c>
      <c r="P97" t="s">
        <v>148</v>
      </c>
    </row>
    <row r="98" spans="1:16" customFormat="1">
      <c r="A98" t="s">
        <v>135</v>
      </c>
      <c r="B98" t="s">
        <v>106</v>
      </c>
      <c r="C98" t="s">
        <v>272</v>
      </c>
      <c r="D98" t="s">
        <v>133</v>
      </c>
      <c r="E98" s="241">
        <v>31.65</v>
      </c>
      <c r="G98" t="s">
        <v>173</v>
      </c>
      <c r="H98">
        <v>1</v>
      </c>
      <c r="I98" s="276"/>
      <c r="J98" s="276"/>
      <c r="L98" t="s">
        <v>138</v>
      </c>
      <c r="M98" t="s">
        <v>107</v>
      </c>
      <c r="P98" t="s">
        <v>148</v>
      </c>
    </row>
    <row r="99" spans="1:16" customFormat="1">
      <c r="A99" t="s">
        <v>135</v>
      </c>
      <c r="B99" t="s">
        <v>106</v>
      </c>
      <c r="C99" t="s">
        <v>273</v>
      </c>
      <c r="D99" t="s">
        <v>133</v>
      </c>
      <c r="E99" s="241">
        <v>31.65</v>
      </c>
      <c r="G99" t="s">
        <v>173</v>
      </c>
      <c r="H99">
        <v>1</v>
      </c>
      <c r="I99" s="276"/>
      <c r="J99" s="276"/>
      <c r="L99" t="s">
        <v>138</v>
      </c>
      <c r="M99" t="s">
        <v>107</v>
      </c>
      <c r="P99" t="s">
        <v>148</v>
      </c>
    </row>
    <row r="100" spans="1:16" customFormat="1">
      <c r="A100" t="s">
        <v>135</v>
      </c>
      <c r="B100" t="s">
        <v>106</v>
      </c>
      <c r="C100" t="s">
        <v>274</v>
      </c>
      <c r="D100" t="s">
        <v>133</v>
      </c>
      <c r="E100" s="241">
        <v>38.79</v>
      </c>
      <c r="G100" t="s">
        <v>173</v>
      </c>
      <c r="H100">
        <v>1</v>
      </c>
      <c r="I100" s="276"/>
      <c r="J100" s="276"/>
      <c r="L100" t="s">
        <v>138</v>
      </c>
      <c r="M100" t="s">
        <v>107</v>
      </c>
      <c r="P100" t="s">
        <v>148</v>
      </c>
    </row>
    <row r="101" spans="1:16" customFormat="1">
      <c r="A101" t="s">
        <v>135</v>
      </c>
      <c r="B101" t="s">
        <v>106</v>
      </c>
      <c r="C101" t="s">
        <v>275</v>
      </c>
      <c r="D101" t="s">
        <v>133</v>
      </c>
      <c r="E101" s="241">
        <v>31.65</v>
      </c>
      <c r="G101" t="s">
        <v>173</v>
      </c>
      <c r="H101">
        <v>1</v>
      </c>
      <c r="I101" s="276"/>
      <c r="J101" s="276"/>
      <c r="L101" t="s">
        <v>138</v>
      </c>
      <c r="M101" t="s">
        <v>107</v>
      </c>
      <c r="P101" t="s">
        <v>148</v>
      </c>
    </row>
    <row r="102" spans="1:16" customFormat="1">
      <c r="A102" t="s">
        <v>135</v>
      </c>
      <c r="B102" t="s">
        <v>106</v>
      </c>
      <c r="C102" t="s">
        <v>276</v>
      </c>
      <c r="D102" t="s">
        <v>133</v>
      </c>
      <c r="E102" s="241">
        <v>69.260000000000005</v>
      </c>
      <c r="G102" t="s">
        <v>173</v>
      </c>
      <c r="H102">
        <v>1</v>
      </c>
      <c r="I102" s="276"/>
      <c r="J102" s="276"/>
      <c r="L102" t="s">
        <v>138</v>
      </c>
      <c r="M102" t="s">
        <v>107</v>
      </c>
      <c r="P102" t="s">
        <v>148</v>
      </c>
    </row>
    <row r="103" spans="1:16" customFormat="1">
      <c r="A103" t="s">
        <v>135</v>
      </c>
      <c r="B103" t="s">
        <v>106</v>
      </c>
      <c r="C103" t="s">
        <v>278</v>
      </c>
      <c r="D103" t="s">
        <v>133</v>
      </c>
      <c r="E103" s="241">
        <v>38.79</v>
      </c>
      <c r="G103" t="s">
        <v>173</v>
      </c>
      <c r="H103">
        <v>1</v>
      </c>
      <c r="I103" s="276"/>
      <c r="J103" s="276"/>
      <c r="L103" t="s">
        <v>138</v>
      </c>
      <c r="M103" t="s">
        <v>107</v>
      </c>
      <c r="P103" t="s">
        <v>148</v>
      </c>
    </row>
    <row r="104" spans="1:16" customFormat="1">
      <c r="A104" t="s">
        <v>135</v>
      </c>
      <c r="B104" t="s">
        <v>106</v>
      </c>
      <c r="C104" t="s">
        <v>279</v>
      </c>
      <c r="D104" t="s">
        <v>133</v>
      </c>
      <c r="E104" s="241">
        <v>31.65</v>
      </c>
      <c r="G104" t="s">
        <v>173</v>
      </c>
      <c r="H104">
        <v>1</v>
      </c>
      <c r="I104" s="276"/>
      <c r="J104" s="276"/>
      <c r="L104" t="s">
        <v>138</v>
      </c>
      <c r="M104" t="s">
        <v>107</v>
      </c>
      <c r="P104" t="s">
        <v>148</v>
      </c>
    </row>
    <row r="105" spans="1:16" customFormat="1">
      <c r="A105" t="s">
        <v>135</v>
      </c>
      <c r="B105" t="s">
        <v>106</v>
      </c>
      <c r="C105" t="s">
        <v>280</v>
      </c>
      <c r="D105" t="s">
        <v>133</v>
      </c>
      <c r="E105" s="241">
        <v>31.65</v>
      </c>
      <c r="G105" t="s">
        <v>173</v>
      </c>
      <c r="H105">
        <v>1</v>
      </c>
      <c r="I105" s="276"/>
      <c r="J105" s="276"/>
      <c r="L105" t="s">
        <v>138</v>
      </c>
      <c r="M105" t="s">
        <v>107</v>
      </c>
      <c r="P105" t="s">
        <v>148</v>
      </c>
    </row>
    <row r="106" spans="1:16" customFormat="1">
      <c r="A106" t="s">
        <v>135</v>
      </c>
      <c r="B106" t="s">
        <v>106</v>
      </c>
      <c r="C106" t="s">
        <v>281</v>
      </c>
      <c r="D106" t="s">
        <v>133</v>
      </c>
      <c r="E106" s="241">
        <v>38.79</v>
      </c>
      <c r="G106" t="s">
        <v>173</v>
      </c>
      <c r="H106">
        <v>1</v>
      </c>
      <c r="I106" s="276"/>
      <c r="J106" s="276"/>
      <c r="L106" t="s">
        <v>138</v>
      </c>
      <c r="M106" t="s">
        <v>107</v>
      </c>
      <c r="P106" t="s">
        <v>148</v>
      </c>
    </row>
    <row r="107" spans="1:16" customFormat="1">
      <c r="A107" t="s">
        <v>135</v>
      </c>
      <c r="B107" t="s">
        <v>106</v>
      </c>
      <c r="C107" t="s">
        <v>282</v>
      </c>
      <c r="D107" t="s">
        <v>133</v>
      </c>
      <c r="E107" s="241">
        <v>31.65</v>
      </c>
      <c r="G107" t="s">
        <v>173</v>
      </c>
      <c r="H107">
        <v>1</v>
      </c>
      <c r="I107" s="276"/>
      <c r="J107" s="276"/>
      <c r="L107" t="s">
        <v>138</v>
      </c>
      <c r="M107" t="s">
        <v>107</v>
      </c>
      <c r="P107" t="s">
        <v>148</v>
      </c>
    </row>
    <row r="108" spans="1:16" customFormat="1">
      <c r="A108" t="s">
        <v>135</v>
      </c>
      <c r="B108" t="s">
        <v>106</v>
      </c>
      <c r="C108" t="s">
        <v>283</v>
      </c>
      <c r="D108" t="s">
        <v>133</v>
      </c>
      <c r="E108" s="241">
        <v>38.79</v>
      </c>
      <c r="G108" t="s">
        <v>173</v>
      </c>
      <c r="H108">
        <v>1</v>
      </c>
      <c r="I108" s="276"/>
      <c r="J108" s="276"/>
      <c r="L108" t="s">
        <v>138</v>
      </c>
      <c r="M108" t="s">
        <v>107</v>
      </c>
      <c r="P108" t="s">
        <v>148</v>
      </c>
    </row>
    <row r="109" spans="1:16" customFormat="1">
      <c r="A109" t="s">
        <v>135</v>
      </c>
      <c r="B109" t="s">
        <v>106</v>
      </c>
      <c r="C109" t="s">
        <v>150</v>
      </c>
      <c r="D109" t="s">
        <v>133</v>
      </c>
      <c r="E109" s="241">
        <v>31.65</v>
      </c>
      <c r="G109" t="s">
        <v>173</v>
      </c>
      <c r="H109">
        <v>1</v>
      </c>
      <c r="I109" s="276"/>
      <c r="J109" s="276"/>
      <c r="L109" t="s">
        <v>138</v>
      </c>
      <c r="M109" t="s">
        <v>107</v>
      </c>
      <c r="P109" t="s">
        <v>148</v>
      </c>
    </row>
    <row r="110" spans="1:16" customFormat="1">
      <c r="A110" t="s">
        <v>135</v>
      </c>
      <c r="B110" t="s">
        <v>106</v>
      </c>
      <c r="C110" t="s">
        <v>284</v>
      </c>
      <c r="D110" t="s">
        <v>133</v>
      </c>
      <c r="E110" s="241">
        <v>38.79</v>
      </c>
      <c r="G110" t="s">
        <v>173</v>
      </c>
      <c r="H110">
        <v>1</v>
      </c>
      <c r="I110" s="276"/>
      <c r="J110" s="276"/>
      <c r="L110" t="s">
        <v>138</v>
      </c>
      <c r="M110" t="s">
        <v>107</v>
      </c>
      <c r="P110" t="s">
        <v>148</v>
      </c>
    </row>
    <row r="111" spans="1:16" customFormat="1">
      <c r="A111" t="s">
        <v>135</v>
      </c>
      <c r="B111" t="s">
        <v>106</v>
      </c>
      <c r="C111" t="s">
        <v>285</v>
      </c>
      <c r="D111" t="s">
        <v>133</v>
      </c>
      <c r="E111" s="241">
        <v>38.79</v>
      </c>
      <c r="G111" t="s">
        <v>173</v>
      </c>
      <c r="H111">
        <v>1</v>
      </c>
      <c r="I111" s="276"/>
      <c r="J111" s="276"/>
      <c r="L111" t="s">
        <v>138</v>
      </c>
      <c r="M111" t="s">
        <v>107</v>
      </c>
      <c r="P111" t="s">
        <v>148</v>
      </c>
    </row>
    <row r="112" spans="1:16" customFormat="1">
      <c r="A112" t="s">
        <v>135</v>
      </c>
      <c r="B112" t="s">
        <v>106</v>
      </c>
      <c r="C112" t="s">
        <v>286</v>
      </c>
      <c r="D112" t="s">
        <v>133</v>
      </c>
      <c r="E112" s="241">
        <v>31.65</v>
      </c>
      <c r="G112" t="s">
        <v>173</v>
      </c>
      <c r="H112">
        <v>1</v>
      </c>
      <c r="I112" s="276"/>
      <c r="J112" s="276"/>
      <c r="L112" t="s">
        <v>138</v>
      </c>
      <c r="M112" t="s">
        <v>107</v>
      </c>
      <c r="P112" t="s">
        <v>148</v>
      </c>
    </row>
    <row r="113" spans="1:29" customFormat="1">
      <c r="A113" t="s">
        <v>135</v>
      </c>
      <c r="B113" t="s">
        <v>106</v>
      </c>
      <c r="C113" t="s">
        <v>151</v>
      </c>
      <c r="D113" t="s">
        <v>133</v>
      </c>
      <c r="E113" s="241">
        <v>38.79</v>
      </c>
      <c r="G113" t="s">
        <v>173</v>
      </c>
      <c r="H113">
        <v>1</v>
      </c>
      <c r="I113" s="276"/>
      <c r="J113" s="276"/>
      <c r="L113" t="s">
        <v>138</v>
      </c>
      <c r="M113" t="s">
        <v>107</v>
      </c>
      <c r="P113" t="s">
        <v>148</v>
      </c>
    </row>
    <row r="114" spans="1:29" customFormat="1">
      <c r="A114" t="s">
        <v>135</v>
      </c>
      <c r="B114" t="s">
        <v>106</v>
      </c>
      <c r="C114" t="s">
        <v>153</v>
      </c>
      <c r="D114" t="s">
        <v>133</v>
      </c>
      <c r="E114" s="241">
        <v>38.79</v>
      </c>
      <c r="G114" t="s">
        <v>173</v>
      </c>
      <c r="H114">
        <v>1</v>
      </c>
      <c r="I114" s="276"/>
      <c r="J114" s="276"/>
      <c r="L114" t="s">
        <v>138</v>
      </c>
      <c r="M114" t="s">
        <v>107</v>
      </c>
      <c r="P114" t="s">
        <v>148</v>
      </c>
    </row>
    <row r="115" spans="1:29" customFormat="1">
      <c r="A115" t="s">
        <v>135</v>
      </c>
      <c r="B115" t="s">
        <v>106</v>
      </c>
      <c r="C115" t="s">
        <v>154</v>
      </c>
      <c r="D115" t="s">
        <v>133</v>
      </c>
      <c r="E115" s="241">
        <v>31.65</v>
      </c>
      <c r="G115" t="s">
        <v>173</v>
      </c>
      <c r="H115">
        <v>1</v>
      </c>
      <c r="I115" s="276"/>
      <c r="J115" s="276"/>
      <c r="L115" t="s">
        <v>138</v>
      </c>
      <c r="M115" t="s">
        <v>107</v>
      </c>
      <c r="P115" t="s">
        <v>148</v>
      </c>
    </row>
    <row r="116" spans="1:29" customFormat="1">
      <c r="A116" t="s">
        <v>135</v>
      </c>
      <c r="B116" t="s">
        <v>106</v>
      </c>
      <c r="C116" t="s">
        <v>287</v>
      </c>
      <c r="D116" t="s">
        <v>133</v>
      </c>
      <c r="E116" s="241">
        <v>38.79</v>
      </c>
      <c r="G116" t="s">
        <v>173</v>
      </c>
      <c r="H116">
        <v>1</v>
      </c>
      <c r="I116" s="276"/>
      <c r="J116" s="276"/>
      <c r="L116" t="s">
        <v>138</v>
      </c>
      <c r="M116" t="s">
        <v>107</v>
      </c>
      <c r="P116" t="s">
        <v>148</v>
      </c>
    </row>
    <row r="117" spans="1:29" customFormat="1">
      <c r="A117" t="s">
        <v>135</v>
      </c>
      <c r="B117" t="s">
        <v>106</v>
      </c>
      <c r="C117" t="s">
        <v>288</v>
      </c>
      <c r="D117" t="s">
        <v>133</v>
      </c>
      <c r="E117" s="241">
        <v>38.79</v>
      </c>
      <c r="G117" t="s">
        <v>173</v>
      </c>
      <c r="H117">
        <v>1</v>
      </c>
      <c r="I117" s="276"/>
      <c r="J117" s="276"/>
      <c r="L117" t="s">
        <v>138</v>
      </c>
      <c r="M117" t="s">
        <v>107</v>
      </c>
      <c r="P117" t="s">
        <v>148</v>
      </c>
    </row>
    <row r="118" spans="1:29" customFormat="1">
      <c r="A118" t="s">
        <v>135</v>
      </c>
      <c r="B118" t="s">
        <v>106</v>
      </c>
      <c r="C118" t="s">
        <v>289</v>
      </c>
      <c r="D118" t="s">
        <v>133</v>
      </c>
      <c r="E118" s="241">
        <v>31.65</v>
      </c>
      <c r="G118" t="s">
        <v>173</v>
      </c>
      <c r="H118">
        <v>1</v>
      </c>
      <c r="I118" s="276"/>
      <c r="J118" s="276"/>
      <c r="L118" t="s">
        <v>138</v>
      </c>
      <c r="M118" t="s">
        <v>107</v>
      </c>
      <c r="P118" t="s">
        <v>148</v>
      </c>
    </row>
    <row r="119" spans="1:29" customFormat="1">
      <c r="A119" t="s">
        <v>135</v>
      </c>
      <c r="B119" t="s">
        <v>106</v>
      </c>
      <c r="C119" t="s">
        <v>200</v>
      </c>
      <c r="D119" t="s">
        <v>133</v>
      </c>
      <c r="E119" s="241">
        <v>54.56</v>
      </c>
      <c r="G119" t="s">
        <v>173</v>
      </c>
      <c r="H119">
        <v>1</v>
      </c>
      <c r="I119" s="276"/>
      <c r="J119" s="276"/>
      <c r="L119" t="s">
        <v>138</v>
      </c>
      <c r="M119" t="s">
        <v>107</v>
      </c>
      <c r="P119" t="s">
        <v>201</v>
      </c>
    </row>
    <row r="120" spans="1:29">
      <c r="U120" s="240"/>
      <c r="V120" s="243"/>
      <c r="W120" s="244"/>
      <c r="X120" s="245"/>
      <c r="Y120" s="245"/>
      <c r="Z120" s="246"/>
      <c r="AA120" s="245"/>
      <c r="AB120" s="247"/>
      <c r="AC120" s="245"/>
    </row>
    <row r="121" spans="1:29">
      <c r="A121" s="241" t="s">
        <v>105</v>
      </c>
      <c r="B121" s="241" t="s">
        <v>106</v>
      </c>
      <c r="C121" s="241" t="s">
        <v>174</v>
      </c>
      <c r="D121" s="241" t="s">
        <v>108</v>
      </c>
      <c r="E121" s="241">
        <v>38.770000000000003</v>
      </c>
      <c r="G121" s="241" t="s">
        <v>109</v>
      </c>
      <c r="H121" s="241">
        <v>1</v>
      </c>
      <c r="I121" s="242"/>
      <c r="J121" s="242"/>
      <c r="L121" s="241" t="s">
        <v>138</v>
      </c>
      <c r="M121" s="241" t="s">
        <v>107</v>
      </c>
      <c r="P121" s="241" t="s">
        <v>109</v>
      </c>
      <c r="U121" s="240"/>
      <c r="V121" s="243"/>
      <c r="W121" s="244"/>
      <c r="X121" s="245"/>
      <c r="Y121" s="245"/>
      <c r="Z121" s="246"/>
      <c r="AA121" s="245"/>
      <c r="AB121" s="247"/>
      <c r="AC121" s="245"/>
    </row>
    <row r="122" spans="1:29">
      <c r="A122" s="241" t="s">
        <v>105</v>
      </c>
      <c r="B122" s="241" t="s">
        <v>106</v>
      </c>
      <c r="C122" s="241" t="s">
        <v>175</v>
      </c>
      <c r="D122" s="241" t="s">
        <v>108</v>
      </c>
      <c r="E122" s="241">
        <v>69.78</v>
      </c>
      <c r="G122" s="241" t="s">
        <v>109</v>
      </c>
      <c r="H122" s="241">
        <v>1</v>
      </c>
      <c r="L122" s="241" t="s">
        <v>138</v>
      </c>
      <c r="M122" s="241" t="s">
        <v>107</v>
      </c>
      <c r="P122" s="241" t="s">
        <v>109</v>
      </c>
    </row>
    <row r="123" spans="1:29">
      <c r="A123" s="241" t="s">
        <v>105</v>
      </c>
      <c r="B123" s="241" t="s">
        <v>106</v>
      </c>
      <c r="C123" s="241" t="s">
        <v>176</v>
      </c>
      <c r="D123" s="241" t="s">
        <v>108</v>
      </c>
      <c r="E123" s="241">
        <v>21.04</v>
      </c>
      <c r="G123" s="241" t="s">
        <v>109</v>
      </c>
      <c r="H123" s="241">
        <v>1</v>
      </c>
      <c r="L123" s="241" t="s">
        <v>138</v>
      </c>
      <c r="M123" s="241" t="s">
        <v>107</v>
      </c>
      <c r="P123" s="241" t="s">
        <v>109</v>
      </c>
    </row>
    <row r="124" spans="1:29" s="239" customFormat="1">
      <c r="I124" s="248"/>
      <c r="J124" s="248"/>
      <c r="U124" s="249"/>
      <c r="V124" s="250"/>
      <c r="W124" s="251"/>
      <c r="X124" s="252"/>
      <c r="Y124" s="252"/>
      <c r="Z124" s="253"/>
      <c r="AA124" s="252"/>
      <c r="AB124" s="254"/>
      <c r="AC124" s="252"/>
    </row>
    <row r="125" spans="1:29" s="239" customFormat="1">
      <c r="A125" s="239" t="s">
        <v>89</v>
      </c>
      <c r="B125" s="239" t="s">
        <v>90</v>
      </c>
      <c r="C125" s="239" t="s">
        <v>91</v>
      </c>
      <c r="D125" s="239" t="s">
        <v>92</v>
      </c>
      <c r="E125" s="239" t="s">
        <v>93</v>
      </c>
      <c r="F125" s="239" t="s">
        <v>94</v>
      </c>
      <c r="G125" s="239" t="s">
        <v>95</v>
      </c>
      <c r="H125" s="239" t="s">
        <v>96</v>
      </c>
      <c r="I125" s="239" t="s">
        <v>97</v>
      </c>
      <c r="J125" s="239" t="s">
        <v>98</v>
      </c>
      <c r="K125" s="239" t="s">
        <v>99</v>
      </c>
      <c r="L125" s="239" t="s">
        <v>100</v>
      </c>
      <c r="M125" s="239" t="s">
        <v>101</v>
      </c>
      <c r="N125" s="239" t="s">
        <v>102</v>
      </c>
      <c r="O125" s="239" t="s">
        <v>103</v>
      </c>
      <c r="P125" s="239" t="s">
        <v>104</v>
      </c>
      <c r="U125" s="240"/>
      <c r="V125" s="243"/>
      <c r="W125" s="244"/>
      <c r="X125" s="245"/>
      <c r="Y125" s="245"/>
      <c r="Z125" s="246"/>
      <c r="AA125" s="245"/>
      <c r="AB125" s="247"/>
      <c r="AC125" s="245"/>
    </row>
    <row r="126" spans="1:29">
      <c r="A126" s="241" t="s">
        <v>135</v>
      </c>
      <c r="B126" s="241" t="s">
        <v>106</v>
      </c>
      <c r="C126" s="241" t="s">
        <v>136</v>
      </c>
      <c r="D126" s="241" t="s">
        <v>177</v>
      </c>
      <c r="E126" s="255">
        <f>10+15</f>
        <v>25</v>
      </c>
      <c r="G126" s="241" t="s">
        <v>178</v>
      </c>
      <c r="H126" s="241">
        <v>1</v>
      </c>
      <c r="I126" s="242"/>
      <c r="J126" s="242"/>
      <c r="L126" s="241" t="s">
        <v>110</v>
      </c>
      <c r="P126" s="241" t="s">
        <v>140</v>
      </c>
      <c r="R126" s="241" t="s">
        <v>179</v>
      </c>
      <c r="U126" s="240"/>
      <c r="V126" s="243"/>
      <c r="W126" s="244"/>
      <c r="X126" s="245"/>
      <c r="Y126" s="245"/>
      <c r="Z126" s="246"/>
      <c r="AA126" s="245"/>
      <c r="AB126" s="247"/>
      <c r="AC126" s="245"/>
    </row>
    <row r="127" spans="1:29">
      <c r="A127" s="241" t="s">
        <v>135</v>
      </c>
      <c r="B127" s="241" t="s">
        <v>106</v>
      </c>
      <c r="C127" s="241" t="s">
        <v>141</v>
      </c>
      <c r="D127" s="241" t="s">
        <v>177</v>
      </c>
      <c r="E127" s="255">
        <f t="shared" ref="E127:E135" si="0">10+15</f>
        <v>25</v>
      </c>
      <c r="G127" s="241" t="s">
        <v>178</v>
      </c>
      <c r="H127" s="241">
        <v>1</v>
      </c>
      <c r="L127" s="241" t="s">
        <v>110</v>
      </c>
      <c r="P127" s="241" t="s">
        <v>140</v>
      </c>
      <c r="R127" s="241" t="s">
        <v>179</v>
      </c>
      <c r="U127" s="240"/>
      <c r="V127" s="243"/>
      <c r="W127" s="244"/>
      <c r="X127" s="245"/>
      <c r="Y127" s="245"/>
      <c r="Z127" s="246"/>
      <c r="AA127" s="245"/>
      <c r="AB127" s="247"/>
      <c r="AC127" s="245"/>
    </row>
    <row r="128" spans="1:29">
      <c r="A128" s="241" t="s">
        <v>135</v>
      </c>
      <c r="B128" s="241" t="s">
        <v>106</v>
      </c>
      <c r="C128" s="241" t="s">
        <v>142</v>
      </c>
      <c r="D128" s="241" t="s">
        <v>177</v>
      </c>
      <c r="E128" s="255">
        <f t="shared" si="0"/>
        <v>25</v>
      </c>
      <c r="G128" s="241" t="s">
        <v>178</v>
      </c>
      <c r="H128" s="241">
        <v>1</v>
      </c>
      <c r="I128" s="242"/>
      <c r="J128" s="242"/>
      <c r="L128" s="241" t="s">
        <v>110</v>
      </c>
      <c r="P128" s="241" t="s">
        <v>140</v>
      </c>
      <c r="R128" s="241" t="s">
        <v>179</v>
      </c>
      <c r="U128" s="240"/>
      <c r="V128" s="243"/>
      <c r="W128" s="244"/>
      <c r="X128" s="245"/>
      <c r="Y128" s="245"/>
      <c r="Z128" s="246"/>
      <c r="AA128" s="245"/>
      <c r="AB128" s="247"/>
      <c r="AC128" s="245"/>
    </row>
    <row r="129" spans="1:29">
      <c r="A129" s="241" t="s">
        <v>135</v>
      </c>
      <c r="B129" s="241" t="s">
        <v>106</v>
      </c>
      <c r="C129" s="241" t="s">
        <v>143</v>
      </c>
      <c r="D129" s="241" t="s">
        <v>177</v>
      </c>
      <c r="E129" s="255">
        <f t="shared" si="0"/>
        <v>25</v>
      </c>
      <c r="G129" s="241" t="s">
        <v>178</v>
      </c>
      <c r="H129" s="241">
        <v>1</v>
      </c>
      <c r="I129" s="242"/>
      <c r="J129" s="242"/>
      <c r="L129" s="241" t="s">
        <v>110</v>
      </c>
      <c r="P129" s="241" t="s">
        <v>140</v>
      </c>
      <c r="R129" s="241" t="s">
        <v>179</v>
      </c>
      <c r="U129" s="240"/>
      <c r="V129" s="243"/>
      <c r="W129" s="244"/>
      <c r="X129" s="245"/>
      <c r="Y129" s="245"/>
      <c r="Z129" s="246"/>
      <c r="AA129" s="245"/>
      <c r="AB129" s="247"/>
      <c r="AC129" s="245"/>
    </row>
    <row r="130" spans="1:29">
      <c r="A130" s="241" t="s">
        <v>135</v>
      </c>
      <c r="B130" s="241" t="s">
        <v>106</v>
      </c>
      <c r="C130" s="241" t="s">
        <v>144</v>
      </c>
      <c r="D130" s="241" t="s">
        <v>177</v>
      </c>
      <c r="E130" s="255">
        <f t="shared" si="0"/>
        <v>25</v>
      </c>
      <c r="G130" s="241" t="s">
        <v>178</v>
      </c>
      <c r="H130" s="241">
        <v>1</v>
      </c>
      <c r="I130" s="242"/>
      <c r="J130" s="242"/>
      <c r="L130" s="241" t="s">
        <v>110</v>
      </c>
      <c r="P130" s="241" t="s">
        <v>140</v>
      </c>
      <c r="R130" s="241" t="s">
        <v>179</v>
      </c>
      <c r="U130" s="240"/>
      <c r="V130" s="243"/>
      <c r="W130" s="244"/>
      <c r="X130" s="245"/>
      <c r="Y130" s="245"/>
      <c r="Z130" s="246"/>
      <c r="AA130" s="245"/>
      <c r="AB130" s="247"/>
      <c r="AC130" s="245"/>
    </row>
    <row r="131" spans="1:29">
      <c r="A131" s="241" t="s">
        <v>135</v>
      </c>
      <c r="B131" s="241" t="s">
        <v>106</v>
      </c>
      <c r="C131" s="241" t="s">
        <v>188</v>
      </c>
      <c r="D131" s="241" t="s">
        <v>177</v>
      </c>
      <c r="E131" s="255">
        <f t="shared" si="0"/>
        <v>25</v>
      </c>
      <c r="G131" s="241" t="s">
        <v>178</v>
      </c>
      <c r="H131" s="241">
        <v>1</v>
      </c>
      <c r="I131" s="242"/>
      <c r="J131" s="242"/>
      <c r="L131" s="241" t="s">
        <v>110</v>
      </c>
      <c r="P131" s="241" t="s">
        <v>140</v>
      </c>
      <c r="R131" s="241" t="s">
        <v>179</v>
      </c>
      <c r="U131" s="240"/>
      <c r="V131" s="243"/>
      <c r="W131" s="244"/>
      <c r="X131" s="245"/>
      <c r="Y131" s="245"/>
      <c r="Z131" s="246"/>
      <c r="AA131" s="245"/>
      <c r="AB131" s="247"/>
      <c r="AC131" s="245"/>
    </row>
    <row r="132" spans="1:29">
      <c r="A132" s="241" t="s">
        <v>135</v>
      </c>
      <c r="B132" s="241" t="s">
        <v>106</v>
      </c>
      <c r="C132" s="241" t="s">
        <v>145</v>
      </c>
      <c r="D132" s="241" t="s">
        <v>177</v>
      </c>
      <c r="E132" s="255">
        <f t="shared" si="0"/>
        <v>25</v>
      </c>
      <c r="G132" s="241" t="s">
        <v>178</v>
      </c>
      <c r="H132" s="241">
        <v>1</v>
      </c>
      <c r="I132" s="242"/>
      <c r="J132" s="242"/>
      <c r="L132" s="241" t="s">
        <v>110</v>
      </c>
      <c r="P132" s="241" t="s">
        <v>140</v>
      </c>
      <c r="R132" s="241" t="s">
        <v>179</v>
      </c>
      <c r="U132" s="240"/>
      <c r="V132" s="243"/>
      <c r="W132" s="244"/>
      <c r="X132" s="245"/>
      <c r="Y132" s="245"/>
      <c r="Z132" s="246"/>
      <c r="AA132" s="245"/>
      <c r="AB132" s="247"/>
      <c r="AC132" s="245"/>
    </row>
    <row r="133" spans="1:29">
      <c r="A133" s="241" t="s">
        <v>135</v>
      </c>
      <c r="B133" s="241" t="s">
        <v>106</v>
      </c>
      <c r="C133" s="241" t="s">
        <v>245</v>
      </c>
      <c r="D133" s="241" t="s">
        <v>177</v>
      </c>
      <c r="E133" s="255">
        <f t="shared" si="0"/>
        <v>25</v>
      </c>
      <c r="G133" s="241" t="s">
        <v>178</v>
      </c>
      <c r="H133" s="241">
        <v>1</v>
      </c>
      <c r="I133" s="242"/>
      <c r="J133" s="242"/>
      <c r="L133" s="241" t="s">
        <v>110</v>
      </c>
      <c r="P133" s="241" t="s">
        <v>140</v>
      </c>
      <c r="R133" s="241" t="s">
        <v>179</v>
      </c>
      <c r="U133" s="240"/>
      <c r="V133" s="243"/>
      <c r="W133" s="244"/>
      <c r="X133" s="245"/>
      <c r="Y133" s="245"/>
      <c r="Z133" s="246"/>
      <c r="AA133" s="245"/>
      <c r="AB133" s="247"/>
      <c r="AC133" s="245"/>
    </row>
    <row r="134" spans="1:29">
      <c r="A134" s="241" t="s">
        <v>135</v>
      </c>
      <c r="B134" s="241" t="s">
        <v>106</v>
      </c>
      <c r="C134" s="241" t="s">
        <v>252</v>
      </c>
      <c r="D134" s="241" t="s">
        <v>177</v>
      </c>
      <c r="E134" s="255">
        <f t="shared" si="0"/>
        <v>25</v>
      </c>
      <c r="G134" s="241" t="s">
        <v>178</v>
      </c>
      <c r="H134" s="241">
        <v>1</v>
      </c>
      <c r="I134" s="242"/>
      <c r="J134" s="242"/>
      <c r="L134" s="241" t="s">
        <v>110</v>
      </c>
      <c r="P134" s="241" t="s">
        <v>140</v>
      </c>
      <c r="R134" s="241" t="s">
        <v>179</v>
      </c>
      <c r="U134" s="240"/>
      <c r="V134" s="243"/>
      <c r="W134" s="244"/>
      <c r="X134" s="245"/>
      <c r="Y134" s="245"/>
      <c r="Z134" s="246"/>
      <c r="AA134" s="245"/>
      <c r="AB134" s="247"/>
      <c r="AC134" s="245"/>
    </row>
    <row r="135" spans="1:29">
      <c r="A135" s="241" t="s">
        <v>135</v>
      </c>
      <c r="B135" s="241" t="s">
        <v>106</v>
      </c>
      <c r="C135" s="241" t="s">
        <v>253</v>
      </c>
      <c r="D135" s="241" t="s">
        <v>177</v>
      </c>
      <c r="E135" s="255">
        <f t="shared" si="0"/>
        <v>25</v>
      </c>
      <c r="G135" s="241" t="s">
        <v>178</v>
      </c>
      <c r="H135" s="241">
        <v>1</v>
      </c>
      <c r="I135" s="242"/>
      <c r="J135" s="242"/>
      <c r="L135" s="241" t="s">
        <v>110</v>
      </c>
      <c r="P135" s="241" t="s">
        <v>140</v>
      </c>
      <c r="R135" s="241" t="s">
        <v>179</v>
      </c>
      <c r="U135" s="240"/>
      <c r="V135" s="243"/>
      <c r="W135" s="244"/>
      <c r="X135" s="245"/>
      <c r="Y135" s="245"/>
      <c r="Z135" s="246"/>
      <c r="AA135" s="245"/>
      <c r="AB135" s="247"/>
      <c r="AC135" s="245"/>
    </row>
    <row r="136" spans="1:29">
      <c r="A136" s="241" t="s">
        <v>135</v>
      </c>
      <c r="B136" s="241" t="s">
        <v>106</v>
      </c>
      <c r="C136" s="241" t="s">
        <v>146</v>
      </c>
      <c r="D136" s="241" t="s">
        <v>177</v>
      </c>
      <c r="E136" s="256">
        <f t="shared" ref="E136:E142" si="1">10+20</f>
        <v>30</v>
      </c>
      <c r="G136" s="241" t="s">
        <v>178</v>
      </c>
      <c r="H136" s="241">
        <v>1</v>
      </c>
      <c r="I136" s="242"/>
      <c r="J136" s="242"/>
      <c r="L136" s="241" t="s">
        <v>110</v>
      </c>
      <c r="P136" s="241" t="s">
        <v>148</v>
      </c>
      <c r="R136" s="241" t="s">
        <v>179</v>
      </c>
      <c r="U136" s="240"/>
      <c r="V136" s="243"/>
      <c r="W136" s="244"/>
      <c r="X136" s="245"/>
      <c r="Y136" s="245"/>
      <c r="Z136" s="246"/>
      <c r="AA136" s="245"/>
      <c r="AB136" s="247"/>
      <c r="AC136" s="245"/>
    </row>
    <row r="137" spans="1:29">
      <c r="A137" s="241" t="s">
        <v>135</v>
      </c>
      <c r="B137" s="241" t="s">
        <v>106</v>
      </c>
      <c r="C137" s="241" t="s">
        <v>149</v>
      </c>
      <c r="D137" s="241" t="s">
        <v>177</v>
      </c>
      <c r="E137" s="256">
        <f t="shared" si="1"/>
        <v>30</v>
      </c>
      <c r="G137" s="241" t="s">
        <v>178</v>
      </c>
      <c r="H137" s="241">
        <v>1</v>
      </c>
      <c r="I137" s="242"/>
      <c r="J137" s="242"/>
      <c r="L137" s="241" t="s">
        <v>110</v>
      </c>
      <c r="P137" s="241" t="s">
        <v>148</v>
      </c>
      <c r="R137" s="241" t="s">
        <v>179</v>
      </c>
      <c r="U137" s="240"/>
      <c r="V137" s="243"/>
      <c r="W137" s="244"/>
      <c r="X137" s="245"/>
      <c r="Y137" s="245"/>
      <c r="Z137" s="246"/>
      <c r="AA137" s="245"/>
      <c r="AB137" s="247"/>
      <c r="AC137" s="245"/>
    </row>
    <row r="138" spans="1:29">
      <c r="A138" s="241" t="s">
        <v>135</v>
      </c>
      <c r="B138" s="241" t="s">
        <v>106</v>
      </c>
      <c r="C138" s="241" t="s">
        <v>150</v>
      </c>
      <c r="D138" s="241" t="s">
        <v>177</v>
      </c>
      <c r="E138" s="256">
        <f t="shared" si="1"/>
        <v>30</v>
      </c>
      <c r="G138" s="241" t="s">
        <v>178</v>
      </c>
      <c r="H138" s="241">
        <v>1</v>
      </c>
      <c r="I138" s="242"/>
      <c r="J138" s="242"/>
      <c r="L138" s="241" t="s">
        <v>110</v>
      </c>
      <c r="P138" s="241" t="s">
        <v>148</v>
      </c>
      <c r="R138" s="241" t="s">
        <v>179</v>
      </c>
      <c r="U138" s="240"/>
      <c r="V138" s="243"/>
      <c r="W138" s="244"/>
      <c r="X138" s="245"/>
      <c r="Y138" s="245"/>
      <c r="Z138" s="246"/>
      <c r="AA138" s="245"/>
      <c r="AB138" s="247"/>
      <c r="AC138" s="245"/>
    </row>
    <row r="139" spans="1:29">
      <c r="A139" s="241" t="s">
        <v>135</v>
      </c>
      <c r="B139" s="241" t="s">
        <v>106</v>
      </c>
      <c r="C139" s="241" t="s">
        <v>151</v>
      </c>
      <c r="D139" s="241" t="s">
        <v>177</v>
      </c>
      <c r="E139" s="256">
        <f t="shared" si="1"/>
        <v>30</v>
      </c>
      <c r="G139" s="241" t="s">
        <v>178</v>
      </c>
      <c r="H139" s="241">
        <v>1</v>
      </c>
      <c r="I139" s="242"/>
      <c r="J139" s="242"/>
      <c r="L139" s="241" t="s">
        <v>110</v>
      </c>
      <c r="P139" s="241" t="s">
        <v>148</v>
      </c>
      <c r="R139" s="241" t="s">
        <v>179</v>
      </c>
      <c r="U139" s="240"/>
      <c r="V139" s="243"/>
      <c r="W139" s="244"/>
      <c r="X139" s="245"/>
      <c r="Y139" s="245"/>
      <c r="Z139" s="246"/>
      <c r="AA139" s="245"/>
      <c r="AB139" s="247"/>
      <c r="AC139" s="245"/>
    </row>
    <row r="140" spans="1:29">
      <c r="A140" s="241" t="s">
        <v>135</v>
      </c>
      <c r="B140" s="241" t="s">
        <v>106</v>
      </c>
      <c r="C140" s="241" t="s">
        <v>153</v>
      </c>
      <c r="D140" s="241" t="s">
        <v>177</v>
      </c>
      <c r="E140" s="256">
        <f t="shared" si="1"/>
        <v>30</v>
      </c>
      <c r="G140" s="241" t="s">
        <v>178</v>
      </c>
      <c r="H140" s="241">
        <v>1</v>
      </c>
      <c r="I140" s="242"/>
      <c r="J140" s="242"/>
      <c r="L140" s="241" t="s">
        <v>110</v>
      </c>
      <c r="P140" s="241" t="s">
        <v>148</v>
      </c>
      <c r="R140" s="241" t="s">
        <v>179</v>
      </c>
      <c r="U140" s="240"/>
      <c r="V140" s="243"/>
      <c r="W140" s="244"/>
      <c r="X140" s="245"/>
      <c r="Y140" s="245"/>
      <c r="Z140" s="246"/>
      <c r="AA140" s="245"/>
      <c r="AB140" s="247"/>
      <c r="AC140" s="245"/>
    </row>
    <row r="141" spans="1:29">
      <c r="A141" s="241" t="s">
        <v>135</v>
      </c>
      <c r="B141" s="241" t="s">
        <v>106</v>
      </c>
      <c r="C141" s="241" t="s">
        <v>154</v>
      </c>
      <c r="D141" s="241" t="s">
        <v>177</v>
      </c>
      <c r="E141" s="256">
        <f t="shared" si="1"/>
        <v>30</v>
      </c>
      <c r="G141" s="241" t="s">
        <v>178</v>
      </c>
      <c r="H141" s="241">
        <v>1</v>
      </c>
      <c r="I141" s="242"/>
      <c r="J141" s="242"/>
      <c r="L141" s="241" t="s">
        <v>110</v>
      </c>
      <c r="P141" s="241" t="s">
        <v>148</v>
      </c>
      <c r="R141" s="241" t="s">
        <v>179</v>
      </c>
      <c r="U141" s="240"/>
      <c r="V141" s="243"/>
      <c r="W141" s="244"/>
      <c r="X141" s="245"/>
      <c r="Y141" s="245"/>
      <c r="Z141" s="246"/>
      <c r="AA141" s="245"/>
      <c r="AB141" s="247"/>
      <c r="AC141" s="245"/>
    </row>
    <row r="142" spans="1:29">
      <c r="A142" s="241" t="s">
        <v>135</v>
      </c>
      <c r="B142" s="241" t="s">
        <v>106</v>
      </c>
      <c r="C142" s="241" t="s">
        <v>275</v>
      </c>
      <c r="D142" s="241" t="s">
        <v>177</v>
      </c>
      <c r="E142" s="256">
        <f t="shared" si="1"/>
        <v>30</v>
      </c>
      <c r="G142" s="241" t="s">
        <v>178</v>
      </c>
      <c r="H142" s="241">
        <v>1</v>
      </c>
      <c r="I142" s="242"/>
      <c r="J142" s="242"/>
      <c r="L142" s="241" t="s">
        <v>110</v>
      </c>
      <c r="P142" s="241" t="s">
        <v>148</v>
      </c>
      <c r="R142" s="241" t="s">
        <v>179</v>
      </c>
      <c r="U142" s="240"/>
      <c r="V142" s="243"/>
      <c r="W142" s="244"/>
      <c r="X142" s="245"/>
      <c r="Y142" s="245"/>
      <c r="Z142" s="246"/>
      <c r="AA142" s="245"/>
      <c r="AB142" s="247"/>
      <c r="AC142" s="245"/>
    </row>
    <row r="143" spans="1:29">
      <c r="A143" s="241" t="s">
        <v>155</v>
      </c>
      <c r="B143" s="241" t="s">
        <v>106</v>
      </c>
      <c r="C143" s="241" t="s">
        <v>159</v>
      </c>
      <c r="D143" s="241" t="s">
        <v>177</v>
      </c>
      <c r="E143" s="241">
        <v>20</v>
      </c>
      <c r="G143" s="241" t="s">
        <v>178</v>
      </c>
      <c r="H143" s="241">
        <v>1</v>
      </c>
      <c r="I143" s="242"/>
      <c r="J143" s="242"/>
      <c r="L143" s="241" t="s">
        <v>110</v>
      </c>
      <c r="P143" s="241" t="s">
        <v>158</v>
      </c>
      <c r="U143" s="240"/>
      <c r="V143" s="243"/>
      <c r="W143" s="244"/>
      <c r="X143" s="245"/>
      <c r="Y143" s="245"/>
      <c r="Z143" s="246"/>
      <c r="AA143" s="245"/>
      <c r="AB143" s="247"/>
      <c r="AC143" s="245"/>
    </row>
    <row r="144" spans="1:29">
      <c r="A144" s="241" t="s">
        <v>155</v>
      </c>
      <c r="B144" s="241" t="s">
        <v>106</v>
      </c>
      <c r="C144" s="241" t="s">
        <v>160</v>
      </c>
      <c r="D144" s="241" t="s">
        <v>177</v>
      </c>
      <c r="E144" s="241">
        <v>20</v>
      </c>
      <c r="G144" s="241" t="s">
        <v>178</v>
      </c>
      <c r="H144" s="241">
        <v>1</v>
      </c>
      <c r="I144" s="242"/>
      <c r="J144" s="242"/>
      <c r="L144" s="241" t="s">
        <v>110</v>
      </c>
      <c r="P144" s="241" t="s">
        <v>158</v>
      </c>
      <c r="U144" s="240"/>
      <c r="V144" s="243"/>
      <c r="W144" s="244"/>
      <c r="X144" s="245"/>
      <c r="Y144" s="245"/>
      <c r="Z144" s="246"/>
      <c r="AA144" s="245"/>
      <c r="AB144" s="247"/>
      <c r="AC144" s="245"/>
    </row>
    <row r="145" spans="1:29">
      <c r="A145" s="241" t="s">
        <v>155</v>
      </c>
      <c r="B145" s="241" t="s">
        <v>106</v>
      </c>
      <c r="C145" s="241" t="s">
        <v>161</v>
      </c>
      <c r="D145" s="241" t="s">
        <v>177</v>
      </c>
      <c r="E145" s="241">
        <v>20</v>
      </c>
      <c r="G145" s="241" t="s">
        <v>178</v>
      </c>
      <c r="H145" s="241">
        <v>1</v>
      </c>
      <c r="I145" s="242"/>
      <c r="J145" s="242"/>
      <c r="L145" s="241" t="s">
        <v>110</v>
      </c>
      <c r="P145" s="241" t="s">
        <v>158</v>
      </c>
      <c r="U145" s="240"/>
      <c r="V145" s="243"/>
      <c r="W145" s="244"/>
      <c r="X145" s="245"/>
      <c r="Y145" s="245"/>
      <c r="Z145" s="246"/>
      <c r="AA145" s="245"/>
      <c r="AB145" s="247"/>
      <c r="AC145" s="245"/>
    </row>
    <row r="146" spans="1:29">
      <c r="A146" s="241" t="s">
        <v>155</v>
      </c>
      <c r="B146" s="241" t="s">
        <v>106</v>
      </c>
      <c r="C146" s="241" t="s">
        <v>162</v>
      </c>
      <c r="D146" s="241" t="s">
        <v>177</v>
      </c>
      <c r="E146" s="241">
        <v>20</v>
      </c>
      <c r="G146" s="241" t="s">
        <v>178</v>
      </c>
      <c r="H146" s="241">
        <v>1</v>
      </c>
      <c r="I146" s="242"/>
      <c r="J146" s="242"/>
      <c r="L146" s="241" t="s">
        <v>110</v>
      </c>
      <c r="P146" s="241" t="s">
        <v>158</v>
      </c>
      <c r="U146" s="240"/>
      <c r="V146" s="243"/>
      <c r="W146" s="244"/>
      <c r="X146" s="245"/>
      <c r="Y146" s="245"/>
      <c r="Z146" s="246"/>
      <c r="AA146" s="245"/>
      <c r="AB146" s="247"/>
      <c r="AC146" s="245"/>
    </row>
    <row r="147" spans="1:29">
      <c r="A147" s="241" t="s">
        <v>155</v>
      </c>
      <c r="B147" s="241" t="s">
        <v>106</v>
      </c>
      <c r="C147" s="241" t="s">
        <v>163</v>
      </c>
      <c r="D147" s="241" t="s">
        <v>177</v>
      </c>
      <c r="E147" s="241">
        <v>20</v>
      </c>
      <c r="G147" s="241" t="s">
        <v>178</v>
      </c>
      <c r="H147" s="241">
        <v>1</v>
      </c>
      <c r="I147" s="242"/>
      <c r="J147" s="242"/>
      <c r="L147" s="241" t="s">
        <v>110</v>
      </c>
      <c r="P147" s="241" t="s">
        <v>158</v>
      </c>
      <c r="U147" s="240"/>
      <c r="V147" s="243"/>
      <c r="W147" s="244"/>
      <c r="X147" s="245"/>
      <c r="Y147" s="245"/>
      <c r="Z147" s="246"/>
      <c r="AA147" s="245"/>
      <c r="AB147" s="247"/>
      <c r="AC147" s="245"/>
    </row>
    <row r="148" spans="1:29">
      <c r="A148" s="241" t="s">
        <v>155</v>
      </c>
      <c r="B148" s="241" t="s">
        <v>106</v>
      </c>
      <c r="C148" s="241" t="s">
        <v>164</v>
      </c>
      <c r="D148" s="241" t="s">
        <v>177</v>
      </c>
      <c r="E148" s="241">
        <v>20</v>
      </c>
      <c r="G148" s="241" t="s">
        <v>178</v>
      </c>
      <c r="H148" s="241">
        <v>1</v>
      </c>
      <c r="I148" s="242"/>
      <c r="J148" s="242"/>
      <c r="L148" s="241" t="s">
        <v>110</v>
      </c>
      <c r="P148" s="241" t="s">
        <v>158</v>
      </c>
      <c r="U148" s="240"/>
      <c r="V148" s="243"/>
      <c r="W148" s="244"/>
      <c r="X148" s="245"/>
      <c r="Y148" s="245"/>
      <c r="Z148" s="246"/>
      <c r="AA148" s="245"/>
      <c r="AB148" s="247"/>
      <c r="AC148" s="245"/>
    </row>
    <row r="149" spans="1:29">
      <c r="A149" s="241" t="s">
        <v>155</v>
      </c>
      <c r="B149" s="241" t="s">
        <v>106</v>
      </c>
      <c r="C149" s="241" t="s">
        <v>156</v>
      </c>
      <c r="D149" s="241" t="s">
        <v>177</v>
      </c>
      <c r="E149" s="241">
        <v>20</v>
      </c>
      <c r="G149" s="241" t="s">
        <v>178</v>
      </c>
      <c r="H149" s="241">
        <v>1</v>
      </c>
      <c r="I149" s="242"/>
      <c r="J149" s="242"/>
      <c r="L149" s="241" t="s">
        <v>110</v>
      </c>
      <c r="P149" s="241" t="s">
        <v>158</v>
      </c>
      <c r="U149" s="240"/>
      <c r="V149" s="243"/>
      <c r="W149" s="244"/>
      <c r="X149" s="245"/>
      <c r="Y149" s="245"/>
      <c r="Z149" s="246"/>
      <c r="AA149" s="245"/>
      <c r="AB149" s="247"/>
      <c r="AC149" s="245"/>
    </row>
    <row r="150" spans="1:29">
      <c r="A150" s="241" t="s">
        <v>155</v>
      </c>
      <c r="B150" s="241" t="s">
        <v>106</v>
      </c>
      <c r="C150" s="241" t="s">
        <v>165</v>
      </c>
      <c r="D150" s="241" t="s">
        <v>177</v>
      </c>
      <c r="E150" s="241">
        <v>20</v>
      </c>
      <c r="G150" s="241" t="s">
        <v>178</v>
      </c>
      <c r="H150" s="241">
        <v>1</v>
      </c>
      <c r="I150" s="242"/>
      <c r="J150" s="242"/>
      <c r="L150" s="241" t="s">
        <v>110</v>
      </c>
      <c r="P150" s="241" t="s">
        <v>158</v>
      </c>
      <c r="U150" s="240"/>
      <c r="V150" s="243"/>
      <c r="W150" s="244"/>
      <c r="X150" s="245"/>
      <c r="Y150" s="245"/>
      <c r="Z150" s="246"/>
      <c r="AA150" s="245"/>
      <c r="AB150" s="247"/>
      <c r="AC150" s="245"/>
    </row>
    <row r="151" spans="1:29">
      <c r="A151" s="241" t="s">
        <v>155</v>
      </c>
      <c r="B151" s="241" t="s">
        <v>106</v>
      </c>
      <c r="C151" s="241" t="s">
        <v>166</v>
      </c>
      <c r="D151" s="241" t="s">
        <v>177</v>
      </c>
      <c r="E151" s="241">
        <v>20</v>
      </c>
      <c r="G151" s="241" t="s">
        <v>178</v>
      </c>
      <c r="H151" s="241">
        <v>1</v>
      </c>
      <c r="I151" s="242"/>
      <c r="J151" s="242"/>
      <c r="L151" s="241" t="s">
        <v>110</v>
      </c>
      <c r="P151" s="241" t="s">
        <v>158</v>
      </c>
      <c r="U151" s="240"/>
      <c r="V151" s="243"/>
      <c r="W151" s="244"/>
      <c r="X151" s="245"/>
      <c r="Y151" s="245"/>
      <c r="Z151" s="246"/>
      <c r="AA151" s="245"/>
      <c r="AB151" s="247"/>
      <c r="AC151" s="245"/>
    </row>
    <row r="152" spans="1:29">
      <c r="A152" s="241" t="s">
        <v>155</v>
      </c>
      <c r="B152" s="241" t="s">
        <v>106</v>
      </c>
      <c r="C152" s="241" t="s">
        <v>167</v>
      </c>
      <c r="D152" s="241" t="s">
        <v>177</v>
      </c>
      <c r="E152" s="241">
        <v>20</v>
      </c>
      <c r="G152" s="241" t="s">
        <v>178</v>
      </c>
      <c r="H152" s="241">
        <v>1</v>
      </c>
      <c r="I152" s="242"/>
      <c r="J152" s="242"/>
      <c r="L152" s="241" t="s">
        <v>110</v>
      </c>
      <c r="P152" s="241" t="s">
        <v>158</v>
      </c>
      <c r="U152" s="240"/>
      <c r="V152" s="243"/>
      <c r="W152" s="244"/>
      <c r="X152" s="245"/>
      <c r="Y152" s="245"/>
      <c r="Z152" s="246"/>
      <c r="AA152" s="245"/>
      <c r="AB152" s="247"/>
      <c r="AC152" s="245"/>
    </row>
    <row r="153" spans="1:29">
      <c r="A153" s="241" t="s">
        <v>155</v>
      </c>
      <c r="B153" s="241" t="s">
        <v>106</v>
      </c>
      <c r="C153" s="241" t="s">
        <v>168</v>
      </c>
      <c r="D153" s="241" t="s">
        <v>177</v>
      </c>
      <c r="E153" s="241">
        <v>20</v>
      </c>
      <c r="G153" s="241" t="s">
        <v>178</v>
      </c>
      <c r="H153" s="241">
        <v>1</v>
      </c>
      <c r="I153" s="242"/>
      <c r="J153" s="242"/>
      <c r="L153" s="241" t="s">
        <v>110</v>
      </c>
      <c r="P153" s="241" t="s">
        <v>158</v>
      </c>
      <c r="U153" s="240"/>
      <c r="V153" s="243"/>
      <c r="W153" s="244"/>
      <c r="X153" s="245"/>
      <c r="Y153" s="245"/>
      <c r="Z153" s="246"/>
      <c r="AA153" s="245"/>
      <c r="AB153" s="247"/>
      <c r="AC153" s="245"/>
    </row>
    <row r="154" spans="1:29">
      <c r="A154" s="241" t="s">
        <v>155</v>
      </c>
      <c r="B154" s="241" t="s">
        <v>106</v>
      </c>
      <c r="C154" s="241" t="s">
        <v>169</v>
      </c>
      <c r="D154" s="241" t="s">
        <v>177</v>
      </c>
      <c r="E154" s="241">
        <v>20</v>
      </c>
      <c r="G154" s="241" t="s">
        <v>178</v>
      </c>
      <c r="H154" s="241">
        <v>1</v>
      </c>
      <c r="I154" s="242"/>
      <c r="J154" s="242"/>
      <c r="L154" s="241" t="s">
        <v>110</v>
      </c>
      <c r="P154" s="241" t="s">
        <v>158</v>
      </c>
      <c r="U154" s="240"/>
      <c r="V154" s="243"/>
      <c r="W154" s="244"/>
      <c r="X154" s="245"/>
      <c r="Y154" s="245"/>
      <c r="Z154" s="246"/>
      <c r="AA154" s="245"/>
      <c r="AB154" s="247"/>
      <c r="AC154" s="245"/>
    </row>
    <row r="155" spans="1:29">
      <c r="A155" s="241" t="s">
        <v>155</v>
      </c>
      <c r="B155" s="241" t="s">
        <v>106</v>
      </c>
      <c r="C155" s="241" t="s">
        <v>170</v>
      </c>
      <c r="D155" s="241" t="s">
        <v>177</v>
      </c>
      <c r="E155" s="241">
        <v>20</v>
      </c>
      <c r="G155" s="241" t="s">
        <v>178</v>
      </c>
      <c r="H155" s="241">
        <v>1</v>
      </c>
      <c r="L155" s="241" t="s">
        <v>110</v>
      </c>
      <c r="P155" s="241" t="s">
        <v>171</v>
      </c>
      <c r="U155" s="240"/>
      <c r="V155" s="243"/>
      <c r="W155" s="244"/>
      <c r="X155" s="245"/>
      <c r="Y155" s="245"/>
      <c r="Z155" s="246"/>
      <c r="AA155" s="245"/>
      <c r="AB155" s="247"/>
      <c r="AC155" s="245"/>
    </row>
    <row r="156" spans="1:29">
      <c r="A156" s="241" t="s">
        <v>155</v>
      </c>
      <c r="B156" s="241" t="s">
        <v>106</v>
      </c>
      <c r="C156" s="241" t="s">
        <v>172</v>
      </c>
      <c r="D156" s="241" t="s">
        <v>177</v>
      </c>
      <c r="E156" s="241">
        <v>20</v>
      </c>
      <c r="G156" s="241" t="s">
        <v>178</v>
      </c>
      <c r="H156" s="241">
        <v>1</v>
      </c>
      <c r="L156" s="241" t="s">
        <v>110</v>
      </c>
      <c r="P156" s="241" t="s">
        <v>171</v>
      </c>
      <c r="U156" s="240"/>
      <c r="V156" s="243"/>
      <c r="W156" s="244"/>
      <c r="X156" s="245"/>
      <c r="Y156" s="245"/>
      <c r="Z156" s="246"/>
      <c r="AA156" s="245"/>
      <c r="AB156" s="247"/>
      <c r="AC156" s="245"/>
    </row>
    <row r="157" spans="1:29" customFormat="1" ht="12.75">
      <c r="A157" t="s">
        <v>135</v>
      </c>
      <c r="B157" t="s">
        <v>106</v>
      </c>
      <c r="C157" t="s">
        <v>200</v>
      </c>
      <c r="D157" t="s">
        <v>177</v>
      </c>
      <c r="E157">
        <v>40</v>
      </c>
      <c r="G157" t="s">
        <v>178</v>
      </c>
      <c r="H157">
        <v>1</v>
      </c>
      <c r="I157" s="276"/>
      <c r="J157" s="276"/>
      <c r="L157" t="s">
        <v>110</v>
      </c>
      <c r="O157" t="s">
        <v>228</v>
      </c>
      <c r="P157" t="s">
        <v>201</v>
      </c>
      <c r="Q157" t="b">
        <v>0</v>
      </c>
    </row>
    <row r="158" spans="1:29">
      <c r="U158" s="240"/>
      <c r="V158" s="243"/>
      <c r="W158" s="244"/>
      <c r="X158" s="245"/>
      <c r="Y158" s="245"/>
      <c r="Z158" s="246"/>
      <c r="AA158" s="245"/>
      <c r="AB158" s="247"/>
      <c r="AC158" s="245"/>
    </row>
    <row r="159" spans="1:29">
      <c r="A159" s="239" t="s">
        <v>89</v>
      </c>
      <c r="B159" s="239" t="s">
        <v>90</v>
      </c>
      <c r="C159" s="239" t="s">
        <v>91</v>
      </c>
      <c r="D159" s="239" t="s">
        <v>92</v>
      </c>
      <c r="E159" s="239" t="s">
        <v>93</v>
      </c>
      <c r="F159" s="239" t="s">
        <v>94</v>
      </c>
      <c r="G159" s="239" t="s">
        <v>95</v>
      </c>
      <c r="H159" s="239" t="s">
        <v>96</v>
      </c>
      <c r="I159" s="239" t="s">
        <v>97</v>
      </c>
      <c r="J159" s="239" t="s">
        <v>98</v>
      </c>
      <c r="K159" s="239" t="s">
        <v>99</v>
      </c>
      <c r="L159" s="239" t="s">
        <v>100</v>
      </c>
      <c r="M159" s="239" t="s">
        <v>101</v>
      </c>
      <c r="N159" s="239" t="s">
        <v>102</v>
      </c>
      <c r="O159" s="239" t="s">
        <v>103</v>
      </c>
      <c r="P159" s="239" t="s">
        <v>104</v>
      </c>
      <c r="U159" s="240"/>
      <c r="V159" s="243"/>
      <c r="W159" s="244"/>
      <c r="X159" s="245"/>
      <c r="Y159" s="245"/>
      <c r="Z159" s="246"/>
      <c r="AA159" s="245"/>
      <c r="AB159" s="247"/>
      <c r="AC159" s="245"/>
    </row>
    <row r="160" spans="1:29">
      <c r="A160" s="241" t="s">
        <v>135</v>
      </c>
      <c r="B160" s="241" t="s">
        <v>106</v>
      </c>
      <c r="C160" s="241" t="s">
        <v>136</v>
      </c>
      <c r="D160" s="241" t="s">
        <v>116</v>
      </c>
      <c r="E160" s="241">
        <v>8.5890000000000004</v>
      </c>
      <c r="G160" s="241" t="s">
        <v>180</v>
      </c>
      <c r="H160" s="241">
        <v>1</v>
      </c>
      <c r="L160" s="241" t="s">
        <v>110</v>
      </c>
      <c r="P160" s="241" t="s">
        <v>140</v>
      </c>
      <c r="U160" s="240"/>
      <c r="V160" s="243"/>
      <c r="W160" s="244"/>
      <c r="X160" s="245"/>
      <c r="Y160" s="245"/>
      <c r="Z160" s="246"/>
      <c r="AA160" s="245"/>
      <c r="AB160" s="247"/>
      <c r="AC160" s="245"/>
    </row>
    <row r="161" spans="1:29">
      <c r="A161" s="241" t="s">
        <v>135</v>
      </c>
      <c r="B161" s="241" t="s">
        <v>106</v>
      </c>
      <c r="C161" s="241" t="s">
        <v>141</v>
      </c>
      <c r="D161" s="241" t="s">
        <v>116</v>
      </c>
      <c r="E161" s="241">
        <v>8.5890000000000004</v>
      </c>
      <c r="G161" s="241" t="s">
        <v>180</v>
      </c>
      <c r="H161" s="241">
        <v>1</v>
      </c>
      <c r="L161" s="241" t="s">
        <v>110</v>
      </c>
      <c r="P161" s="241" t="s">
        <v>140</v>
      </c>
      <c r="U161" s="240"/>
      <c r="V161" s="243"/>
      <c r="W161" s="244"/>
      <c r="X161" s="245"/>
      <c r="Y161" s="245"/>
      <c r="Z161" s="246"/>
      <c r="AA161" s="245"/>
      <c r="AB161" s="247"/>
      <c r="AC161" s="245"/>
    </row>
    <row r="162" spans="1:29">
      <c r="A162" s="241" t="s">
        <v>135</v>
      </c>
      <c r="B162" s="241" t="s">
        <v>106</v>
      </c>
      <c r="C162" s="241" t="s">
        <v>142</v>
      </c>
      <c r="D162" s="241" t="s">
        <v>116</v>
      </c>
      <c r="E162" s="241">
        <v>8.5890000000000004</v>
      </c>
      <c r="G162" s="241" t="s">
        <v>180</v>
      </c>
      <c r="H162" s="241">
        <v>1</v>
      </c>
      <c r="L162" s="241" t="s">
        <v>110</v>
      </c>
      <c r="P162" s="241" t="s">
        <v>140</v>
      </c>
      <c r="U162" s="240"/>
      <c r="V162" s="243"/>
      <c r="W162" s="244"/>
      <c r="X162" s="245"/>
      <c r="Y162" s="245"/>
      <c r="Z162" s="246"/>
      <c r="AA162" s="245"/>
      <c r="AB162" s="247"/>
      <c r="AC162" s="245"/>
    </row>
    <row r="163" spans="1:29">
      <c r="A163" s="241" t="s">
        <v>135</v>
      </c>
      <c r="B163" s="241" t="s">
        <v>106</v>
      </c>
      <c r="C163" s="241" t="s">
        <v>143</v>
      </c>
      <c r="D163" s="241" t="s">
        <v>116</v>
      </c>
      <c r="E163" s="241">
        <v>8.5890000000000004</v>
      </c>
      <c r="G163" s="241" t="s">
        <v>180</v>
      </c>
      <c r="H163" s="241">
        <v>1</v>
      </c>
      <c r="L163" s="241" t="s">
        <v>110</v>
      </c>
      <c r="P163" s="241" t="s">
        <v>140</v>
      </c>
      <c r="U163" s="240"/>
      <c r="V163" s="243"/>
      <c r="W163" s="244"/>
      <c r="X163" s="245"/>
      <c r="Y163" s="245"/>
      <c r="Z163" s="246"/>
      <c r="AA163" s="245"/>
      <c r="AB163" s="247"/>
      <c r="AC163" s="245"/>
    </row>
    <row r="164" spans="1:29">
      <c r="A164" s="241" t="s">
        <v>135</v>
      </c>
      <c r="B164" s="241" t="s">
        <v>106</v>
      </c>
      <c r="C164" s="241" t="s">
        <v>144</v>
      </c>
      <c r="D164" s="241" t="s">
        <v>116</v>
      </c>
      <c r="E164" s="241">
        <v>8.5890000000000004</v>
      </c>
      <c r="G164" s="241" t="s">
        <v>180</v>
      </c>
      <c r="H164" s="241">
        <v>1</v>
      </c>
      <c r="L164" s="241" t="s">
        <v>110</v>
      </c>
      <c r="P164" s="241" t="s">
        <v>140</v>
      </c>
      <c r="U164" s="240"/>
      <c r="V164" s="243"/>
      <c r="W164" s="244"/>
      <c r="X164" s="245"/>
      <c r="Y164" s="245"/>
      <c r="Z164" s="246"/>
      <c r="AA164" s="245"/>
      <c r="AB164" s="247"/>
      <c r="AC164" s="245"/>
    </row>
    <row r="165" spans="1:29">
      <c r="A165" s="241" t="s">
        <v>135</v>
      </c>
      <c r="B165" s="241" t="s">
        <v>106</v>
      </c>
      <c r="C165" s="241" t="s">
        <v>188</v>
      </c>
      <c r="D165" s="241" t="s">
        <v>116</v>
      </c>
      <c r="E165" s="241">
        <v>8.5890000000000004</v>
      </c>
      <c r="G165" s="241" t="s">
        <v>180</v>
      </c>
      <c r="H165" s="241">
        <v>1</v>
      </c>
      <c r="L165" s="241" t="s">
        <v>110</v>
      </c>
      <c r="P165" s="241" t="s">
        <v>140</v>
      </c>
      <c r="U165" s="240"/>
      <c r="V165" s="243"/>
      <c r="W165" s="244"/>
      <c r="X165" s="245"/>
      <c r="Y165" s="245"/>
      <c r="Z165" s="246"/>
      <c r="AA165" s="245"/>
      <c r="AB165" s="247"/>
      <c r="AC165" s="245"/>
    </row>
    <row r="166" spans="1:29">
      <c r="A166" s="241" t="s">
        <v>135</v>
      </c>
      <c r="B166" s="241" t="s">
        <v>106</v>
      </c>
      <c r="C166" s="241" t="s">
        <v>145</v>
      </c>
      <c r="D166" s="241" t="s">
        <v>116</v>
      </c>
      <c r="E166" s="241">
        <v>8.5890000000000004</v>
      </c>
      <c r="G166" s="241" t="s">
        <v>180</v>
      </c>
      <c r="H166" s="241">
        <v>1</v>
      </c>
      <c r="L166" s="241" t="s">
        <v>110</v>
      </c>
      <c r="P166" s="241" t="s">
        <v>140</v>
      </c>
      <c r="U166" s="240"/>
      <c r="V166" s="243"/>
      <c r="W166" s="244"/>
      <c r="X166" s="245"/>
      <c r="Y166" s="245"/>
      <c r="Z166" s="246"/>
      <c r="AA166" s="245"/>
      <c r="AB166" s="247"/>
      <c r="AC166" s="245"/>
    </row>
    <row r="167" spans="1:29">
      <c r="A167" s="241" t="s">
        <v>135</v>
      </c>
      <c r="B167" s="241" t="s">
        <v>106</v>
      </c>
      <c r="C167" s="241" t="s">
        <v>146</v>
      </c>
      <c r="D167" s="241" t="s">
        <v>116</v>
      </c>
      <c r="E167" s="241">
        <v>8.15</v>
      </c>
      <c r="G167" s="241" t="s">
        <v>180</v>
      </c>
      <c r="H167" s="241">
        <v>1</v>
      </c>
      <c r="L167" s="241" t="s">
        <v>110</v>
      </c>
      <c r="P167" s="241" t="s">
        <v>148</v>
      </c>
      <c r="U167" s="240"/>
      <c r="V167" s="243"/>
      <c r="W167" s="244"/>
      <c r="X167" s="245"/>
      <c r="Y167" s="245"/>
      <c r="Z167" s="246"/>
      <c r="AA167" s="245"/>
      <c r="AB167" s="247"/>
      <c r="AC167" s="245"/>
    </row>
    <row r="168" spans="1:29">
      <c r="A168" s="241" t="s">
        <v>135</v>
      </c>
      <c r="B168" s="241" t="s">
        <v>106</v>
      </c>
      <c r="C168" s="241" t="s">
        <v>149</v>
      </c>
      <c r="D168" s="241" t="s">
        <v>116</v>
      </c>
      <c r="E168" s="241">
        <v>8.15</v>
      </c>
      <c r="G168" s="241" t="s">
        <v>180</v>
      </c>
      <c r="H168" s="241">
        <v>1</v>
      </c>
      <c r="L168" s="241" t="s">
        <v>110</v>
      </c>
      <c r="P168" s="241" t="s">
        <v>148</v>
      </c>
      <c r="U168" s="240"/>
      <c r="V168" s="243"/>
      <c r="W168" s="244"/>
      <c r="X168" s="245"/>
      <c r="Y168" s="245"/>
      <c r="Z168" s="246"/>
      <c r="AA168" s="245"/>
      <c r="AB168" s="247"/>
      <c r="AC168" s="245"/>
    </row>
    <row r="169" spans="1:29">
      <c r="A169" s="241" t="s">
        <v>135</v>
      </c>
      <c r="B169" s="241" t="s">
        <v>106</v>
      </c>
      <c r="C169" s="241" t="s">
        <v>150</v>
      </c>
      <c r="D169" s="241" t="s">
        <v>116</v>
      </c>
      <c r="E169" s="241">
        <v>8.15</v>
      </c>
      <c r="G169" s="241" t="s">
        <v>180</v>
      </c>
      <c r="H169" s="241">
        <v>1</v>
      </c>
      <c r="L169" s="241" t="s">
        <v>110</v>
      </c>
      <c r="P169" s="241" t="s">
        <v>148</v>
      </c>
      <c r="U169" s="240"/>
      <c r="V169" s="243"/>
      <c r="W169" s="244"/>
      <c r="X169" s="245"/>
      <c r="Y169" s="245"/>
      <c r="Z169" s="246"/>
      <c r="AA169" s="245"/>
      <c r="AB169" s="247"/>
      <c r="AC169" s="245"/>
    </row>
    <row r="170" spans="1:29">
      <c r="A170" s="241" t="s">
        <v>135</v>
      </c>
      <c r="B170" s="241" t="s">
        <v>106</v>
      </c>
      <c r="C170" s="241" t="s">
        <v>151</v>
      </c>
      <c r="D170" s="241" t="s">
        <v>116</v>
      </c>
      <c r="E170" s="241">
        <v>8.15</v>
      </c>
      <c r="G170" s="241" t="s">
        <v>180</v>
      </c>
      <c r="H170" s="241">
        <v>1</v>
      </c>
      <c r="L170" s="241" t="s">
        <v>110</v>
      </c>
      <c r="P170" s="241" t="s">
        <v>148</v>
      </c>
      <c r="U170" s="240"/>
      <c r="V170" s="243"/>
      <c r="W170" s="244"/>
      <c r="X170" s="245"/>
      <c r="Y170" s="245"/>
      <c r="Z170" s="246"/>
      <c r="AA170" s="245"/>
      <c r="AB170" s="247"/>
      <c r="AC170" s="245"/>
    </row>
    <row r="171" spans="1:29">
      <c r="A171" s="241" t="s">
        <v>135</v>
      </c>
      <c r="B171" s="241" t="s">
        <v>106</v>
      </c>
      <c r="C171" s="241" t="s">
        <v>153</v>
      </c>
      <c r="D171" s="241" t="s">
        <v>116</v>
      </c>
      <c r="E171" s="241">
        <v>8.1189999999999998</v>
      </c>
      <c r="G171" s="241" t="s">
        <v>180</v>
      </c>
      <c r="H171" s="241">
        <v>1</v>
      </c>
      <c r="L171" s="241" t="s">
        <v>110</v>
      </c>
      <c r="P171" s="241" t="s">
        <v>148</v>
      </c>
      <c r="U171" s="240"/>
      <c r="V171" s="243"/>
      <c r="W171" s="244"/>
      <c r="X171" s="245"/>
      <c r="Y171" s="245"/>
      <c r="Z171" s="246"/>
      <c r="AA171" s="245"/>
      <c r="AB171" s="247"/>
      <c r="AC171" s="245"/>
    </row>
    <row r="172" spans="1:29">
      <c r="A172" s="241" t="s">
        <v>135</v>
      </c>
      <c r="B172" s="241" t="s">
        <v>106</v>
      </c>
      <c r="C172" s="241" t="s">
        <v>154</v>
      </c>
      <c r="D172" s="241" t="s">
        <v>116</v>
      </c>
      <c r="E172" s="241">
        <v>8.15</v>
      </c>
      <c r="G172" s="241" t="s">
        <v>180</v>
      </c>
      <c r="H172" s="241">
        <v>1</v>
      </c>
      <c r="L172" s="241" t="s">
        <v>110</v>
      </c>
      <c r="P172" s="241" t="s">
        <v>148</v>
      </c>
      <c r="U172" s="240"/>
      <c r="V172" s="243"/>
      <c r="W172" s="244"/>
      <c r="X172" s="245"/>
      <c r="Y172" s="245"/>
      <c r="Z172" s="246"/>
      <c r="AA172" s="245"/>
      <c r="AB172" s="247"/>
      <c r="AC172" s="245"/>
    </row>
    <row r="173" spans="1:29">
      <c r="A173" s="241" t="s">
        <v>135</v>
      </c>
      <c r="B173" s="241" t="s">
        <v>106</v>
      </c>
      <c r="C173" s="241" t="s">
        <v>275</v>
      </c>
      <c r="D173" s="241" t="s">
        <v>116</v>
      </c>
      <c r="E173" s="241">
        <v>8.15</v>
      </c>
      <c r="G173" s="241" t="s">
        <v>180</v>
      </c>
      <c r="H173" s="241">
        <v>1</v>
      </c>
      <c r="L173" s="241" t="s">
        <v>110</v>
      </c>
      <c r="P173" s="241" t="s">
        <v>148</v>
      </c>
      <c r="U173" s="240"/>
      <c r="V173" s="243"/>
      <c r="W173" s="244"/>
      <c r="X173" s="245"/>
      <c r="Y173" s="245"/>
      <c r="Z173" s="246"/>
      <c r="AA173" s="245"/>
      <c r="AB173" s="247"/>
      <c r="AC173" s="245"/>
    </row>
    <row r="174" spans="1:29">
      <c r="A174" s="241" t="s">
        <v>155</v>
      </c>
      <c r="B174" s="241" t="s">
        <v>106</v>
      </c>
      <c r="C174" s="241" t="s">
        <v>159</v>
      </c>
      <c r="D174" s="241" t="s">
        <v>116</v>
      </c>
      <c r="E174" s="241">
        <v>6.4779999999999998</v>
      </c>
      <c r="G174" s="241" t="s">
        <v>180</v>
      </c>
      <c r="H174" s="241">
        <v>1</v>
      </c>
      <c r="L174" s="241" t="s">
        <v>110</v>
      </c>
      <c r="P174" s="241" t="s">
        <v>158</v>
      </c>
      <c r="U174" s="240"/>
      <c r="V174" s="243"/>
      <c r="W174" s="244"/>
      <c r="X174" s="245"/>
      <c r="Y174" s="245"/>
      <c r="Z174" s="246"/>
      <c r="AA174" s="245"/>
      <c r="AB174" s="247"/>
      <c r="AC174" s="245"/>
    </row>
    <row r="175" spans="1:29">
      <c r="A175" s="241" t="s">
        <v>155</v>
      </c>
      <c r="B175" s="241" t="s">
        <v>106</v>
      </c>
      <c r="C175" s="241" t="s">
        <v>160</v>
      </c>
      <c r="D175" s="241" t="s">
        <v>116</v>
      </c>
      <c r="E175" s="241">
        <v>6.4779999999999998</v>
      </c>
      <c r="G175" s="241" t="s">
        <v>180</v>
      </c>
      <c r="H175" s="241">
        <v>1</v>
      </c>
      <c r="L175" s="241" t="s">
        <v>110</v>
      </c>
      <c r="P175" s="241" t="s">
        <v>158</v>
      </c>
      <c r="U175" s="240"/>
      <c r="V175" s="243"/>
      <c r="W175" s="244"/>
      <c r="X175" s="245"/>
      <c r="Y175" s="245"/>
      <c r="Z175" s="246"/>
      <c r="AA175" s="245"/>
      <c r="AB175" s="247"/>
      <c r="AC175" s="245"/>
    </row>
    <row r="176" spans="1:29">
      <c r="A176" s="241" t="s">
        <v>155</v>
      </c>
      <c r="B176" s="241" t="s">
        <v>106</v>
      </c>
      <c r="C176" s="241" t="s">
        <v>161</v>
      </c>
      <c r="D176" s="241" t="s">
        <v>116</v>
      </c>
      <c r="E176" s="241">
        <v>6.4779999999999998</v>
      </c>
      <c r="G176" s="241" t="s">
        <v>180</v>
      </c>
      <c r="H176" s="241">
        <v>1</v>
      </c>
      <c r="L176" s="241" t="s">
        <v>110</v>
      </c>
      <c r="P176" s="241" t="s">
        <v>158</v>
      </c>
      <c r="U176" s="240"/>
      <c r="V176" s="243"/>
      <c r="W176" s="244"/>
      <c r="X176" s="245"/>
      <c r="Y176" s="245"/>
      <c r="Z176" s="246"/>
      <c r="AA176" s="245"/>
      <c r="AB176" s="247"/>
      <c r="AC176" s="245"/>
    </row>
    <row r="177" spans="1:29">
      <c r="A177" s="241" t="s">
        <v>155</v>
      </c>
      <c r="B177" s="241" t="s">
        <v>106</v>
      </c>
      <c r="C177" s="241" t="s">
        <v>162</v>
      </c>
      <c r="D177" s="241" t="s">
        <v>116</v>
      </c>
      <c r="E177" s="241">
        <v>5.3860000000000001</v>
      </c>
      <c r="G177" s="241" t="s">
        <v>180</v>
      </c>
      <c r="H177" s="241">
        <v>1</v>
      </c>
      <c r="L177" s="241" t="s">
        <v>110</v>
      </c>
      <c r="P177" s="241" t="s">
        <v>158</v>
      </c>
      <c r="U177" s="240"/>
      <c r="V177" s="243"/>
      <c r="W177" s="244"/>
      <c r="X177" s="245"/>
      <c r="Y177" s="245"/>
      <c r="Z177" s="246"/>
      <c r="AA177" s="245"/>
      <c r="AB177" s="247"/>
      <c r="AC177" s="245"/>
    </row>
    <row r="178" spans="1:29">
      <c r="A178" s="241" t="s">
        <v>155</v>
      </c>
      <c r="B178" s="241" t="s">
        <v>106</v>
      </c>
      <c r="C178" s="241" t="s">
        <v>163</v>
      </c>
      <c r="D178" s="241" t="s">
        <v>116</v>
      </c>
      <c r="E178" s="241">
        <v>6.4779999999999998</v>
      </c>
      <c r="G178" s="241" t="s">
        <v>180</v>
      </c>
      <c r="H178" s="241">
        <v>1</v>
      </c>
      <c r="L178" s="241" t="s">
        <v>110</v>
      </c>
      <c r="P178" s="241" t="s">
        <v>158</v>
      </c>
      <c r="U178" s="240"/>
      <c r="V178" s="243"/>
      <c r="W178" s="244"/>
      <c r="X178" s="245"/>
      <c r="Y178" s="245"/>
      <c r="Z178" s="246"/>
      <c r="AA178" s="245"/>
      <c r="AB178" s="247"/>
      <c r="AC178" s="245"/>
    </row>
    <row r="179" spans="1:29">
      <c r="A179" s="241" t="s">
        <v>155</v>
      </c>
      <c r="B179" s="241" t="s">
        <v>106</v>
      </c>
      <c r="C179" s="241" t="s">
        <v>164</v>
      </c>
      <c r="D179" s="241" t="s">
        <v>116</v>
      </c>
      <c r="E179" s="241">
        <v>6.4779999999999998</v>
      </c>
      <c r="G179" s="241" t="s">
        <v>180</v>
      </c>
      <c r="H179" s="241">
        <v>1</v>
      </c>
      <c r="L179" s="241" t="s">
        <v>110</v>
      </c>
      <c r="P179" s="241" t="s">
        <v>158</v>
      </c>
      <c r="U179" s="240"/>
      <c r="V179" s="243"/>
      <c r="W179" s="244"/>
      <c r="X179" s="245"/>
      <c r="Y179" s="245"/>
      <c r="Z179" s="246"/>
      <c r="AA179" s="245"/>
      <c r="AB179" s="247"/>
      <c r="AC179" s="245"/>
    </row>
    <row r="180" spans="1:29">
      <c r="A180" s="241" t="s">
        <v>155</v>
      </c>
      <c r="B180" s="241" t="s">
        <v>106</v>
      </c>
      <c r="C180" s="241" t="s">
        <v>156</v>
      </c>
      <c r="D180" s="241" t="s">
        <v>116</v>
      </c>
      <c r="E180" s="241">
        <v>5.3860000000000001</v>
      </c>
      <c r="G180" s="241" t="s">
        <v>180</v>
      </c>
      <c r="H180" s="241">
        <v>1</v>
      </c>
      <c r="L180" s="241" t="s">
        <v>110</v>
      </c>
      <c r="P180" s="241" t="s">
        <v>158</v>
      </c>
      <c r="U180" s="240"/>
      <c r="V180" s="243"/>
      <c r="W180" s="244"/>
      <c r="X180" s="245"/>
      <c r="Y180" s="245"/>
      <c r="Z180" s="246"/>
      <c r="AA180" s="245"/>
      <c r="AB180" s="247"/>
      <c r="AC180" s="245"/>
    </row>
    <row r="181" spans="1:29">
      <c r="A181" s="241" t="s">
        <v>155</v>
      </c>
      <c r="B181" s="241" t="s">
        <v>106</v>
      </c>
      <c r="C181" s="241" t="s">
        <v>165</v>
      </c>
      <c r="D181" s="241" t="s">
        <v>116</v>
      </c>
      <c r="E181" s="241">
        <v>6.4779999999999998</v>
      </c>
      <c r="G181" s="241" t="s">
        <v>180</v>
      </c>
      <c r="H181" s="241">
        <v>1</v>
      </c>
      <c r="L181" s="241" t="s">
        <v>110</v>
      </c>
      <c r="P181" s="241" t="s">
        <v>158</v>
      </c>
      <c r="U181" s="240"/>
      <c r="V181" s="243"/>
      <c r="W181" s="244"/>
      <c r="X181" s="245"/>
      <c r="Y181" s="245"/>
      <c r="Z181" s="246"/>
      <c r="AA181" s="245"/>
      <c r="AB181" s="247"/>
      <c r="AC181" s="245"/>
    </row>
    <row r="182" spans="1:29">
      <c r="A182" s="241" t="s">
        <v>155</v>
      </c>
      <c r="B182" s="241" t="s">
        <v>106</v>
      </c>
      <c r="C182" s="241" t="s">
        <v>166</v>
      </c>
      <c r="D182" s="241" t="s">
        <v>116</v>
      </c>
      <c r="E182" s="241">
        <v>6.4779999999999998</v>
      </c>
      <c r="G182" s="241" t="s">
        <v>180</v>
      </c>
      <c r="H182" s="241">
        <v>1</v>
      </c>
      <c r="L182" s="241" t="s">
        <v>110</v>
      </c>
      <c r="P182" s="241" t="s">
        <v>158</v>
      </c>
      <c r="U182" s="240"/>
      <c r="V182" s="243"/>
      <c r="W182" s="244"/>
      <c r="X182" s="245"/>
      <c r="Y182" s="245"/>
      <c r="Z182" s="246"/>
      <c r="AA182" s="245"/>
      <c r="AB182" s="247"/>
      <c r="AC182" s="245"/>
    </row>
    <row r="183" spans="1:29">
      <c r="A183" s="241" t="s">
        <v>155</v>
      </c>
      <c r="B183" s="241" t="s">
        <v>106</v>
      </c>
      <c r="C183" s="241" t="s">
        <v>167</v>
      </c>
      <c r="D183" s="241" t="s">
        <v>116</v>
      </c>
      <c r="E183" s="241">
        <v>6.4779999999999998</v>
      </c>
      <c r="G183" s="241" t="s">
        <v>180</v>
      </c>
      <c r="H183" s="241">
        <v>1</v>
      </c>
      <c r="L183" s="241" t="s">
        <v>110</v>
      </c>
      <c r="P183" s="241" t="s">
        <v>158</v>
      </c>
      <c r="U183" s="240"/>
      <c r="V183" s="243"/>
      <c r="W183" s="244"/>
      <c r="X183" s="245"/>
      <c r="Y183" s="245"/>
      <c r="Z183" s="246"/>
      <c r="AA183" s="245"/>
      <c r="AB183" s="247"/>
      <c r="AC183" s="245"/>
    </row>
    <row r="184" spans="1:29">
      <c r="A184" s="241" t="s">
        <v>155</v>
      </c>
      <c r="B184" s="241" t="s">
        <v>106</v>
      </c>
      <c r="C184" s="241" t="s">
        <v>168</v>
      </c>
      <c r="D184" s="241" t="s">
        <v>116</v>
      </c>
      <c r="E184" s="241">
        <v>6.4779999999999998</v>
      </c>
      <c r="G184" s="241" t="s">
        <v>180</v>
      </c>
      <c r="H184" s="241">
        <v>1</v>
      </c>
      <c r="L184" s="241" t="s">
        <v>110</v>
      </c>
      <c r="P184" s="241" t="s">
        <v>158</v>
      </c>
      <c r="U184" s="240"/>
      <c r="V184" s="243"/>
      <c r="W184" s="244"/>
      <c r="X184" s="245"/>
      <c r="Y184" s="245"/>
      <c r="Z184" s="246"/>
      <c r="AA184" s="245"/>
      <c r="AB184" s="247"/>
      <c r="AC184" s="245"/>
    </row>
    <row r="185" spans="1:29">
      <c r="A185" s="241" t="s">
        <v>155</v>
      </c>
      <c r="B185" s="241" t="s">
        <v>106</v>
      </c>
      <c r="C185" s="241" t="s">
        <v>169</v>
      </c>
      <c r="D185" s="241" t="s">
        <v>116</v>
      </c>
      <c r="E185" s="241">
        <v>6.4779999999999998</v>
      </c>
      <c r="G185" s="241" t="s">
        <v>180</v>
      </c>
      <c r="H185" s="241">
        <v>1</v>
      </c>
      <c r="L185" s="241" t="s">
        <v>110</v>
      </c>
      <c r="P185" s="241" t="s">
        <v>158</v>
      </c>
      <c r="U185" s="240"/>
      <c r="V185" s="243"/>
      <c r="W185" s="244"/>
      <c r="X185" s="245"/>
      <c r="Y185" s="245"/>
      <c r="Z185" s="246"/>
      <c r="AA185" s="245"/>
      <c r="AB185" s="247"/>
      <c r="AC185" s="245"/>
    </row>
    <row r="186" spans="1:29">
      <c r="A186" s="241" t="s">
        <v>155</v>
      </c>
      <c r="B186" s="241" t="s">
        <v>106</v>
      </c>
      <c r="C186" s="241" t="s">
        <v>170</v>
      </c>
      <c r="D186" s="241" t="s">
        <v>116</v>
      </c>
      <c r="E186" s="241">
        <v>5.3869999999999996</v>
      </c>
      <c r="G186" s="241" t="s">
        <v>180</v>
      </c>
      <c r="H186" s="241">
        <v>1</v>
      </c>
      <c r="L186" s="241" t="s">
        <v>110</v>
      </c>
      <c r="P186" s="241" t="s">
        <v>171</v>
      </c>
      <c r="U186" s="240"/>
      <c r="V186" s="243"/>
      <c r="W186" s="244"/>
      <c r="X186" s="245"/>
      <c r="Y186" s="245"/>
      <c r="Z186" s="246"/>
      <c r="AA186" s="245"/>
      <c r="AB186" s="247"/>
      <c r="AC186" s="245"/>
    </row>
    <row r="187" spans="1:29">
      <c r="A187" s="241" t="s">
        <v>155</v>
      </c>
      <c r="B187" s="241" t="s">
        <v>106</v>
      </c>
      <c r="C187" s="241" t="s">
        <v>172</v>
      </c>
      <c r="D187" s="241" t="s">
        <v>116</v>
      </c>
      <c r="E187" s="241">
        <v>5.5430000000000001</v>
      </c>
      <c r="G187" s="241" t="s">
        <v>180</v>
      </c>
      <c r="H187" s="241">
        <v>1</v>
      </c>
      <c r="L187" s="241" t="s">
        <v>110</v>
      </c>
      <c r="P187" s="241" t="s">
        <v>171</v>
      </c>
      <c r="U187" s="240"/>
      <c r="V187" s="243"/>
      <c r="W187" s="244"/>
      <c r="X187" s="245"/>
      <c r="Y187" s="245"/>
      <c r="Z187" s="246"/>
      <c r="AA187" s="245"/>
      <c r="AB187" s="247"/>
      <c r="AC187" s="245"/>
    </row>
    <row r="188" spans="1:29" customFormat="1" ht="12.75">
      <c r="A188" t="s">
        <v>135</v>
      </c>
      <c r="B188" t="s">
        <v>106</v>
      </c>
      <c r="C188" t="s">
        <v>200</v>
      </c>
      <c r="D188" t="s">
        <v>116</v>
      </c>
      <c r="E188" s="159">
        <v>8.2750000000000004</v>
      </c>
      <c r="G188" t="s">
        <v>180</v>
      </c>
      <c r="H188">
        <v>1</v>
      </c>
      <c r="I188" s="276"/>
      <c r="J188" s="276"/>
      <c r="L188" t="s">
        <v>110</v>
      </c>
      <c r="P188" t="s">
        <v>201</v>
      </c>
      <c r="Q188" t="b">
        <v>0</v>
      </c>
    </row>
    <row r="189" spans="1:29">
      <c r="U189" s="240"/>
      <c r="V189" s="243"/>
      <c r="W189" s="244"/>
      <c r="X189" s="245"/>
      <c r="Y189" s="245"/>
      <c r="Z189" s="246"/>
      <c r="AA189" s="245"/>
      <c r="AB189" s="247"/>
      <c r="AC189" s="245"/>
    </row>
    <row r="190" spans="1:29">
      <c r="U190" s="240"/>
      <c r="V190" s="243"/>
      <c r="W190" s="244"/>
      <c r="X190" s="245"/>
      <c r="Y190" s="245"/>
      <c r="Z190" s="246"/>
      <c r="AA190" s="245"/>
      <c r="AB190" s="247"/>
      <c r="AC190" s="245"/>
    </row>
    <row r="191" spans="1:29" s="239" customFormat="1">
      <c r="A191" s="239" t="s">
        <v>89</v>
      </c>
      <c r="B191" s="239" t="s">
        <v>90</v>
      </c>
      <c r="C191" s="239" t="s">
        <v>91</v>
      </c>
      <c r="D191" s="239" t="s">
        <v>92</v>
      </c>
      <c r="E191" s="239" t="s">
        <v>93</v>
      </c>
      <c r="F191" s="239" t="s">
        <v>94</v>
      </c>
      <c r="G191" s="239" t="s">
        <v>95</v>
      </c>
      <c r="H191" s="239" t="s">
        <v>96</v>
      </c>
      <c r="I191" s="239" t="s">
        <v>97</v>
      </c>
      <c r="J191" s="239" t="s">
        <v>98</v>
      </c>
      <c r="K191" s="239" t="s">
        <v>99</v>
      </c>
      <c r="L191" s="239" t="s">
        <v>100</v>
      </c>
      <c r="M191" s="239" t="s">
        <v>101</v>
      </c>
      <c r="N191" s="239" t="s">
        <v>102</v>
      </c>
      <c r="O191" s="239" t="s">
        <v>103</v>
      </c>
      <c r="P191" s="239" t="s">
        <v>104</v>
      </c>
      <c r="S191" s="239" t="s">
        <v>0</v>
      </c>
      <c r="U191" s="240"/>
      <c r="V191" s="243"/>
      <c r="W191" s="244"/>
      <c r="X191" s="245"/>
      <c r="Y191" s="245"/>
      <c r="Z191" s="246"/>
      <c r="AA191" s="245"/>
      <c r="AB191" s="247"/>
      <c r="AC191" s="245"/>
    </row>
    <row r="192" spans="1:29">
      <c r="A192" s="241" t="s">
        <v>105</v>
      </c>
      <c r="B192" s="241" t="s">
        <v>106</v>
      </c>
      <c r="C192" s="241" t="s">
        <v>139</v>
      </c>
      <c r="D192" s="241" t="s">
        <v>108</v>
      </c>
      <c r="E192" s="241">
        <v>1.065089773</v>
      </c>
      <c r="G192" s="241" t="s">
        <v>109</v>
      </c>
      <c r="H192" s="241">
        <v>1</v>
      </c>
      <c r="I192" s="242">
        <v>45658</v>
      </c>
      <c r="J192" s="242"/>
      <c r="L192" s="241" t="s">
        <v>110</v>
      </c>
      <c r="N192" s="241" t="s">
        <v>290</v>
      </c>
      <c r="O192" s="241" t="s">
        <v>291</v>
      </c>
      <c r="P192" s="241" t="s">
        <v>181</v>
      </c>
      <c r="S192" s="241">
        <f>YEAR(I192)</f>
        <v>2025</v>
      </c>
      <c r="U192" s="240"/>
      <c r="V192" s="243"/>
      <c r="W192" s="244"/>
      <c r="X192" s="245"/>
      <c r="Y192" s="245"/>
      <c r="Z192" s="246"/>
      <c r="AA192" s="245"/>
      <c r="AB192" s="247"/>
      <c r="AC192" s="245"/>
    </row>
    <row r="193" spans="1:29">
      <c r="A193" s="241" t="s">
        <v>105</v>
      </c>
      <c r="B193" s="241" t="s">
        <v>106</v>
      </c>
      <c r="C193" s="241" t="s">
        <v>139</v>
      </c>
      <c r="D193" s="241" t="s">
        <v>108</v>
      </c>
      <c r="E193" s="241">
        <v>1.0448009469999999</v>
      </c>
      <c r="G193" s="241" t="s">
        <v>109</v>
      </c>
      <c r="H193" s="241">
        <v>1</v>
      </c>
      <c r="I193" s="242">
        <v>46023</v>
      </c>
      <c r="J193" s="242"/>
      <c r="L193" s="241" t="s">
        <v>110</v>
      </c>
      <c r="N193" s="241" t="s">
        <v>290</v>
      </c>
      <c r="O193" s="241" t="s">
        <v>291</v>
      </c>
      <c r="P193" s="241" t="s">
        <v>181</v>
      </c>
      <c r="S193" s="241">
        <f t="shared" ref="S193:S212" si="2">YEAR(I193)</f>
        <v>2026</v>
      </c>
      <c r="U193" s="240"/>
      <c r="V193" s="243"/>
      <c r="W193" s="244"/>
      <c r="X193" s="245"/>
      <c r="Y193" s="245"/>
      <c r="Z193" s="246"/>
      <c r="AA193" s="245"/>
      <c r="AB193" s="247"/>
      <c r="AC193" s="245"/>
    </row>
    <row r="194" spans="1:29">
      <c r="A194" s="241" t="s">
        <v>105</v>
      </c>
      <c r="B194" s="241" t="s">
        <v>106</v>
      </c>
      <c r="C194" s="241" t="s">
        <v>139</v>
      </c>
      <c r="D194" s="241" t="s">
        <v>108</v>
      </c>
      <c r="E194" s="241">
        <v>1.0231213539999999</v>
      </c>
      <c r="G194" s="241" t="s">
        <v>109</v>
      </c>
      <c r="H194" s="241">
        <v>1</v>
      </c>
      <c r="I194" s="242">
        <v>46388</v>
      </c>
      <c r="J194" s="242"/>
      <c r="L194" s="241" t="s">
        <v>110</v>
      </c>
      <c r="N194" s="241" t="s">
        <v>290</v>
      </c>
      <c r="O194" s="241" t="s">
        <v>291</v>
      </c>
      <c r="P194" s="241" t="s">
        <v>181</v>
      </c>
      <c r="S194" s="241">
        <f t="shared" si="2"/>
        <v>2027</v>
      </c>
      <c r="U194" s="240"/>
      <c r="V194" s="243"/>
      <c r="W194" s="244"/>
      <c r="X194" s="245"/>
      <c r="Y194" s="245"/>
      <c r="Z194" s="246"/>
      <c r="AA194" s="245"/>
      <c r="AB194" s="247"/>
      <c r="AC194" s="245"/>
    </row>
    <row r="195" spans="1:29">
      <c r="A195" s="241" t="s">
        <v>105</v>
      </c>
      <c r="B195" s="241" t="s">
        <v>106</v>
      </c>
      <c r="C195" s="241" t="s">
        <v>139</v>
      </c>
      <c r="D195" s="241" t="s">
        <v>108</v>
      </c>
      <c r="E195" s="241">
        <v>1</v>
      </c>
      <c r="G195" s="241" t="s">
        <v>109</v>
      </c>
      <c r="H195" s="241">
        <v>1</v>
      </c>
      <c r="I195" s="242">
        <v>46753</v>
      </c>
      <c r="J195" s="242"/>
      <c r="L195" s="241" t="s">
        <v>110</v>
      </c>
      <c r="N195" s="241" t="s">
        <v>290</v>
      </c>
      <c r="O195" s="241" t="s">
        <v>291</v>
      </c>
      <c r="P195" s="241" t="s">
        <v>181</v>
      </c>
      <c r="S195" s="241">
        <f t="shared" si="2"/>
        <v>2028</v>
      </c>
      <c r="U195" s="240"/>
      <c r="V195" s="243"/>
      <c r="W195" s="246"/>
      <c r="X195" s="245"/>
      <c r="Y195" s="245"/>
      <c r="Z195" s="246"/>
      <c r="AA195" s="245"/>
      <c r="AB195" s="247"/>
      <c r="AC195" s="245"/>
    </row>
    <row r="196" spans="1:29">
      <c r="A196" s="241" t="s">
        <v>105</v>
      </c>
      <c r="B196" s="241" t="s">
        <v>106</v>
      </c>
      <c r="C196" s="241" t="s">
        <v>139</v>
      </c>
      <c r="D196" s="241" t="s">
        <v>108</v>
      </c>
      <c r="E196" s="241">
        <v>0.975384327</v>
      </c>
      <c r="G196" s="241" t="s">
        <v>109</v>
      </c>
      <c r="H196" s="241">
        <v>1</v>
      </c>
      <c r="I196" s="242">
        <v>47119</v>
      </c>
      <c r="J196" s="242"/>
      <c r="L196" s="241" t="s">
        <v>110</v>
      </c>
      <c r="N196" s="241" t="s">
        <v>290</v>
      </c>
      <c r="O196" s="241" t="s">
        <v>291</v>
      </c>
      <c r="P196" s="241" t="s">
        <v>181</v>
      </c>
      <c r="S196" s="241">
        <f t="shared" si="2"/>
        <v>2029</v>
      </c>
      <c r="U196" s="240"/>
      <c r="V196" s="243"/>
      <c r="W196" s="246"/>
      <c r="X196" s="245"/>
      <c r="Y196" s="245"/>
      <c r="Z196" s="246"/>
      <c r="AA196" s="245"/>
      <c r="AB196" s="247"/>
      <c r="AC196" s="245"/>
    </row>
    <row r="197" spans="1:29">
      <c r="A197" s="241" t="s">
        <v>105</v>
      </c>
      <c r="B197" s="241" t="s">
        <v>106</v>
      </c>
      <c r="C197" s="241" t="s">
        <v>139</v>
      </c>
      <c r="D197" s="241" t="s">
        <v>108</v>
      </c>
      <c r="E197" s="241">
        <v>0.94922017000000003</v>
      </c>
      <c r="G197" s="241" t="s">
        <v>109</v>
      </c>
      <c r="H197" s="241">
        <v>1</v>
      </c>
      <c r="I197" s="242">
        <v>47484</v>
      </c>
      <c r="J197" s="242"/>
      <c r="L197" s="241" t="s">
        <v>110</v>
      </c>
      <c r="N197" s="241" t="s">
        <v>290</v>
      </c>
      <c r="O197" s="241" t="s">
        <v>291</v>
      </c>
      <c r="P197" s="241" t="s">
        <v>181</v>
      </c>
      <c r="S197" s="241">
        <f t="shared" si="2"/>
        <v>2030</v>
      </c>
      <c r="U197" s="240"/>
      <c r="V197" s="243"/>
      <c r="W197" s="246"/>
      <c r="X197" s="245"/>
      <c r="Y197" s="245"/>
      <c r="Z197" s="246"/>
      <c r="AA197" s="245"/>
      <c r="AB197" s="247"/>
      <c r="AC197" s="245"/>
    </row>
    <row r="198" spans="1:29">
      <c r="A198" s="241" t="s">
        <v>105</v>
      </c>
      <c r="B198" s="241" t="s">
        <v>106</v>
      </c>
      <c r="C198" s="241" t="s">
        <v>139</v>
      </c>
      <c r="D198" s="241" t="s">
        <v>108</v>
      </c>
      <c r="E198" s="241">
        <v>0.92145171400000003</v>
      </c>
      <c r="G198" s="241" t="s">
        <v>109</v>
      </c>
      <c r="H198" s="241">
        <v>1</v>
      </c>
      <c r="I198" s="242">
        <v>47849</v>
      </c>
      <c r="J198" s="242"/>
      <c r="L198" s="241" t="s">
        <v>110</v>
      </c>
      <c r="N198" s="241" t="s">
        <v>290</v>
      </c>
      <c r="O198" s="241" t="s">
        <v>291</v>
      </c>
      <c r="P198" s="241" t="s">
        <v>181</v>
      </c>
      <c r="S198" s="241">
        <f t="shared" si="2"/>
        <v>2031</v>
      </c>
      <c r="U198" s="240"/>
      <c r="V198" s="243"/>
      <c r="W198" s="246"/>
      <c r="X198" s="245"/>
      <c r="Y198" s="245"/>
      <c r="Z198" s="246"/>
      <c r="AA198" s="245"/>
      <c r="AB198" s="245"/>
      <c r="AC198" s="245"/>
    </row>
    <row r="199" spans="1:29">
      <c r="A199" s="241" t="s">
        <v>105</v>
      </c>
      <c r="B199" s="241" t="s">
        <v>106</v>
      </c>
      <c r="C199" s="241" t="s">
        <v>139</v>
      </c>
      <c r="D199" s="241" t="s">
        <v>108</v>
      </c>
      <c r="E199" s="241">
        <v>0.89202144699999997</v>
      </c>
      <c r="G199" s="241" t="s">
        <v>109</v>
      </c>
      <c r="H199" s="241">
        <v>1</v>
      </c>
      <c r="I199" s="242">
        <v>48214</v>
      </c>
      <c r="J199" s="242"/>
      <c r="L199" s="241" t="s">
        <v>110</v>
      </c>
      <c r="N199" s="241" t="s">
        <v>290</v>
      </c>
      <c r="O199" s="241" t="s">
        <v>291</v>
      </c>
      <c r="P199" s="241" t="s">
        <v>181</v>
      </c>
      <c r="S199" s="241">
        <f t="shared" si="2"/>
        <v>2032</v>
      </c>
      <c r="U199" s="240"/>
      <c r="V199" s="243"/>
      <c r="W199" s="246"/>
      <c r="X199" s="245"/>
      <c r="Y199" s="245"/>
      <c r="Z199" s="246"/>
      <c r="AA199" s="245"/>
      <c r="AB199" s="245"/>
      <c r="AC199" s="245"/>
    </row>
    <row r="200" spans="1:29">
      <c r="A200" s="241" t="s">
        <v>105</v>
      </c>
      <c r="B200" s="241" t="s">
        <v>106</v>
      </c>
      <c r="C200" s="241" t="s">
        <v>139</v>
      </c>
      <c r="D200" s="241" t="s">
        <v>108</v>
      </c>
      <c r="E200" s="241">
        <v>0.86087010900000005</v>
      </c>
      <c r="G200" s="241" t="s">
        <v>109</v>
      </c>
      <c r="H200" s="241">
        <v>1</v>
      </c>
      <c r="I200" s="242">
        <v>48580</v>
      </c>
      <c r="J200" s="242"/>
      <c r="L200" s="241" t="s">
        <v>110</v>
      </c>
      <c r="N200" s="241" t="s">
        <v>290</v>
      </c>
      <c r="O200" s="241" t="s">
        <v>291</v>
      </c>
      <c r="P200" s="241" t="s">
        <v>181</v>
      </c>
      <c r="S200" s="241">
        <f t="shared" si="2"/>
        <v>2033</v>
      </c>
      <c r="U200" s="240"/>
      <c r="V200" s="243"/>
      <c r="W200" s="246"/>
      <c r="X200" s="245"/>
      <c r="Y200" s="245"/>
      <c r="Z200" s="246"/>
      <c r="AA200" s="245"/>
      <c r="AB200" s="245"/>
      <c r="AC200" s="245"/>
    </row>
    <row r="201" spans="1:29">
      <c r="A201" s="241" t="s">
        <v>105</v>
      </c>
      <c r="B201" s="241" t="s">
        <v>106</v>
      </c>
      <c r="C201" s="241" t="s">
        <v>139</v>
      </c>
      <c r="D201" s="241" t="s">
        <v>108</v>
      </c>
      <c r="E201" s="241">
        <v>0.827936648</v>
      </c>
      <c r="G201" s="241" t="s">
        <v>109</v>
      </c>
      <c r="H201" s="241">
        <v>1</v>
      </c>
      <c r="I201" s="242">
        <v>48945</v>
      </c>
      <c r="J201" s="242"/>
      <c r="L201" s="241" t="s">
        <v>110</v>
      </c>
      <c r="N201" s="241" t="s">
        <v>290</v>
      </c>
      <c r="O201" s="241" t="s">
        <v>291</v>
      </c>
      <c r="P201" s="241" t="s">
        <v>181</v>
      </c>
      <c r="S201" s="241">
        <f t="shared" si="2"/>
        <v>2034</v>
      </c>
      <c r="U201" s="240"/>
      <c r="V201" s="243"/>
      <c r="W201" s="246"/>
      <c r="X201" s="245"/>
      <c r="Y201" s="245"/>
      <c r="Z201" s="246"/>
      <c r="AA201" s="245"/>
      <c r="AB201" s="245"/>
      <c r="AC201" s="245"/>
    </row>
    <row r="202" spans="1:29">
      <c r="A202" s="241" t="s">
        <v>105</v>
      </c>
      <c r="B202" s="241" t="s">
        <v>106</v>
      </c>
      <c r="C202" s="241" t="s">
        <v>139</v>
      </c>
      <c r="D202" s="241" t="s">
        <v>108</v>
      </c>
      <c r="E202" s="241">
        <v>0.79315816900000002</v>
      </c>
      <c r="G202" s="241" t="s">
        <v>109</v>
      </c>
      <c r="H202" s="241">
        <v>1</v>
      </c>
      <c r="I202" s="242">
        <v>49310</v>
      </c>
      <c r="J202" s="242"/>
      <c r="L202" s="241" t="s">
        <v>110</v>
      </c>
      <c r="N202" s="241" t="s">
        <v>290</v>
      </c>
      <c r="O202" s="241" t="s">
        <v>291</v>
      </c>
      <c r="P202" s="241" t="s">
        <v>181</v>
      </c>
      <c r="S202" s="241">
        <f t="shared" si="2"/>
        <v>2035</v>
      </c>
      <c r="U202" s="240"/>
      <c r="V202" s="243"/>
      <c r="W202" s="246"/>
      <c r="X202" s="245"/>
      <c r="Y202" s="245"/>
      <c r="Z202" s="246"/>
      <c r="AA202" s="245"/>
      <c r="AB202" s="245"/>
      <c r="AC202" s="245"/>
    </row>
    <row r="203" spans="1:29">
      <c r="A203" s="241" t="s">
        <v>105</v>
      </c>
      <c r="B203" s="241" t="s">
        <v>106</v>
      </c>
      <c r="C203" s="241" t="s">
        <v>139</v>
      </c>
      <c r="D203" s="241" t="s">
        <v>108</v>
      </c>
      <c r="E203" s="241">
        <v>0.79762982100000002</v>
      </c>
      <c r="G203" s="241" t="s">
        <v>109</v>
      </c>
      <c r="H203" s="241">
        <v>1</v>
      </c>
      <c r="I203" s="242">
        <v>49675</v>
      </c>
      <c r="J203" s="242"/>
      <c r="L203" s="241" t="s">
        <v>110</v>
      </c>
      <c r="N203" s="241" t="s">
        <v>290</v>
      </c>
      <c r="O203" s="241" t="s">
        <v>291</v>
      </c>
      <c r="P203" s="241" t="s">
        <v>181</v>
      </c>
      <c r="S203" s="241">
        <f t="shared" si="2"/>
        <v>2036</v>
      </c>
      <c r="Z203" s="240"/>
      <c r="AA203" s="240"/>
      <c r="AB203" s="240"/>
      <c r="AC203" s="240"/>
    </row>
    <row r="204" spans="1:29">
      <c r="A204" s="241" t="s">
        <v>105</v>
      </c>
      <c r="B204" s="241" t="s">
        <v>106</v>
      </c>
      <c r="C204" s="241" t="s">
        <v>139</v>
      </c>
      <c r="D204" s="241" t="s">
        <v>108</v>
      </c>
      <c r="E204" s="241">
        <v>0.80191949600000001</v>
      </c>
      <c r="G204" s="241" t="s">
        <v>109</v>
      </c>
      <c r="H204" s="241">
        <v>1</v>
      </c>
      <c r="I204" s="242">
        <v>50041</v>
      </c>
      <c r="J204" s="242"/>
      <c r="L204" s="241" t="s">
        <v>110</v>
      </c>
      <c r="N204" s="241" t="s">
        <v>290</v>
      </c>
      <c r="O204" s="241" t="s">
        <v>291</v>
      </c>
      <c r="P204" s="241" t="s">
        <v>181</v>
      </c>
      <c r="S204" s="241">
        <f t="shared" si="2"/>
        <v>2037</v>
      </c>
      <c r="Z204" s="240"/>
      <c r="AA204" s="240"/>
      <c r="AB204" s="240"/>
      <c r="AC204" s="240"/>
    </row>
    <row r="205" spans="1:29">
      <c r="A205" s="241" t="s">
        <v>105</v>
      </c>
      <c r="B205" s="241" t="s">
        <v>106</v>
      </c>
      <c r="C205" s="241" t="s">
        <v>139</v>
      </c>
      <c r="D205" s="241" t="s">
        <v>108</v>
      </c>
      <c r="E205" s="241">
        <v>0.80601713600000002</v>
      </c>
      <c r="G205" s="241" t="s">
        <v>109</v>
      </c>
      <c r="H205" s="241">
        <v>1</v>
      </c>
      <c r="I205" s="242">
        <v>50406</v>
      </c>
      <c r="J205" s="242"/>
      <c r="L205" s="241" t="s">
        <v>110</v>
      </c>
      <c r="N205" s="241" t="s">
        <v>290</v>
      </c>
      <c r="O205" s="241" t="s">
        <v>291</v>
      </c>
      <c r="P205" s="241" t="s">
        <v>181</v>
      </c>
      <c r="S205" s="241">
        <f t="shared" si="2"/>
        <v>2038</v>
      </c>
      <c r="Z205" s="240"/>
      <c r="AA205" s="240"/>
      <c r="AB205" s="240"/>
      <c r="AC205" s="240"/>
    </row>
    <row r="206" spans="1:29">
      <c r="A206" s="241" t="s">
        <v>105</v>
      </c>
      <c r="B206" s="241" t="s">
        <v>106</v>
      </c>
      <c r="C206" s="241" t="s">
        <v>139</v>
      </c>
      <c r="D206" s="241" t="s">
        <v>108</v>
      </c>
      <c r="E206" s="241">
        <v>0.80991232800000001</v>
      </c>
      <c r="G206" s="241" t="s">
        <v>109</v>
      </c>
      <c r="H206" s="241">
        <v>1</v>
      </c>
      <c r="I206" s="242">
        <v>50771</v>
      </c>
      <c r="J206" s="242"/>
      <c r="L206" s="241" t="s">
        <v>110</v>
      </c>
      <c r="N206" s="241" t="s">
        <v>290</v>
      </c>
      <c r="O206" s="241" t="s">
        <v>291</v>
      </c>
      <c r="P206" s="241" t="s">
        <v>181</v>
      </c>
      <c r="S206" s="241">
        <f t="shared" si="2"/>
        <v>2039</v>
      </c>
      <c r="Z206" s="240"/>
      <c r="AA206" s="240"/>
      <c r="AB206" s="240"/>
      <c r="AC206" s="240"/>
    </row>
    <row r="207" spans="1:29">
      <c r="A207" s="241" t="s">
        <v>105</v>
      </c>
      <c r="B207" s="241" t="s">
        <v>106</v>
      </c>
      <c r="C207" s="241" t="s">
        <v>139</v>
      </c>
      <c r="D207" s="241" t="s">
        <v>108</v>
      </c>
      <c r="E207" s="241">
        <v>0.81359429999999999</v>
      </c>
      <c r="G207" s="241" t="s">
        <v>109</v>
      </c>
      <c r="H207" s="241">
        <v>1</v>
      </c>
      <c r="I207" s="242">
        <v>51136</v>
      </c>
      <c r="J207" s="242"/>
      <c r="L207" s="241" t="s">
        <v>110</v>
      </c>
      <c r="N207" s="241" t="s">
        <v>290</v>
      </c>
      <c r="O207" s="241" t="s">
        <v>291</v>
      </c>
      <c r="P207" s="241" t="s">
        <v>181</v>
      </c>
      <c r="S207" s="241">
        <f t="shared" si="2"/>
        <v>2040</v>
      </c>
      <c r="Z207" s="240"/>
      <c r="AA207" s="240"/>
      <c r="AB207" s="240"/>
      <c r="AC207" s="240"/>
    </row>
    <row r="208" spans="1:29">
      <c r="A208" s="241" t="s">
        <v>105</v>
      </c>
      <c r="B208" s="241" t="s">
        <v>106</v>
      </c>
      <c r="C208" s="241" t="s">
        <v>139</v>
      </c>
      <c r="D208" s="241" t="s">
        <v>108</v>
      </c>
      <c r="E208" s="241">
        <v>0.817051902</v>
      </c>
      <c r="G208" s="241" t="s">
        <v>109</v>
      </c>
      <c r="H208" s="241">
        <v>1</v>
      </c>
      <c r="I208" s="242">
        <v>51502</v>
      </c>
      <c r="J208" s="242"/>
      <c r="L208" s="241" t="s">
        <v>110</v>
      </c>
      <c r="N208" s="241" t="s">
        <v>290</v>
      </c>
      <c r="O208" s="241" t="s">
        <v>291</v>
      </c>
      <c r="P208" s="241" t="s">
        <v>181</v>
      </c>
      <c r="S208" s="241">
        <f t="shared" si="2"/>
        <v>2041</v>
      </c>
      <c r="Z208" s="240"/>
      <c r="AA208" s="240"/>
      <c r="AB208" s="240"/>
      <c r="AC208" s="240"/>
    </row>
    <row r="209" spans="1:29">
      <c r="A209" s="241" t="s">
        <v>105</v>
      </c>
      <c r="B209" s="241" t="s">
        <v>106</v>
      </c>
      <c r="C209" s="241" t="s">
        <v>139</v>
      </c>
      <c r="D209" s="241" t="s">
        <v>108</v>
      </c>
      <c r="E209" s="241">
        <v>0.82027360400000005</v>
      </c>
      <c r="G209" s="241" t="s">
        <v>109</v>
      </c>
      <c r="H209" s="241">
        <v>1</v>
      </c>
      <c r="I209" s="242">
        <v>51867</v>
      </c>
      <c r="J209" s="242"/>
      <c r="L209" s="241" t="s">
        <v>110</v>
      </c>
      <c r="N209" s="241" t="s">
        <v>290</v>
      </c>
      <c r="O209" s="241" t="s">
        <v>291</v>
      </c>
      <c r="P209" s="241" t="s">
        <v>181</v>
      </c>
      <c r="S209" s="241">
        <f t="shared" si="2"/>
        <v>2042</v>
      </c>
      <c r="Z209" s="240"/>
      <c r="AA209" s="240"/>
      <c r="AB209" s="240"/>
      <c r="AC209" s="240"/>
    </row>
    <row r="210" spans="1:29">
      <c r="A210" s="241" t="s">
        <v>105</v>
      </c>
      <c r="B210" s="241" t="s">
        <v>106</v>
      </c>
      <c r="C210" s="241" t="s">
        <v>139</v>
      </c>
      <c r="D210" s="241" t="s">
        <v>108</v>
      </c>
      <c r="E210" s="241">
        <v>0.82324747600000003</v>
      </c>
      <c r="G210" s="241" t="s">
        <v>109</v>
      </c>
      <c r="H210" s="241">
        <v>1</v>
      </c>
      <c r="I210" s="242">
        <v>52232</v>
      </c>
      <c r="J210" s="242"/>
      <c r="L210" s="241" t="s">
        <v>110</v>
      </c>
      <c r="N210" s="241" t="s">
        <v>290</v>
      </c>
      <c r="O210" s="241" t="s">
        <v>291</v>
      </c>
      <c r="P210" s="241" t="s">
        <v>181</v>
      </c>
      <c r="S210" s="241">
        <f t="shared" si="2"/>
        <v>2043</v>
      </c>
      <c r="Z210" s="240"/>
      <c r="AA210" s="240"/>
      <c r="AB210" s="240"/>
      <c r="AC210" s="240"/>
    </row>
    <row r="211" spans="1:29">
      <c r="A211" s="241" t="s">
        <v>105</v>
      </c>
      <c r="B211" s="241" t="s">
        <v>106</v>
      </c>
      <c r="C211" s="241" t="s">
        <v>139</v>
      </c>
      <c r="D211" s="241" t="s">
        <v>108</v>
      </c>
      <c r="E211" s="241">
        <v>0.82596118200000002</v>
      </c>
      <c r="G211" s="241" t="s">
        <v>109</v>
      </c>
      <c r="H211" s="241">
        <v>1</v>
      </c>
      <c r="I211" s="242">
        <v>52597</v>
      </c>
      <c r="J211" s="242"/>
      <c r="L211" s="241" t="s">
        <v>110</v>
      </c>
      <c r="N211" s="241" t="s">
        <v>290</v>
      </c>
      <c r="O211" s="241" t="s">
        <v>291</v>
      </c>
      <c r="P211" s="241" t="s">
        <v>181</v>
      </c>
      <c r="S211" s="241">
        <f t="shared" si="2"/>
        <v>2044</v>
      </c>
      <c r="Z211" s="240"/>
      <c r="AA211" s="240"/>
      <c r="AB211" s="240"/>
      <c r="AC211" s="240"/>
    </row>
    <row r="212" spans="1:29">
      <c r="A212" s="241" t="s">
        <v>105</v>
      </c>
      <c r="B212" s="241" t="s">
        <v>106</v>
      </c>
      <c r="C212" s="241" t="s">
        <v>139</v>
      </c>
      <c r="D212" s="241" t="s">
        <v>108</v>
      </c>
      <c r="E212" s="241">
        <v>0.82840196499999996</v>
      </c>
      <c r="G212" s="241" t="s">
        <v>109</v>
      </c>
      <c r="H212" s="241">
        <v>1</v>
      </c>
      <c r="I212" s="242">
        <v>52963</v>
      </c>
      <c r="J212" s="242"/>
      <c r="L212" s="241" t="s">
        <v>110</v>
      </c>
      <c r="N212" s="241" t="s">
        <v>290</v>
      </c>
      <c r="O212" s="241" t="s">
        <v>291</v>
      </c>
      <c r="P212" s="241" t="s">
        <v>181</v>
      </c>
      <c r="S212" s="241">
        <f t="shared" si="2"/>
        <v>2045</v>
      </c>
      <c r="Z212" s="240"/>
      <c r="AA212" s="240"/>
      <c r="AB212" s="240"/>
      <c r="AC212" s="240"/>
    </row>
    <row r="213" spans="1:29">
      <c r="Z213" s="240"/>
      <c r="AA213" s="240"/>
      <c r="AB213" s="240"/>
      <c r="AC213" s="240"/>
    </row>
    <row r="214" spans="1:29" s="239" customFormat="1">
      <c r="A214" s="239" t="s">
        <v>89</v>
      </c>
      <c r="B214" s="239" t="s">
        <v>90</v>
      </c>
      <c r="C214" s="239" t="s">
        <v>91</v>
      </c>
      <c r="D214" s="239" t="s">
        <v>92</v>
      </c>
      <c r="E214" s="239" t="s">
        <v>93</v>
      </c>
      <c r="F214" s="239" t="s">
        <v>94</v>
      </c>
      <c r="G214" s="239" t="s">
        <v>95</v>
      </c>
      <c r="H214" s="239" t="s">
        <v>96</v>
      </c>
      <c r="I214" s="239" t="s">
        <v>97</v>
      </c>
      <c r="J214" s="239" t="s">
        <v>98</v>
      </c>
      <c r="K214" s="239" t="s">
        <v>99</v>
      </c>
      <c r="L214" s="239" t="s">
        <v>100</v>
      </c>
      <c r="M214" s="239" t="s">
        <v>101</v>
      </c>
      <c r="N214" s="239" t="s">
        <v>102</v>
      </c>
      <c r="O214" s="239" t="s">
        <v>103</v>
      </c>
      <c r="P214" s="239" t="s">
        <v>104</v>
      </c>
      <c r="S214" s="239" t="s">
        <v>0</v>
      </c>
      <c r="Z214" s="240"/>
      <c r="AA214" s="240"/>
      <c r="AB214" s="240"/>
      <c r="AC214" s="240"/>
    </row>
    <row r="215" spans="1:29">
      <c r="A215" s="241" t="s">
        <v>105</v>
      </c>
      <c r="B215" s="241" t="s">
        <v>106</v>
      </c>
      <c r="C215" s="241" t="s">
        <v>157</v>
      </c>
      <c r="D215" s="241" t="s">
        <v>108</v>
      </c>
      <c r="E215" s="241">
        <v>1.0197683399999999</v>
      </c>
      <c r="G215" s="241" t="s">
        <v>109</v>
      </c>
      <c r="H215" s="241">
        <v>1</v>
      </c>
      <c r="I215" s="242">
        <v>45658</v>
      </c>
      <c r="J215" s="242"/>
      <c r="L215" s="241" t="s">
        <v>110</v>
      </c>
      <c r="N215" s="241" t="s">
        <v>290</v>
      </c>
      <c r="O215" s="241" t="s">
        <v>291</v>
      </c>
      <c r="P215" s="241" t="s">
        <v>181</v>
      </c>
      <c r="S215" s="241">
        <f>YEAR(I215)</f>
        <v>2025</v>
      </c>
      <c r="Z215" s="240"/>
      <c r="AA215" s="240"/>
      <c r="AB215" s="240"/>
      <c r="AC215" s="240"/>
    </row>
    <row r="216" spans="1:29">
      <c r="A216" s="241" t="s">
        <v>105</v>
      </c>
      <c r="B216" s="241" t="s">
        <v>106</v>
      </c>
      <c r="C216" s="241" t="s">
        <v>157</v>
      </c>
      <c r="D216" s="241" t="s">
        <v>108</v>
      </c>
      <c r="E216" s="241">
        <v>1.0103333569999999</v>
      </c>
      <c r="G216" s="241" t="s">
        <v>109</v>
      </c>
      <c r="H216" s="241">
        <v>1</v>
      </c>
      <c r="I216" s="242">
        <v>46023</v>
      </c>
      <c r="J216" s="242"/>
      <c r="L216" s="241" t="s">
        <v>110</v>
      </c>
      <c r="N216" s="241" t="s">
        <v>290</v>
      </c>
      <c r="O216" s="241" t="s">
        <v>291</v>
      </c>
      <c r="P216" s="241" t="s">
        <v>181</v>
      </c>
      <c r="S216" s="241">
        <f t="shared" ref="S216:S235" si="3">YEAR(I216)</f>
        <v>2026</v>
      </c>
      <c r="Z216" s="240"/>
      <c r="AA216" s="240"/>
      <c r="AB216" s="240"/>
      <c r="AC216" s="240"/>
    </row>
    <row r="217" spans="1:29">
      <c r="A217" s="241" t="s">
        <v>105</v>
      </c>
      <c r="B217" s="241" t="s">
        <v>106</v>
      </c>
      <c r="C217" s="241" t="s">
        <v>157</v>
      </c>
      <c r="D217" s="241" t="s">
        <v>108</v>
      </c>
      <c r="E217" s="241">
        <v>1</v>
      </c>
      <c r="G217" s="241" t="s">
        <v>109</v>
      </c>
      <c r="H217" s="241">
        <v>1</v>
      </c>
      <c r="I217" s="242">
        <v>46388</v>
      </c>
      <c r="J217" s="242"/>
      <c r="L217" s="241" t="s">
        <v>110</v>
      </c>
      <c r="N217" s="241" t="s">
        <v>290</v>
      </c>
      <c r="O217" s="241" t="s">
        <v>291</v>
      </c>
      <c r="P217" s="241" t="s">
        <v>181</v>
      </c>
      <c r="S217" s="241">
        <f t="shared" si="3"/>
        <v>2027</v>
      </c>
      <c r="Z217" s="240"/>
      <c r="AA217" s="240"/>
      <c r="AB217" s="240"/>
      <c r="AC217" s="240"/>
    </row>
    <row r="218" spans="1:29">
      <c r="A218" s="241" t="s">
        <v>105</v>
      </c>
      <c r="B218" s="241" t="s">
        <v>106</v>
      </c>
      <c r="C218" s="241" t="s">
        <v>157</v>
      </c>
      <c r="D218" s="241" t="s">
        <v>108</v>
      </c>
      <c r="E218" s="241">
        <v>0.98873323999999996</v>
      </c>
      <c r="G218" s="241" t="s">
        <v>109</v>
      </c>
      <c r="H218" s="241">
        <v>1</v>
      </c>
      <c r="I218" s="242">
        <v>46753</v>
      </c>
      <c r="J218" s="242"/>
      <c r="L218" s="241" t="s">
        <v>110</v>
      </c>
      <c r="N218" s="241" t="s">
        <v>290</v>
      </c>
      <c r="O218" s="241" t="s">
        <v>291</v>
      </c>
      <c r="P218" s="241" t="s">
        <v>181</v>
      </c>
      <c r="S218" s="241">
        <f t="shared" si="3"/>
        <v>2028</v>
      </c>
    </row>
    <row r="219" spans="1:29">
      <c r="A219" s="241" t="s">
        <v>105</v>
      </c>
      <c r="B219" s="241" t="s">
        <v>106</v>
      </c>
      <c r="C219" s="241" t="s">
        <v>157</v>
      </c>
      <c r="D219" s="241" t="s">
        <v>108</v>
      </c>
      <c r="E219" s="241">
        <v>0.97649688099999998</v>
      </c>
      <c r="G219" s="241" t="s">
        <v>109</v>
      </c>
      <c r="H219" s="241">
        <v>1</v>
      </c>
      <c r="I219" s="242">
        <v>47119</v>
      </c>
      <c r="J219" s="242"/>
      <c r="L219" s="241" t="s">
        <v>110</v>
      </c>
      <c r="N219" s="241" t="s">
        <v>290</v>
      </c>
      <c r="O219" s="241" t="s">
        <v>291</v>
      </c>
      <c r="P219" s="241" t="s">
        <v>181</v>
      </c>
      <c r="S219" s="241">
        <f t="shared" si="3"/>
        <v>2029</v>
      </c>
    </row>
    <row r="220" spans="1:29">
      <c r="A220" s="241" t="s">
        <v>105</v>
      </c>
      <c r="B220" s="241" t="s">
        <v>106</v>
      </c>
      <c r="C220" s="241" t="s">
        <v>157</v>
      </c>
      <c r="D220" s="241" t="s">
        <v>108</v>
      </c>
      <c r="E220" s="241">
        <v>0.96325351599999998</v>
      </c>
      <c r="G220" s="241" t="s">
        <v>109</v>
      </c>
      <c r="H220" s="241">
        <v>1</v>
      </c>
      <c r="I220" s="242">
        <v>47484</v>
      </c>
      <c r="J220" s="242"/>
      <c r="L220" s="241" t="s">
        <v>110</v>
      </c>
      <c r="N220" s="241" t="s">
        <v>290</v>
      </c>
      <c r="O220" s="241" t="s">
        <v>291</v>
      </c>
      <c r="P220" s="241" t="s">
        <v>181</v>
      </c>
      <c r="S220" s="241">
        <f t="shared" si="3"/>
        <v>2030</v>
      </c>
    </row>
    <row r="221" spans="1:29">
      <c r="A221" s="241" t="s">
        <v>105</v>
      </c>
      <c r="B221" s="241" t="s">
        <v>106</v>
      </c>
      <c r="C221" s="241" t="s">
        <v>157</v>
      </c>
      <c r="D221" s="241" t="s">
        <v>108</v>
      </c>
      <c r="E221" s="241">
        <v>0.970156354</v>
      </c>
      <c r="G221" s="241" t="s">
        <v>109</v>
      </c>
      <c r="H221" s="241">
        <v>1</v>
      </c>
      <c r="I221" s="242">
        <v>47849</v>
      </c>
      <c r="J221" s="242"/>
      <c r="L221" s="241" t="s">
        <v>110</v>
      </c>
      <c r="N221" s="241" t="s">
        <v>290</v>
      </c>
      <c r="O221" s="241" t="s">
        <v>291</v>
      </c>
      <c r="P221" s="241" t="s">
        <v>181</v>
      </c>
      <c r="S221" s="241">
        <f t="shared" si="3"/>
        <v>2031</v>
      </c>
    </row>
    <row r="222" spans="1:29">
      <c r="A222" s="241" t="s">
        <v>105</v>
      </c>
      <c r="B222" s="241" t="s">
        <v>106</v>
      </c>
      <c r="C222" s="241" t="s">
        <v>157</v>
      </c>
      <c r="D222" s="241" t="s">
        <v>108</v>
      </c>
      <c r="E222" s="241">
        <v>0.97690282699999997</v>
      </c>
      <c r="G222" s="241" t="s">
        <v>109</v>
      </c>
      <c r="H222" s="241">
        <v>1</v>
      </c>
      <c r="I222" s="242">
        <v>48214</v>
      </c>
      <c r="J222" s="242"/>
      <c r="L222" s="241" t="s">
        <v>110</v>
      </c>
      <c r="N222" s="241" t="s">
        <v>290</v>
      </c>
      <c r="O222" s="241" t="s">
        <v>291</v>
      </c>
      <c r="P222" s="241" t="s">
        <v>181</v>
      </c>
      <c r="S222" s="241">
        <f t="shared" si="3"/>
        <v>2032</v>
      </c>
    </row>
    <row r="223" spans="1:29">
      <c r="A223" s="241" t="s">
        <v>105</v>
      </c>
      <c r="B223" s="241" t="s">
        <v>106</v>
      </c>
      <c r="C223" s="241" t="s">
        <v>157</v>
      </c>
      <c r="D223" s="241" t="s">
        <v>108</v>
      </c>
      <c r="E223" s="241">
        <v>0.98348286600000001</v>
      </c>
      <c r="G223" s="241" t="s">
        <v>109</v>
      </c>
      <c r="H223" s="241">
        <v>1</v>
      </c>
      <c r="I223" s="242">
        <v>48580</v>
      </c>
      <c r="J223" s="242"/>
      <c r="L223" s="241" t="s">
        <v>110</v>
      </c>
      <c r="N223" s="241" t="s">
        <v>290</v>
      </c>
      <c r="O223" s="241" t="s">
        <v>291</v>
      </c>
      <c r="P223" s="241" t="s">
        <v>181</v>
      </c>
      <c r="S223" s="241">
        <f t="shared" si="3"/>
        <v>2033</v>
      </c>
    </row>
    <row r="224" spans="1:29">
      <c r="A224" s="241" t="s">
        <v>105</v>
      </c>
      <c r="B224" s="241" t="s">
        <v>106</v>
      </c>
      <c r="C224" s="241" t="s">
        <v>157</v>
      </c>
      <c r="D224" s="241" t="s">
        <v>108</v>
      </c>
      <c r="E224" s="241">
        <v>0.98988603799999997</v>
      </c>
      <c r="G224" s="241" t="s">
        <v>109</v>
      </c>
      <c r="H224" s="241">
        <v>1</v>
      </c>
      <c r="I224" s="242">
        <v>48945</v>
      </c>
      <c r="J224" s="242"/>
      <c r="L224" s="241" t="s">
        <v>110</v>
      </c>
      <c r="N224" s="241" t="s">
        <v>290</v>
      </c>
      <c r="O224" s="241" t="s">
        <v>291</v>
      </c>
      <c r="P224" s="241" t="s">
        <v>181</v>
      </c>
      <c r="S224" s="241">
        <f t="shared" si="3"/>
        <v>2034</v>
      </c>
    </row>
    <row r="225" spans="1:19">
      <c r="A225" s="241" t="s">
        <v>105</v>
      </c>
      <c r="B225" s="241" t="s">
        <v>106</v>
      </c>
      <c r="C225" s="241" t="s">
        <v>157</v>
      </c>
      <c r="D225" s="241" t="s">
        <v>108</v>
      </c>
      <c r="E225" s="241">
        <v>0.99610153400000001</v>
      </c>
      <c r="G225" s="241" t="s">
        <v>109</v>
      </c>
      <c r="H225" s="241">
        <v>1</v>
      </c>
      <c r="I225" s="242">
        <v>49310</v>
      </c>
      <c r="J225" s="242"/>
      <c r="L225" s="241" t="s">
        <v>110</v>
      </c>
      <c r="N225" s="241" t="s">
        <v>290</v>
      </c>
      <c r="O225" s="241" t="s">
        <v>291</v>
      </c>
      <c r="P225" s="241" t="s">
        <v>181</v>
      </c>
      <c r="S225" s="241">
        <f t="shared" si="3"/>
        <v>2035</v>
      </c>
    </row>
    <row r="226" spans="1:19">
      <c r="A226" s="241" t="s">
        <v>105</v>
      </c>
      <c r="B226" s="241" t="s">
        <v>106</v>
      </c>
      <c r="C226" s="241" t="s">
        <v>157</v>
      </c>
      <c r="D226" s="241" t="s">
        <v>108</v>
      </c>
      <c r="E226" s="241">
        <v>1.0021181649999999</v>
      </c>
      <c r="G226" s="241" t="s">
        <v>109</v>
      </c>
      <c r="H226" s="241">
        <v>1</v>
      </c>
      <c r="I226" s="242">
        <v>49675</v>
      </c>
      <c r="J226" s="242"/>
      <c r="L226" s="241" t="s">
        <v>110</v>
      </c>
      <c r="N226" s="241" t="s">
        <v>290</v>
      </c>
      <c r="O226" s="241" t="s">
        <v>291</v>
      </c>
      <c r="P226" s="241" t="s">
        <v>181</v>
      </c>
      <c r="S226" s="241">
        <f t="shared" si="3"/>
        <v>2036</v>
      </c>
    </row>
    <row r="227" spans="1:19">
      <c r="A227" s="241" t="s">
        <v>105</v>
      </c>
      <c r="B227" s="241" t="s">
        <v>106</v>
      </c>
      <c r="C227" s="241" t="s">
        <v>157</v>
      </c>
      <c r="D227" s="241" t="s">
        <v>108</v>
      </c>
      <c r="E227" s="241">
        <v>1.0079243410000001</v>
      </c>
      <c r="G227" s="241" t="s">
        <v>109</v>
      </c>
      <c r="H227" s="241">
        <v>1</v>
      </c>
      <c r="I227" s="242">
        <v>50041</v>
      </c>
      <c r="J227" s="242"/>
      <c r="L227" s="241" t="s">
        <v>110</v>
      </c>
      <c r="N227" s="241" t="s">
        <v>290</v>
      </c>
      <c r="O227" s="241" t="s">
        <v>291</v>
      </c>
      <c r="P227" s="241" t="s">
        <v>181</v>
      </c>
      <c r="S227" s="241">
        <f t="shared" si="3"/>
        <v>2037</v>
      </c>
    </row>
    <row r="228" spans="1:19">
      <c r="A228" s="241" t="s">
        <v>105</v>
      </c>
      <c r="B228" s="241" t="s">
        <v>106</v>
      </c>
      <c r="C228" s="241" t="s">
        <v>157</v>
      </c>
      <c r="D228" s="241" t="s">
        <v>108</v>
      </c>
      <c r="E228" s="241">
        <v>1.0135080670000001</v>
      </c>
      <c r="G228" s="241" t="s">
        <v>109</v>
      </c>
      <c r="H228" s="241">
        <v>1</v>
      </c>
      <c r="I228" s="242">
        <v>50406</v>
      </c>
      <c r="J228" s="242"/>
      <c r="L228" s="241" t="s">
        <v>110</v>
      </c>
      <c r="N228" s="241" t="s">
        <v>290</v>
      </c>
      <c r="O228" s="241" t="s">
        <v>291</v>
      </c>
      <c r="P228" s="241" t="s">
        <v>181</v>
      </c>
      <c r="S228" s="241">
        <f t="shared" si="3"/>
        <v>2038</v>
      </c>
    </row>
    <row r="229" spans="1:19">
      <c r="A229" s="241" t="s">
        <v>105</v>
      </c>
      <c r="B229" s="241" t="s">
        <v>106</v>
      </c>
      <c r="C229" s="241" t="s">
        <v>157</v>
      </c>
      <c r="D229" s="241" t="s">
        <v>108</v>
      </c>
      <c r="E229" s="241">
        <v>1.0188569270000001</v>
      </c>
      <c r="G229" s="241" t="s">
        <v>109</v>
      </c>
      <c r="H229" s="241">
        <v>1</v>
      </c>
      <c r="I229" s="242">
        <v>50771</v>
      </c>
      <c r="J229" s="242"/>
      <c r="L229" s="241" t="s">
        <v>110</v>
      </c>
      <c r="N229" s="241" t="s">
        <v>290</v>
      </c>
      <c r="O229" s="241" t="s">
        <v>291</v>
      </c>
      <c r="P229" s="241" t="s">
        <v>181</v>
      </c>
      <c r="S229" s="241">
        <f t="shared" si="3"/>
        <v>2039</v>
      </c>
    </row>
    <row r="230" spans="1:19">
      <c r="A230" s="241" t="s">
        <v>105</v>
      </c>
      <c r="B230" s="241" t="s">
        <v>106</v>
      </c>
      <c r="C230" s="241" t="s">
        <v>157</v>
      </c>
      <c r="D230" s="241" t="s">
        <v>108</v>
      </c>
      <c r="E230" s="241">
        <v>1.0239580720000001</v>
      </c>
      <c r="G230" s="241" t="s">
        <v>109</v>
      </c>
      <c r="H230" s="241">
        <v>1</v>
      </c>
      <c r="I230" s="242">
        <v>51136</v>
      </c>
      <c r="J230" s="242"/>
      <c r="L230" s="241" t="s">
        <v>110</v>
      </c>
      <c r="N230" s="241" t="s">
        <v>290</v>
      </c>
      <c r="O230" s="241" t="s">
        <v>291</v>
      </c>
      <c r="P230" s="241" t="s">
        <v>181</v>
      </c>
      <c r="S230" s="241">
        <f t="shared" si="3"/>
        <v>2040</v>
      </c>
    </row>
    <row r="231" spans="1:19">
      <c r="A231" s="241" t="s">
        <v>105</v>
      </c>
      <c r="B231" s="241" t="s">
        <v>106</v>
      </c>
      <c r="C231" s="241" t="s">
        <v>157</v>
      </c>
      <c r="D231" s="241" t="s">
        <v>108</v>
      </c>
      <c r="E231" s="241">
        <v>1.028798208</v>
      </c>
      <c r="G231" s="241" t="s">
        <v>109</v>
      </c>
      <c r="H231" s="241">
        <v>1</v>
      </c>
      <c r="I231" s="242">
        <v>51502</v>
      </c>
      <c r="J231" s="242"/>
      <c r="L231" s="241" t="s">
        <v>110</v>
      </c>
      <c r="N231" s="241" t="s">
        <v>290</v>
      </c>
      <c r="O231" s="241" t="s">
        <v>291</v>
      </c>
      <c r="P231" s="241" t="s">
        <v>181</v>
      </c>
      <c r="S231" s="241">
        <f t="shared" si="3"/>
        <v>2041</v>
      </c>
    </row>
    <row r="232" spans="1:19">
      <c r="A232" s="241" t="s">
        <v>105</v>
      </c>
      <c r="B232" s="241" t="s">
        <v>106</v>
      </c>
      <c r="C232" s="241" t="s">
        <v>157</v>
      </c>
      <c r="D232" s="241" t="s">
        <v>108</v>
      </c>
      <c r="E232" s="241">
        <v>1.0333635839999999</v>
      </c>
      <c r="G232" s="241" t="s">
        <v>109</v>
      </c>
      <c r="H232" s="241">
        <v>1</v>
      </c>
      <c r="I232" s="242">
        <v>51867</v>
      </c>
      <c r="J232" s="242"/>
      <c r="L232" s="241" t="s">
        <v>110</v>
      </c>
      <c r="N232" s="241" t="s">
        <v>290</v>
      </c>
      <c r="O232" s="241" t="s">
        <v>291</v>
      </c>
      <c r="P232" s="241" t="s">
        <v>181</v>
      </c>
      <c r="S232" s="241">
        <f t="shared" si="3"/>
        <v>2042</v>
      </c>
    </row>
    <row r="233" spans="1:19">
      <c r="A233" s="241" t="s">
        <v>105</v>
      </c>
      <c r="B233" s="241" t="s">
        <v>106</v>
      </c>
      <c r="C233" s="241" t="s">
        <v>157</v>
      </c>
      <c r="D233" s="241" t="s">
        <v>108</v>
      </c>
      <c r="E233" s="241">
        <v>1.037639977</v>
      </c>
      <c r="G233" s="241" t="s">
        <v>109</v>
      </c>
      <c r="H233" s="241">
        <v>1</v>
      </c>
      <c r="I233" s="242">
        <v>52232</v>
      </c>
      <c r="J233" s="242"/>
      <c r="L233" s="241" t="s">
        <v>110</v>
      </c>
      <c r="N233" s="241" t="s">
        <v>290</v>
      </c>
      <c r="O233" s="241" t="s">
        <v>291</v>
      </c>
      <c r="P233" s="241" t="s">
        <v>181</v>
      </c>
      <c r="S233" s="241">
        <f t="shared" si="3"/>
        <v>2043</v>
      </c>
    </row>
    <row r="234" spans="1:19">
      <c r="A234" s="241" t="s">
        <v>105</v>
      </c>
      <c r="B234" s="241" t="s">
        <v>106</v>
      </c>
      <c r="C234" s="241" t="s">
        <v>157</v>
      </c>
      <c r="D234" s="241" t="s">
        <v>108</v>
      </c>
      <c r="E234" s="241">
        <v>1.041612677</v>
      </c>
      <c r="G234" s="241" t="s">
        <v>109</v>
      </c>
      <c r="H234" s="241">
        <v>1</v>
      </c>
      <c r="I234" s="242">
        <v>52597</v>
      </c>
      <c r="J234" s="242"/>
      <c r="L234" s="241" t="s">
        <v>110</v>
      </c>
      <c r="N234" s="241" t="s">
        <v>290</v>
      </c>
      <c r="O234" s="241" t="s">
        <v>291</v>
      </c>
      <c r="P234" s="241" t="s">
        <v>181</v>
      </c>
      <c r="S234" s="241">
        <f t="shared" si="3"/>
        <v>2044</v>
      </c>
    </row>
    <row r="235" spans="1:19">
      <c r="A235" s="241" t="s">
        <v>105</v>
      </c>
      <c r="B235" s="241" t="s">
        <v>106</v>
      </c>
      <c r="C235" s="241" t="s">
        <v>157</v>
      </c>
      <c r="D235" s="241" t="s">
        <v>108</v>
      </c>
      <c r="E235" s="241">
        <v>1.045266477</v>
      </c>
      <c r="G235" s="241" t="s">
        <v>109</v>
      </c>
      <c r="H235" s="241">
        <v>1</v>
      </c>
      <c r="I235" s="242">
        <v>52963</v>
      </c>
      <c r="J235" s="242"/>
      <c r="L235" s="241" t="s">
        <v>110</v>
      </c>
      <c r="N235" s="241" t="s">
        <v>290</v>
      </c>
      <c r="O235" s="241" t="s">
        <v>291</v>
      </c>
      <c r="P235" s="241" t="s">
        <v>181</v>
      </c>
      <c r="S235" s="241">
        <f t="shared" si="3"/>
        <v>2045</v>
      </c>
    </row>
    <row r="237" spans="1:19" s="239" customFormat="1">
      <c r="A237" s="239" t="s">
        <v>89</v>
      </c>
      <c r="B237" s="239" t="s">
        <v>90</v>
      </c>
      <c r="C237" s="239" t="s">
        <v>91</v>
      </c>
      <c r="D237" s="239" t="s">
        <v>92</v>
      </c>
      <c r="E237" s="239" t="s">
        <v>93</v>
      </c>
      <c r="F237" s="239" t="s">
        <v>94</v>
      </c>
      <c r="G237" s="239" t="s">
        <v>95</v>
      </c>
      <c r="H237" s="239" t="s">
        <v>96</v>
      </c>
      <c r="I237" s="239" t="s">
        <v>97</v>
      </c>
      <c r="J237" s="239" t="s">
        <v>98</v>
      </c>
      <c r="K237" s="239" t="s">
        <v>99</v>
      </c>
      <c r="L237" s="239" t="s">
        <v>100</v>
      </c>
      <c r="M237" s="239" t="s">
        <v>101</v>
      </c>
      <c r="N237" s="239" t="s">
        <v>102</v>
      </c>
      <c r="O237" s="239" t="s">
        <v>103</v>
      </c>
      <c r="P237" s="239" t="s">
        <v>104</v>
      </c>
      <c r="S237" s="239" t="s">
        <v>0</v>
      </c>
    </row>
    <row r="238" spans="1:19">
      <c r="A238" s="241" t="s">
        <v>105</v>
      </c>
      <c r="B238" s="241" t="s">
        <v>106</v>
      </c>
      <c r="C238" s="241" t="s">
        <v>147</v>
      </c>
      <c r="D238" s="241" t="s">
        <v>108</v>
      </c>
      <c r="E238" s="241">
        <v>1.000535835</v>
      </c>
      <c r="G238" s="241" t="s">
        <v>109</v>
      </c>
      <c r="H238" s="241">
        <v>1</v>
      </c>
      <c r="I238" s="242">
        <v>45658</v>
      </c>
      <c r="J238" s="242"/>
      <c r="L238" s="241" t="s">
        <v>110</v>
      </c>
      <c r="N238" s="241" t="s">
        <v>290</v>
      </c>
      <c r="O238" s="241" t="s">
        <v>291</v>
      </c>
      <c r="P238" s="241" t="s">
        <v>181</v>
      </c>
      <c r="S238" s="241">
        <f>YEAR(I238)</f>
        <v>2025</v>
      </c>
    </row>
    <row r="239" spans="1:19">
      <c r="A239" s="241" t="s">
        <v>105</v>
      </c>
      <c r="B239" s="241" t="s">
        <v>106</v>
      </c>
      <c r="C239" s="241" t="s">
        <v>147</v>
      </c>
      <c r="D239" s="241" t="s">
        <v>108</v>
      </c>
      <c r="E239" s="241">
        <v>1.0013485790000001</v>
      </c>
      <c r="G239" s="241" t="s">
        <v>109</v>
      </c>
      <c r="H239" s="241">
        <v>1</v>
      </c>
      <c r="I239" s="242">
        <v>46023</v>
      </c>
      <c r="J239" s="242"/>
      <c r="L239" s="241" t="s">
        <v>110</v>
      </c>
      <c r="N239" s="241" t="s">
        <v>290</v>
      </c>
      <c r="O239" s="241" t="s">
        <v>291</v>
      </c>
      <c r="P239" s="241" t="s">
        <v>181</v>
      </c>
      <c r="S239" s="241">
        <f t="shared" ref="S239:S258" si="4">YEAR(I239)</f>
        <v>2026</v>
      </c>
    </row>
    <row r="240" spans="1:19">
      <c r="A240" s="241" t="s">
        <v>105</v>
      </c>
      <c r="B240" s="241" t="s">
        <v>106</v>
      </c>
      <c r="C240" s="241" t="s">
        <v>147</v>
      </c>
      <c r="D240" s="241" t="s">
        <v>108</v>
      </c>
      <c r="E240" s="241">
        <v>1.001721265</v>
      </c>
      <c r="G240" s="241" t="s">
        <v>109</v>
      </c>
      <c r="H240" s="241">
        <v>1</v>
      </c>
      <c r="I240" s="242">
        <v>46388</v>
      </c>
      <c r="J240" s="242"/>
      <c r="L240" s="241" t="s">
        <v>110</v>
      </c>
      <c r="N240" s="241" t="s">
        <v>290</v>
      </c>
      <c r="O240" s="241" t="s">
        <v>291</v>
      </c>
      <c r="P240" s="241" t="s">
        <v>181</v>
      </c>
      <c r="S240" s="241">
        <f t="shared" si="4"/>
        <v>2027</v>
      </c>
    </row>
    <row r="241" spans="1:19">
      <c r="A241" s="241" t="s">
        <v>105</v>
      </c>
      <c r="B241" s="241" t="s">
        <v>106</v>
      </c>
      <c r="C241" s="241" t="s">
        <v>147</v>
      </c>
      <c r="D241" s="241" t="s">
        <v>108</v>
      </c>
      <c r="E241" s="241">
        <v>1.0016343190000001</v>
      </c>
      <c r="G241" s="241" t="s">
        <v>109</v>
      </c>
      <c r="H241" s="241">
        <v>1</v>
      </c>
      <c r="I241" s="242">
        <v>46753</v>
      </c>
      <c r="J241" s="242"/>
      <c r="L241" s="241" t="s">
        <v>110</v>
      </c>
      <c r="N241" s="241" t="s">
        <v>290</v>
      </c>
      <c r="O241" s="241" t="s">
        <v>291</v>
      </c>
      <c r="P241" s="241" t="s">
        <v>181</v>
      </c>
      <c r="S241" s="241">
        <f t="shared" si="4"/>
        <v>2028</v>
      </c>
    </row>
    <row r="242" spans="1:19">
      <c r="A242" s="241" t="s">
        <v>105</v>
      </c>
      <c r="B242" s="241" t="s">
        <v>106</v>
      </c>
      <c r="C242" s="241" t="s">
        <v>147</v>
      </c>
      <c r="D242" s="241" t="s">
        <v>108</v>
      </c>
      <c r="E242" s="241">
        <v>1.001067524</v>
      </c>
      <c r="G242" s="241" t="s">
        <v>109</v>
      </c>
      <c r="H242" s="241">
        <v>1</v>
      </c>
      <c r="I242" s="242">
        <v>47119</v>
      </c>
      <c r="J242" s="242"/>
      <c r="L242" s="241" t="s">
        <v>110</v>
      </c>
      <c r="N242" s="241" t="s">
        <v>290</v>
      </c>
      <c r="O242" s="241" t="s">
        <v>291</v>
      </c>
      <c r="P242" s="241" t="s">
        <v>181</v>
      </c>
      <c r="S242" s="241">
        <f t="shared" si="4"/>
        <v>2029</v>
      </c>
    </row>
    <row r="243" spans="1:19">
      <c r="A243" s="241" t="s">
        <v>105</v>
      </c>
      <c r="B243" s="241" t="s">
        <v>106</v>
      </c>
      <c r="C243" s="241" t="s">
        <v>147</v>
      </c>
      <c r="D243" s="241" t="s">
        <v>108</v>
      </c>
      <c r="E243" s="241">
        <v>1</v>
      </c>
      <c r="G243" s="241" t="s">
        <v>109</v>
      </c>
      <c r="H243" s="241">
        <v>1</v>
      </c>
      <c r="I243" s="242">
        <v>47484</v>
      </c>
      <c r="J243" s="242"/>
      <c r="L243" s="241" t="s">
        <v>110</v>
      </c>
      <c r="N243" s="241" t="s">
        <v>290</v>
      </c>
      <c r="O243" s="241" t="s">
        <v>291</v>
      </c>
      <c r="P243" s="241" t="s">
        <v>181</v>
      </c>
      <c r="S243" s="241">
        <f t="shared" si="4"/>
        <v>2030</v>
      </c>
    </row>
    <row r="244" spans="1:19">
      <c r="A244" s="241" t="s">
        <v>105</v>
      </c>
      <c r="B244" s="241" t="s">
        <v>106</v>
      </c>
      <c r="C244" s="241" t="s">
        <v>147</v>
      </c>
      <c r="D244" s="241" t="s">
        <v>108</v>
      </c>
      <c r="E244" s="241">
        <v>1.0111663580000001</v>
      </c>
      <c r="G244" s="241" t="s">
        <v>109</v>
      </c>
      <c r="H244" s="241">
        <v>1</v>
      </c>
      <c r="I244" s="242">
        <v>47849</v>
      </c>
      <c r="J244" s="242"/>
      <c r="L244" s="241" t="s">
        <v>110</v>
      </c>
      <c r="N244" s="241" t="s">
        <v>290</v>
      </c>
      <c r="O244" s="241" t="s">
        <v>291</v>
      </c>
      <c r="P244" s="241" t="s">
        <v>181</v>
      </c>
      <c r="S244" s="241">
        <f t="shared" si="4"/>
        <v>2031</v>
      </c>
    </row>
    <row r="245" spans="1:19">
      <c r="A245" s="241" t="s">
        <v>105</v>
      </c>
      <c r="B245" s="241" t="s">
        <v>106</v>
      </c>
      <c r="C245" s="241" t="s">
        <v>147</v>
      </c>
      <c r="D245" s="241" t="s">
        <v>108</v>
      </c>
      <c r="E245" s="241">
        <v>1.0223443299999999</v>
      </c>
      <c r="G245" s="241" t="s">
        <v>109</v>
      </c>
      <c r="H245" s="241">
        <v>1</v>
      </c>
      <c r="I245" s="242">
        <v>48214</v>
      </c>
      <c r="J245" s="242"/>
      <c r="L245" s="241" t="s">
        <v>110</v>
      </c>
      <c r="N245" s="241" t="s">
        <v>290</v>
      </c>
      <c r="O245" s="241" t="s">
        <v>291</v>
      </c>
      <c r="P245" s="241" t="s">
        <v>181</v>
      </c>
      <c r="S245" s="241">
        <f t="shared" si="4"/>
        <v>2032</v>
      </c>
    </row>
    <row r="246" spans="1:19">
      <c r="A246" s="241" t="s">
        <v>105</v>
      </c>
      <c r="B246" s="241" t="s">
        <v>106</v>
      </c>
      <c r="C246" s="241" t="s">
        <v>147</v>
      </c>
      <c r="D246" s="241" t="s">
        <v>108</v>
      </c>
      <c r="E246" s="241">
        <v>1.033529114</v>
      </c>
      <c r="G246" s="241" t="s">
        <v>109</v>
      </c>
      <c r="H246" s="241">
        <v>1</v>
      </c>
      <c r="I246" s="242">
        <v>48580</v>
      </c>
      <c r="J246" s="242"/>
      <c r="L246" s="241" t="s">
        <v>110</v>
      </c>
      <c r="N246" s="241" t="s">
        <v>290</v>
      </c>
      <c r="O246" s="241" t="s">
        <v>291</v>
      </c>
      <c r="P246" s="241" t="s">
        <v>181</v>
      </c>
      <c r="S246" s="241">
        <f t="shared" si="4"/>
        <v>2033</v>
      </c>
    </row>
    <row r="247" spans="1:19">
      <c r="A247" s="241" t="s">
        <v>105</v>
      </c>
      <c r="B247" s="241" t="s">
        <v>106</v>
      </c>
      <c r="C247" s="241" t="s">
        <v>147</v>
      </c>
      <c r="D247" s="241" t="s">
        <v>108</v>
      </c>
      <c r="E247" s="241">
        <v>1.0447156959999999</v>
      </c>
      <c r="G247" s="241" t="s">
        <v>109</v>
      </c>
      <c r="H247" s="241">
        <v>1</v>
      </c>
      <c r="I247" s="242">
        <v>48945</v>
      </c>
      <c r="J247" s="242"/>
      <c r="L247" s="241" t="s">
        <v>110</v>
      </c>
      <c r="N247" s="241" t="s">
        <v>290</v>
      </c>
      <c r="O247" s="241" t="s">
        <v>291</v>
      </c>
      <c r="P247" s="241" t="s">
        <v>181</v>
      </c>
      <c r="S247" s="241">
        <f t="shared" si="4"/>
        <v>2034</v>
      </c>
    </row>
    <row r="248" spans="1:19">
      <c r="A248" s="241" t="s">
        <v>105</v>
      </c>
      <c r="B248" s="241" t="s">
        <v>106</v>
      </c>
      <c r="C248" s="241" t="s">
        <v>147</v>
      </c>
      <c r="D248" s="241" t="s">
        <v>108</v>
      </c>
      <c r="E248" s="241">
        <v>1.0558988380000001</v>
      </c>
      <c r="G248" s="241" t="s">
        <v>109</v>
      </c>
      <c r="H248" s="241">
        <v>1</v>
      </c>
      <c r="I248" s="242">
        <v>49310</v>
      </c>
      <c r="J248" s="242"/>
      <c r="L248" s="241" t="s">
        <v>110</v>
      </c>
      <c r="N248" s="241" t="s">
        <v>290</v>
      </c>
      <c r="O248" s="241" t="s">
        <v>291</v>
      </c>
      <c r="P248" s="241" t="s">
        <v>181</v>
      </c>
      <c r="S248" s="241">
        <f t="shared" si="4"/>
        <v>2035</v>
      </c>
    </row>
    <row r="249" spans="1:19">
      <c r="A249" s="241" t="s">
        <v>105</v>
      </c>
      <c r="B249" s="241" t="s">
        <v>106</v>
      </c>
      <c r="C249" s="241" t="s">
        <v>147</v>
      </c>
      <c r="D249" s="241" t="s">
        <v>108</v>
      </c>
      <c r="E249" s="241">
        <v>1.0670730749999999</v>
      </c>
      <c r="G249" s="241" t="s">
        <v>109</v>
      </c>
      <c r="H249" s="241">
        <v>1</v>
      </c>
      <c r="I249" s="242">
        <v>49675</v>
      </c>
      <c r="J249" s="242"/>
      <c r="L249" s="241" t="s">
        <v>110</v>
      </c>
      <c r="N249" s="241" t="s">
        <v>290</v>
      </c>
      <c r="O249" s="241" t="s">
        <v>291</v>
      </c>
      <c r="P249" s="241" t="s">
        <v>181</v>
      </c>
      <c r="S249" s="241">
        <f t="shared" si="4"/>
        <v>2036</v>
      </c>
    </row>
    <row r="250" spans="1:19">
      <c r="A250" s="241" t="s">
        <v>105</v>
      </c>
      <c r="B250" s="241" t="s">
        <v>106</v>
      </c>
      <c r="C250" s="241" t="s">
        <v>147</v>
      </c>
      <c r="D250" s="241" t="s">
        <v>108</v>
      </c>
      <c r="E250" s="241">
        <v>1.0782327039999999</v>
      </c>
      <c r="G250" s="241" t="s">
        <v>109</v>
      </c>
      <c r="H250" s="241">
        <v>1</v>
      </c>
      <c r="I250" s="242">
        <v>50041</v>
      </c>
      <c r="J250" s="242"/>
      <c r="L250" s="241" t="s">
        <v>110</v>
      </c>
      <c r="N250" s="241" t="s">
        <v>290</v>
      </c>
      <c r="O250" s="241" t="s">
        <v>291</v>
      </c>
      <c r="P250" s="241" t="s">
        <v>181</v>
      </c>
      <c r="S250" s="241">
        <f t="shared" si="4"/>
        <v>2037</v>
      </c>
    </row>
    <row r="251" spans="1:19">
      <c r="A251" s="241" t="s">
        <v>105</v>
      </c>
      <c r="B251" s="241" t="s">
        <v>106</v>
      </c>
      <c r="C251" s="241" t="s">
        <v>147</v>
      </c>
      <c r="D251" s="241" t="s">
        <v>108</v>
      </c>
      <c r="E251" s="241">
        <v>1.0893717759999999</v>
      </c>
      <c r="G251" s="241" t="s">
        <v>109</v>
      </c>
      <c r="H251" s="241">
        <v>1</v>
      </c>
      <c r="I251" s="242">
        <v>50406</v>
      </c>
      <c r="J251" s="242"/>
      <c r="L251" s="241" t="s">
        <v>110</v>
      </c>
      <c r="N251" s="241" t="s">
        <v>290</v>
      </c>
      <c r="O251" s="241" t="s">
        <v>291</v>
      </c>
      <c r="P251" s="241" t="s">
        <v>181</v>
      </c>
      <c r="S251" s="241">
        <f t="shared" si="4"/>
        <v>2038</v>
      </c>
    </row>
    <row r="252" spans="1:19">
      <c r="A252" s="241" t="s">
        <v>105</v>
      </c>
      <c r="B252" s="241" t="s">
        <v>106</v>
      </c>
      <c r="C252" s="241" t="s">
        <v>147</v>
      </c>
      <c r="D252" s="241" t="s">
        <v>108</v>
      </c>
      <c r="E252" s="241">
        <v>1.1004840920000001</v>
      </c>
      <c r="G252" s="241" t="s">
        <v>109</v>
      </c>
      <c r="H252" s="241">
        <v>1</v>
      </c>
      <c r="I252" s="242">
        <v>50771</v>
      </c>
      <c r="J252" s="242"/>
      <c r="L252" s="241" t="s">
        <v>110</v>
      </c>
      <c r="N252" s="241" t="s">
        <v>290</v>
      </c>
      <c r="O252" s="241" t="s">
        <v>291</v>
      </c>
      <c r="P252" s="241" t="s">
        <v>181</v>
      </c>
      <c r="S252" s="241">
        <f t="shared" si="4"/>
        <v>2039</v>
      </c>
    </row>
    <row r="253" spans="1:19">
      <c r="A253" s="241" t="s">
        <v>105</v>
      </c>
      <c r="B253" s="241" t="s">
        <v>106</v>
      </c>
      <c r="C253" s="241" t="s">
        <v>147</v>
      </c>
      <c r="D253" s="241" t="s">
        <v>108</v>
      </c>
      <c r="E253" s="241">
        <v>1.1115631930000001</v>
      </c>
      <c r="G253" s="241" t="s">
        <v>109</v>
      </c>
      <c r="H253" s="241">
        <v>1</v>
      </c>
      <c r="I253" s="242">
        <v>51136</v>
      </c>
      <c r="J253" s="242"/>
      <c r="L253" s="241" t="s">
        <v>110</v>
      </c>
      <c r="N253" s="241" t="s">
        <v>290</v>
      </c>
      <c r="O253" s="241" t="s">
        <v>291</v>
      </c>
      <c r="P253" s="241" t="s">
        <v>181</v>
      </c>
      <c r="S253" s="241">
        <f t="shared" si="4"/>
        <v>2040</v>
      </c>
    </row>
    <row r="254" spans="1:19">
      <c r="A254" s="241" t="s">
        <v>105</v>
      </c>
      <c r="B254" s="241" t="s">
        <v>106</v>
      </c>
      <c r="C254" s="241" t="s">
        <v>147</v>
      </c>
      <c r="D254" s="241" t="s">
        <v>108</v>
      </c>
      <c r="E254" s="241">
        <v>1.122602348</v>
      </c>
      <c r="G254" s="241" t="s">
        <v>109</v>
      </c>
      <c r="H254" s="241">
        <v>1</v>
      </c>
      <c r="I254" s="242">
        <v>51502</v>
      </c>
      <c r="J254" s="242"/>
      <c r="L254" s="241" t="s">
        <v>110</v>
      </c>
      <c r="N254" s="241" t="s">
        <v>290</v>
      </c>
      <c r="O254" s="241" t="s">
        <v>291</v>
      </c>
      <c r="P254" s="241" t="s">
        <v>181</v>
      </c>
      <c r="S254" s="241">
        <f t="shared" si="4"/>
        <v>2041</v>
      </c>
    </row>
    <row r="255" spans="1:19">
      <c r="A255" s="241" t="s">
        <v>105</v>
      </c>
      <c r="B255" s="241" t="s">
        <v>106</v>
      </c>
      <c r="C255" s="241" t="s">
        <v>147</v>
      </c>
      <c r="D255" s="241" t="s">
        <v>108</v>
      </c>
      <c r="E255" s="241">
        <v>1.1335945510000001</v>
      </c>
      <c r="G255" s="241" t="s">
        <v>109</v>
      </c>
      <c r="H255" s="241">
        <v>1</v>
      </c>
      <c r="I255" s="242">
        <v>51867</v>
      </c>
      <c r="J255" s="242"/>
      <c r="L255" s="241" t="s">
        <v>110</v>
      </c>
      <c r="N255" s="241" t="s">
        <v>290</v>
      </c>
      <c r="O255" s="241" t="s">
        <v>291</v>
      </c>
      <c r="P255" s="241" t="s">
        <v>181</v>
      </c>
      <c r="S255" s="241">
        <f t="shared" si="4"/>
        <v>2042</v>
      </c>
    </row>
    <row r="256" spans="1:19">
      <c r="A256" s="241" t="s">
        <v>105</v>
      </c>
      <c r="B256" s="241" t="s">
        <v>106</v>
      </c>
      <c r="C256" s="241" t="s">
        <v>147</v>
      </c>
      <c r="D256" s="241" t="s">
        <v>108</v>
      </c>
      <c r="E256" s="241">
        <v>1.1445325079999999</v>
      </c>
      <c r="G256" s="241" t="s">
        <v>109</v>
      </c>
      <c r="H256" s="241">
        <v>1</v>
      </c>
      <c r="I256" s="242">
        <v>52232</v>
      </c>
      <c r="J256" s="242"/>
      <c r="L256" s="241" t="s">
        <v>110</v>
      </c>
      <c r="N256" s="241" t="s">
        <v>290</v>
      </c>
      <c r="O256" s="241" t="s">
        <v>291</v>
      </c>
      <c r="P256" s="241" t="s">
        <v>181</v>
      </c>
      <c r="S256" s="241">
        <f t="shared" si="4"/>
        <v>2043</v>
      </c>
    </row>
    <row r="257" spans="1:19">
      <c r="A257" s="241" t="s">
        <v>105</v>
      </c>
      <c r="B257" s="241" t="s">
        <v>106</v>
      </c>
      <c r="C257" s="241" t="s">
        <v>147</v>
      </c>
      <c r="D257" s="241" t="s">
        <v>108</v>
      </c>
      <c r="E257" s="241">
        <v>1.155408631</v>
      </c>
      <c r="G257" s="241" t="s">
        <v>109</v>
      </c>
      <c r="H257" s="241">
        <v>1</v>
      </c>
      <c r="I257" s="242">
        <v>52597</v>
      </c>
      <c r="J257" s="242"/>
      <c r="L257" s="241" t="s">
        <v>110</v>
      </c>
      <c r="N257" s="241" t="s">
        <v>290</v>
      </c>
      <c r="O257" s="241" t="s">
        <v>291</v>
      </c>
      <c r="P257" s="241" t="s">
        <v>181</v>
      </c>
      <c r="S257" s="241">
        <f t="shared" si="4"/>
        <v>2044</v>
      </c>
    </row>
    <row r="258" spans="1:19">
      <c r="A258" s="241" t="s">
        <v>105</v>
      </c>
      <c r="B258" s="241" t="s">
        <v>106</v>
      </c>
      <c r="C258" s="241" t="s">
        <v>147</v>
      </c>
      <c r="D258" s="241" t="s">
        <v>108</v>
      </c>
      <c r="E258" s="241">
        <v>1.1662150259999999</v>
      </c>
      <c r="G258" s="241" t="s">
        <v>109</v>
      </c>
      <c r="H258" s="241">
        <v>1</v>
      </c>
      <c r="I258" s="242">
        <v>52963</v>
      </c>
      <c r="J258" s="242"/>
      <c r="L258" s="241" t="s">
        <v>110</v>
      </c>
      <c r="N258" s="241" t="s">
        <v>290</v>
      </c>
      <c r="O258" s="241" t="s">
        <v>291</v>
      </c>
      <c r="P258" s="241" t="s">
        <v>181</v>
      </c>
      <c r="S258" s="241">
        <f t="shared" si="4"/>
        <v>2045</v>
      </c>
    </row>
    <row r="260" spans="1:19" s="239" customFormat="1">
      <c r="A260" s="239" t="s">
        <v>89</v>
      </c>
      <c r="B260" s="239" t="s">
        <v>90</v>
      </c>
      <c r="C260" s="239" t="s">
        <v>91</v>
      </c>
      <c r="D260" s="239" t="s">
        <v>92</v>
      </c>
      <c r="E260" s="239" t="s">
        <v>93</v>
      </c>
      <c r="F260" s="239" t="s">
        <v>94</v>
      </c>
      <c r="G260" s="239" t="s">
        <v>95</v>
      </c>
      <c r="H260" s="239" t="s">
        <v>96</v>
      </c>
      <c r="I260" s="239" t="s">
        <v>97</v>
      </c>
      <c r="J260" s="239" t="s">
        <v>98</v>
      </c>
      <c r="K260" s="239" t="s">
        <v>99</v>
      </c>
      <c r="L260" s="239" t="s">
        <v>100</v>
      </c>
      <c r="M260" s="239" t="s">
        <v>101</v>
      </c>
      <c r="N260" s="239" t="s">
        <v>102</v>
      </c>
      <c r="O260" s="239" t="s">
        <v>103</v>
      </c>
      <c r="P260" s="239" t="s">
        <v>104</v>
      </c>
      <c r="S260" s="239" t="s">
        <v>0</v>
      </c>
    </row>
    <row r="261" spans="1:19">
      <c r="A261" s="241" t="s">
        <v>105</v>
      </c>
      <c r="B261" s="241" t="s">
        <v>106</v>
      </c>
      <c r="C261" s="241" t="s">
        <v>183</v>
      </c>
      <c r="D261" s="241" t="s">
        <v>108</v>
      </c>
      <c r="E261" s="241">
        <v>1.02648937</v>
      </c>
      <c r="G261" s="241" t="s">
        <v>109</v>
      </c>
      <c r="H261" s="241">
        <v>1</v>
      </c>
      <c r="I261" s="242">
        <v>45658</v>
      </c>
      <c r="J261" s="242"/>
      <c r="L261" s="241" t="s">
        <v>110</v>
      </c>
      <c r="N261" s="241" t="s">
        <v>290</v>
      </c>
      <c r="O261" s="241" t="s">
        <v>291</v>
      </c>
      <c r="P261" s="241" t="s">
        <v>181</v>
      </c>
      <c r="S261" s="241">
        <f>YEAR(I261)</f>
        <v>2025</v>
      </c>
    </row>
    <row r="262" spans="1:19">
      <c r="A262" s="241" t="s">
        <v>105</v>
      </c>
      <c r="B262" s="241" t="s">
        <v>106</v>
      </c>
      <c r="C262" s="241" t="s">
        <v>183</v>
      </c>
      <c r="D262" s="241" t="s">
        <v>108</v>
      </c>
      <c r="E262" s="241">
        <v>1.0185063519999999</v>
      </c>
      <c r="G262" s="241" t="s">
        <v>109</v>
      </c>
      <c r="H262" s="241">
        <v>1</v>
      </c>
      <c r="I262" s="242">
        <v>46023</v>
      </c>
      <c r="J262" s="242"/>
      <c r="L262" s="241" t="s">
        <v>110</v>
      </c>
      <c r="N262" s="241" t="s">
        <v>290</v>
      </c>
      <c r="O262" s="241" t="s">
        <v>291</v>
      </c>
      <c r="P262" s="241" t="s">
        <v>181</v>
      </c>
      <c r="S262" s="241">
        <f t="shared" ref="S262:S281" si="5">YEAR(I262)</f>
        <v>2026</v>
      </c>
    </row>
    <row r="263" spans="1:19">
      <c r="A263" s="241" t="s">
        <v>105</v>
      </c>
      <c r="B263" s="241" t="s">
        <v>106</v>
      </c>
      <c r="C263" s="241" t="s">
        <v>183</v>
      </c>
      <c r="D263" s="241" t="s">
        <v>108</v>
      </c>
      <c r="E263" s="241">
        <v>1.009687446</v>
      </c>
      <c r="G263" s="241" t="s">
        <v>109</v>
      </c>
      <c r="H263" s="241">
        <v>1</v>
      </c>
      <c r="I263" s="242">
        <v>46388</v>
      </c>
      <c r="J263" s="242"/>
      <c r="L263" s="241" t="s">
        <v>110</v>
      </c>
      <c r="N263" s="241" t="s">
        <v>290</v>
      </c>
      <c r="O263" s="241" t="s">
        <v>291</v>
      </c>
      <c r="P263" s="241" t="s">
        <v>181</v>
      </c>
      <c r="S263" s="241">
        <f t="shared" si="5"/>
        <v>2027</v>
      </c>
    </row>
    <row r="264" spans="1:19">
      <c r="A264" s="241" t="s">
        <v>105</v>
      </c>
      <c r="B264" s="241" t="s">
        <v>106</v>
      </c>
      <c r="C264" s="241" t="s">
        <v>183</v>
      </c>
      <c r="D264" s="241" t="s">
        <v>108</v>
      </c>
      <c r="E264" s="241">
        <v>1</v>
      </c>
      <c r="G264" s="241" t="s">
        <v>109</v>
      </c>
      <c r="H264" s="241">
        <v>1</v>
      </c>
      <c r="I264" s="242">
        <v>46753</v>
      </c>
      <c r="J264" s="242"/>
      <c r="L264" s="241" t="s">
        <v>110</v>
      </c>
      <c r="N264" s="241" t="s">
        <v>290</v>
      </c>
      <c r="O264" s="241" t="s">
        <v>291</v>
      </c>
      <c r="P264" s="241" t="s">
        <v>181</v>
      </c>
      <c r="S264" s="241">
        <f t="shared" si="5"/>
        <v>2028</v>
      </c>
    </row>
    <row r="265" spans="1:19">
      <c r="A265" s="241" t="s">
        <v>105</v>
      </c>
      <c r="B265" s="241" t="s">
        <v>106</v>
      </c>
      <c r="C265" s="241" t="s">
        <v>183</v>
      </c>
      <c r="D265" s="241" t="s">
        <v>108</v>
      </c>
      <c r="E265" s="241">
        <v>0.989410338</v>
      </c>
      <c r="G265" s="241" t="s">
        <v>109</v>
      </c>
      <c r="H265" s="241">
        <v>1</v>
      </c>
      <c r="I265" s="242">
        <v>47119</v>
      </c>
      <c r="J265" s="242"/>
      <c r="L265" s="241" t="s">
        <v>110</v>
      </c>
      <c r="N265" s="241" t="s">
        <v>290</v>
      </c>
      <c r="O265" s="241" t="s">
        <v>291</v>
      </c>
      <c r="P265" s="241" t="s">
        <v>181</v>
      </c>
      <c r="S265" s="241">
        <f t="shared" si="5"/>
        <v>2029</v>
      </c>
    </row>
    <row r="266" spans="1:19">
      <c r="A266" s="241" t="s">
        <v>105</v>
      </c>
      <c r="B266" s="241" t="s">
        <v>106</v>
      </c>
      <c r="C266" s="241" t="s">
        <v>183</v>
      </c>
      <c r="D266" s="241" t="s">
        <v>108</v>
      </c>
      <c r="E266" s="241">
        <v>0.97788372599999995</v>
      </c>
      <c r="G266" s="241" t="s">
        <v>109</v>
      </c>
      <c r="H266" s="241">
        <v>1</v>
      </c>
      <c r="I266" s="242">
        <v>47484</v>
      </c>
      <c r="J266" s="242"/>
      <c r="L266" s="241" t="s">
        <v>110</v>
      </c>
      <c r="N266" s="241" t="s">
        <v>290</v>
      </c>
      <c r="O266" s="241" t="s">
        <v>291</v>
      </c>
      <c r="P266" s="241" t="s">
        <v>181</v>
      </c>
      <c r="S266" s="241">
        <f t="shared" si="5"/>
        <v>2030</v>
      </c>
    </row>
    <row r="267" spans="1:19">
      <c r="A267" s="241" t="s">
        <v>105</v>
      </c>
      <c r="B267" s="241" t="s">
        <v>106</v>
      </c>
      <c r="C267" s="241" t="s">
        <v>183</v>
      </c>
      <c r="D267" s="241" t="s">
        <v>108</v>
      </c>
      <c r="E267" s="241">
        <v>0.96538434699999998</v>
      </c>
      <c r="G267" s="241" t="s">
        <v>109</v>
      </c>
      <c r="H267" s="241">
        <v>1</v>
      </c>
      <c r="I267" s="242">
        <v>47849</v>
      </c>
      <c r="J267" s="242"/>
      <c r="L267" s="241" t="s">
        <v>110</v>
      </c>
      <c r="N267" s="241" t="s">
        <v>290</v>
      </c>
      <c r="O267" s="241" t="s">
        <v>291</v>
      </c>
      <c r="P267" s="241" t="s">
        <v>181</v>
      </c>
      <c r="S267" s="241">
        <f t="shared" si="5"/>
        <v>2031</v>
      </c>
    </row>
    <row r="268" spans="1:19">
      <c r="A268" s="241" t="s">
        <v>105</v>
      </c>
      <c r="B268" s="241" t="s">
        <v>106</v>
      </c>
      <c r="C268" s="241" t="s">
        <v>183</v>
      </c>
      <c r="D268" s="241" t="s">
        <v>108</v>
      </c>
      <c r="E268" s="241">
        <v>0.95187526600000005</v>
      </c>
      <c r="G268" s="241" t="s">
        <v>109</v>
      </c>
      <c r="H268" s="241">
        <v>1</v>
      </c>
      <c r="I268" s="242">
        <v>48214</v>
      </c>
      <c r="J268" s="242"/>
      <c r="L268" s="241" t="s">
        <v>110</v>
      </c>
      <c r="N268" s="241" t="s">
        <v>290</v>
      </c>
      <c r="O268" s="241" t="s">
        <v>291</v>
      </c>
      <c r="P268" s="241" t="s">
        <v>181</v>
      </c>
      <c r="S268" s="241">
        <f t="shared" si="5"/>
        <v>2032</v>
      </c>
    </row>
    <row r="269" spans="1:19">
      <c r="A269" s="241" t="s">
        <v>105</v>
      </c>
      <c r="B269" s="241" t="s">
        <v>106</v>
      </c>
      <c r="C269" s="241" t="s">
        <v>183</v>
      </c>
      <c r="D269" s="241" t="s">
        <v>108</v>
      </c>
      <c r="E269" s="241">
        <v>0.93731839900000002</v>
      </c>
      <c r="G269" s="241" t="s">
        <v>109</v>
      </c>
      <c r="H269" s="241">
        <v>1</v>
      </c>
      <c r="I269" s="242">
        <v>48580</v>
      </c>
      <c r="J269" s="242"/>
      <c r="L269" s="241" t="s">
        <v>110</v>
      </c>
      <c r="N269" s="241" t="s">
        <v>290</v>
      </c>
      <c r="O269" s="241" t="s">
        <v>291</v>
      </c>
      <c r="P269" s="241" t="s">
        <v>181</v>
      </c>
      <c r="S269" s="241">
        <f t="shared" si="5"/>
        <v>2033</v>
      </c>
    </row>
    <row r="270" spans="1:19">
      <c r="A270" s="241" t="s">
        <v>105</v>
      </c>
      <c r="B270" s="241" t="s">
        <v>106</v>
      </c>
      <c r="C270" s="241" t="s">
        <v>183</v>
      </c>
      <c r="D270" s="241" t="s">
        <v>108</v>
      </c>
      <c r="E270" s="241">
        <v>0.92167448399999996</v>
      </c>
      <c r="G270" s="241" t="s">
        <v>109</v>
      </c>
      <c r="H270" s="241">
        <v>1</v>
      </c>
      <c r="I270" s="242">
        <v>48945</v>
      </c>
      <c r="J270" s="242"/>
      <c r="L270" s="241" t="s">
        <v>110</v>
      </c>
      <c r="N270" s="241" t="s">
        <v>290</v>
      </c>
      <c r="O270" s="241" t="s">
        <v>291</v>
      </c>
      <c r="P270" s="241" t="s">
        <v>181</v>
      </c>
      <c r="S270" s="241">
        <f t="shared" si="5"/>
        <v>2034</v>
      </c>
    </row>
    <row r="271" spans="1:19">
      <c r="A271" s="241" t="s">
        <v>105</v>
      </c>
      <c r="B271" s="241" t="s">
        <v>106</v>
      </c>
      <c r="C271" s="241" t="s">
        <v>183</v>
      </c>
      <c r="D271" s="241" t="s">
        <v>108</v>
      </c>
      <c r="E271" s="241">
        <v>0.90490304300000002</v>
      </c>
      <c r="G271" s="241" t="s">
        <v>109</v>
      </c>
      <c r="H271" s="241">
        <v>1</v>
      </c>
      <c r="I271" s="242">
        <v>49310</v>
      </c>
      <c r="J271" s="242"/>
      <c r="L271" s="241" t="s">
        <v>110</v>
      </c>
      <c r="N271" s="241" t="s">
        <v>290</v>
      </c>
      <c r="O271" s="241" t="s">
        <v>291</v>
      </c>
      <c r="P271" s="241" t="s">
        <v>181</v>
      </c>
      <c r="S271" s="241">
        <f t="shared" si="5"/>
        <v>2035</v>
      </c>
    </row>
    <row r="272" spans="1:19">
      <c r="A272" s="241" t="s">
        <v>105</v>
      </c>
      <c r="B272" s="241" t="s">
        <v>106</v>
      </c>
      <c r="C272" s="241" t="s">
        <v>183</v>
      </c>
      <c r="D272" s="241" t="s">
        <v>108</v>
      </c>
      <c r="E272" s="241">
        <v>0.90920414299999996</v>
      </c>
      <c r="G272" s="241" t="s">
        <v>109</v>
      </c>
      <c r="H272" s="241">
        <v>1</v>
      </c>
      <c r="I272" s="242">
        <v>49675</v>
      </c>
      <c r="J272" s="242"/>
      <c r="L272" s="241" t="s">
        <v>110</v>
      </c>
      <c r="N272" s="241" t="s">
        <v>290</v>
      </c>
      <c r="O272" s="241" t="s">
        <v>291</v>
      </c>
      <c r="P272" s="241" t="s">
        <v>181</v>
      </c>
      <c r="S272" s="241">
        <f t="shared" si="5"/>
        <v>2036</v>
      </c>
    </row>
    <row r="273" spans="1:19">
      <c r="A273" s="241" t="s">
        <v>105</v>
      </c>
      <c r="B273" s="241" t="s">
        <v>106</v>
      </c>
      <c r="C273" s="241" t="s">
        <v>183</v>
      </c>
      <c r="D273" s="241" t="s">
        <v>108</v>
      </c>
      <c r="E273" s="241">
        <v>0.91326272500000005</v>
      </c>
      <c r="G273" s="241" t="s">
        <v>109</v>
      </c>
      <c r="H273" s="241">
        <v>1</v>
      </c>
      <c r="I273" s="242">
        <v>50041</v>
      </c>
      <c r="J273" s="242"/>
      <c r="L273" s="241" t="s">
        <v>110</v>
      </c>
      <c r="N273" s="241" t="s">
        <v>290</v>
      </c>
      <c r="O273" s="241" t="s">
        <v>291</v>
      </c>
      <c r="P273" s="241" t="s">
        <v>181</v>
      </c>
      <c r="S273" s="241">
        <f t="shared" si="5"/>
        <v>2037</v>
      </c>
    </row>
    <row r="274" spans="1:19">
      <c r="A274" s="241" t="s">
        <v>105</v>
      </c>
      <c r="B274" s="241" t="s">
        <v>106</v>
      </c>
      <c r="C274" s="241" t="s">
        <v>183</v>
      </c>
      <c r="D274" s="241" t="s">
        <v>108</v>
      </c>
      <c r="E274" s="241">
        <v>0.91706617099999999</v>
      </c>
      <c r="G274" s="241" t="s">
        <v>109</v>
      </c>
      <c r="H274" s="241">
        <v>1</v>
      </c>
      <c r="I274" s="242">
        <v>50406</v>
      </c>
      <c r="J274" s="242"/>
      <c r="L274" s="241" t="s">
        <v>110</v>
      </c>
      <c r="N274" s="241" t="s">
        <v>290</v>
      </c>
      <c r="O274" s="241" t="s">
        <v>291</v>
      </c>
      <c r="P274" s="241" t="s">
        <v>181</v>
      </c>
      <c r="S274" s="241">
        <f t="shared" si="5"/>
        <v>2038</v>
      </c>
    </row>
    <row r="275" spans="1:19">
      <c r="A275" s="241" t="s">
        <v>105</v>
      </c>
      <c r="B275" s="241" t="s">
        <v>106</v>
      </c>
      <c r="C275" s="241" t="s">
        <v>183</v>
      </c>
      <c r="D275" s="241" t="s">
        <v>108</v>
      </c>
      <c r="E275" s="241">
        <v>0.920601428</v>
      </c>
      <c r="G275" s="241" t="s">
        <v>109</v>
      </c>
      <c r="H275" s="241">
        <v>1</v>
      </c>
      <c r="I275" s="242">
        <v>50771</v>
      </c>
      <c r="J275" s="242"/>
      <c r="L275" s="241" t="s">
        <v>110</v>
      </c>
      <c r="N275" s="241" t="s">
        <v>290</v>
      </c>
      <c r="O275" s="241" t="s">
        <v>291</v>
      </c>
      <c r="P275" s="241" t="s">
        <v>181</v>
      </c>
      <c r="S275" s="241">
        <f t="shared" si="5"/>
        <v>2039</v>
      </c>
    </row>
    <row r="276" spans="1:19">
      <c r="A276" s="241" t="s">
        <v>105</v>
      </c>
      <c r="B276" s="241" t="s">
        <v>106</v>
      </c>
      <c r="C276" s="241" t="s">
        <v>183</v>
      </c>
      <c r="D276" s="241" t="s">
        <v>108</v>
      </c>
      <c r="E276" s="241">
        <v>0.92385499500000001</v>
      </c>
      <c r="G276" s="241" t="s">
        <v>109</v>
      </c>
      <c r="H276" s="241">
        <v>1</v>
      </c>
      <c r="I276" s="242">
        <v>51136</v>
      </c>
      <c r="J276" s="242"/>
      <c r="L276" s="241" t="s">
        <v>110</v>
      </c>
      <c r="N276" s="241" t="s">
        <v>290</v>
      </c>
      <c r="O276" s="241" t="s">
        <v>291</v>
      </c>
      <c r="P276" s="241" t="s">
        <v>181</v>
      </c>
      <c r="S276" s="241">
        <f t="shared" si="5"/>
        <v>2040</v>
      </c>
    </row>
    <row r="277" spans="1:19">
      <c r="A277" s="241" t="s">
        <v>105</v>
      </c>
      <c r="B277" s="241" t="s">
        <v>106</v>
      </c>
      <c r="C277" s="241" t="s">
        <v>183</v>
      </c>
      <c r="D277" s="241" t="s">
        <v>108</v>
      </c>
      <c r="E277" s="241">
        <v>0.92681291200000004</v>
      </c>
      <c r="G277" s="241" t="s">
        <v>109</v>
      </c>
      <c r="H277" s="241">
        <v>1</v>
      </c>
      <c r="I277" s="242">
        <v>51502</v>
      </c>
      <c r="J277" s="242"/>
      <c r="L277" s="241" t="s">
        <v>110</v>
      </c>
      <c r="N277" s="241" t="s">
        <v>290</v>
      </c>
      <c r="O277" s="241" t="s">
        <v>291</v>
      </c>
      <c r="P277" s="241" t="s">
        <v>181</v>
      </c>
      <c r="S277" s="241">
        <f t="shared" si="5"/>
        <v>2041</v>
      </c>
    </row>
    <row r="278" spans="1:19">
      <c r="A278" s="241" t="s">
        <v>105</v>
      </c>
      <c r="B278" s="241" t="s">
        <v>106</v>
      </c>
      <c r="C278" s="241" t="s">
        <v>183</v>
      </c>
      <c r="D278" s="241" t="s">
        <v>108</v>
      </c>
      <c r="E278" s="241">
        <v>0.92946074099999998</v>
      </c>
      <c r="G278" s="241" t="s">
        <v>109</v>
      </c>
      <c r="H278" s="241">
        <v>1</v>
      </c>
      <c r="I278" s="242">
        <v>51867</v>
      </c>
      <c r="J278" s="242"/>
      <c r="L278" s="241" t="s">
        <v>110</v>
      </c>
      <c r="N278" s="241" t="s">
        <v>290</v>
      </c>
      <c r="O278" s="241" t="s">
        <v>291</v>
      </c>
      <c r="P278" s="241" t="s">
        <v>181</v>
      </c>
      <c r="S278" s="241">
        <f t="shared" si="5"/>
        <v>2042</v>
      </c>
    </row>
    <row r="279" spans="1:19">
      <c r="A279" s="241" t="s">
        <v>105</v>
      </c>
      <c r="B279" s="241" t="s">
        <v>106</v>
      </c>
      <c r="C279" s="241" t="s">
        <v>183</v>
      </c>
      <c r="D279" s="241" t="s">
        <v>108</v>
      </c>
      <c r="E279" s="241">
        <v>0.93178355700000004</v>
      </c>
      <c r="G279" s="241" t="s">
        <v>109</v>
      </c>
      <c r="H279" s="241">
        <v>1</v>
      </c>
      <c r="I279" s="242">
        <v>52232</v>
      </c>
      <c r="J279" s="242"/>
      <c r="L279" s="241" t="s">
        <v>110</v>
      </c>
      <c r="N279" s="241" t="s">
        <v>290</v>
      </c>
      <c r="O279" s="241" t="s">
        <v>291</v>
      </c>
      <c r="P279" s="241" t="s">
        <v>181</v>
      </c>
      <c r="S279" s="241">
        <f t="shared" si="5"/>
        <v>2043</v>
      </c>
    </row>
    <row r="280" spans="1:19">
      <c r="A280" s="241" t="s">
        <v>105</v>
      </c>
      <c r="B280" s="241" t="s">
        <v>106</v>
      </c>
      <c r="C280" s="241" t="s">
        <v>183</v>
      </c>
      <c r="D280" s="241" t="s">
        <v>108</v>
      </c>
      <c r="E280" s="241">
        <v>0.93376592999999997</v>
      </c>
      <c r="G280" s="241" t="s">
        <v>109</v>
      </c>
      <c r="H280" s="241">
        <v>1</v>
      </c>
      <c r="I280" s="242">
        <v>52597</v>
      </c>
      <c r="J280" s="242"/>
      <c r="L280" s="241" t="s">
        <v>110</v>
      </c>
      <c r="N280" s="241" t="s">
        <v>290</v>
      </c>
      <c r="O280" s="241" t="s">
        <v>291</v>
      </c>
      <c r="P280" s="241" t="s">
        <v>181</v>
      </c>
      <c r="S280" s="241">
        <f t="shared" si="5"/>
        <v>2044</v>
      </c>
    </row>
    <row r="281" spans="1:19">
      <c r="A281" s="241" t="s">
        <v>105</v>
      </c>
      <c r="B281" s="241" t="s">
        <v>106</v>
      </c>
      <c r="C281" s="241" t="s">
        <v>183</v>
      </c>
      <c r="D281" s="241" t="s">
        <v>108</v>
      </c>
      <c r="E281" s="241">
        <v>0.93539191499999996</v>
      </c>
      <c r="G281" s="241" t="s">
        <v>109</v>
      </c>
      <c r="H281" s="241">
        <v>1</v>
      </c>
      <c r="I281" s="242">
        <v>52963</v>
      </c>
      <c r="J281" s="242"/>
      <c r="L281" s="241" t="s">
        <v>110</v>
      </c>
      <c r="N281" s="241" t="s">
        <v>290</v>
      </c>
      <c r="O281" s="241" t="s">
        <v>291</v>
      </c>
      <c r="P281" s="241" t="s">
        <v>181</v>
      </c>
      <c r="S281" s="241">
        <f t="shared" si="5"/>
        <v>2045</v>
      </c>
    </row>
    <row r="283" spans="1:19">
      <c r="A283" s="241" t="s">
        <v>184</v>
      </c>
      <c r="C283" s="257">
        <v>6.3799999999999996E-2</v>
      </c>
    </row>
    <row r="285" spans="1:19" s="239" customFormat="1">
      <c r="A285" s="239" t="s">
        <v>89</v>
      </c>
      <c r="B285" s="239" t="s">
        <v>90</v>
      </c>
      <c r="C285" s="239" t="s">
        <v>91</v>
      </c>
      <c r="D285" s="239" t="s">
        <v>92</v>
      </c>
      <c r="E285" s="239" t="s">
        <v>93</v>
      </c>
      <c r="F285" s="239" t="s">
        <v>94</v>
      </c>
      <c r="G285" s="239" t="s">
        <v>95</v>
      </c>
      <c r="H285" s="239" t="s">
        <v>96</v>
      </c>
      <c r="I285" s="239" t="s">
        <v>97</v>
      </c>
      <c r="J285" s="239" t="s">
        <v>98</v>
      </c>
      <c r="K285" s="239" t="s">
        <v>99</v>
      </c>
      <c r="L285" s="239" t="s">
        <v>100</v>
      </c>
      <c r="M285" s="239" t="s">
        <v>101</v>
      </c>
      <c r="N285" s="239" t="s">
        <v>102</v>
      </c>
      <c r="O285" s="239" t="s">
        <v>103</v>
      </c>
      <c r="P285" s="239" t="s">
        <v>104</v>
      </c>
      <c r="S285" s="239" t="s">
        <v>0</v>
      </c>
    </row>
    <row r="286" spans="1:19">
      <c r="A286" s="241" t="s">
        <v>105</v>
      </c>
      <c r="B286" s="241" t="s">
        <v>106</v>
      </c>
      <c r="C286" s="241" t="s">
        <v>152</v>
      </c>
      <c r="D286" s="241" t="s">
        <v>108</v>
      </c>
      <c r="E286" s="241">
        <v>1.015349032</v>
      </c>
      <c r="G286" s="241" t="s">
        <v>109</v>
      </c>
      <c r="H286" s="241">
        <v>1</v>
      </c>
      <c r="I286" s="242">
        <v>45658</v>
      </c>
      <c r="J286" s="242"/>
      <c r="L286" s="241" t="s">
        <v>110</v>
      </c>
      <c r="N286" s="241" t="s">
        <v>290</v>
      </c>
      <c r="O286" s="241" t="s">
        <v>291</v>
      </c>
      <c r="P286" s="241" t="s">
        <v>181</v>
      </c>
      <c r="S286" s="241">
        <f>YEAR(I286)</f>
        <v>2025</v>
      </c>
    </row>
    <row r="287" spans="1:19">
      <c r="A287" s="241" t="s">
        <v>105</v>
      </c>
      <c r="B287" s="241" t="s">
        <v>106</v>
      </c>
      <c r="C287" s="241" t="s">
        <v>152</v>
      </c>
      <c r="D287" s="241" t="s">
        <v>108</v>
      </c>
      <c r="E287" s="241">
        <v>1.0134574789999999</v>
      </c>
      <c r="G287" s="241" t="s">
        <v>109</v>
      </c>
      <c r="H287" s="241">
        <v>1</v>
      </c>
      <c r="I287" s="242">
        <v>46023</v>
      </c>
      <c r="J287" s="242"/>
      <c r="L287" s="241" t="s">
        <v>110</v>
      </c>
      <c r="N287" s="241" t="s">
        <v>290</v>
      </c>
      <c r="O287" s="241" t="s">
        <v>291</v>
      </c>
      <c r="P287" s="241" t="s">
        <v>181</v>
      </c>
      <c r="S287" s="241">
        <f t="shared" ref="S287:S306" si="6">YEAR(I287)</f>
        <v>2026</v>
      </c>
    </row>
    <row r="288" spans="1:19">
      <c r="A288" s="241" t="s">
        <v>105</v>
      </c>
      <c r="B288" s="241" t="s">
        <v>106</v>
      </c>
      <c r="C288" s="241" t="s">
        <v>152</v>
      </c>
      <c r="D288" s="241" t="s">
        <v>108</v>
      </c>
      <c r="E288" s="241">
        <v>1.0110009200000001</v>
      </c>
      <c r="G288" s="241" t="s">
        <v>109</v>
      </c>
      <c r="H288" s="241">
        <v>1</v>
      </c>
      <c r="I288" s="242">
        <v>46388</v>
      </c>
      <c r="J288" s="242"/>
      <c r="L288" s="241" t="s">
        <v>110</v>
      </c>
      <c r="N288" s="241" t="s">
        <v>290</v>
      </c>
      <c r="O288" s="241" t="s">
        <v>291</v>
      </c>
      <c r="P288" s="241" t="s">
        <v>181</v>
      </c>
      <c r="S288" s="241">
        <f t="shared" si="6"/>
        <v>2027</v>
      </c>
    </row>
    <row r="289" spans="1:19">
      <c r="A289" s="241" t="s">
        <v>105</v>
      </c>
      <c r="B289" s="241" t="s">
        <v>106</v>
      </c>
      <c r="C289" s="241" t="s">
        <v>152</v>
      </c>
      <c r="D289" s="241" t="s">
        <v>108</v>
      </c>
      <c r="E289" s="241">
        <v>1.0079556199999999</v>
      </c>
      <c r="G289" s="241" t="s">
        <v>109</v>
      </c>
      <c r="H289" s="241">
        <v>1</v>
      </c>
      <c r="I289" s="242">
        <v>46753</v>
      </c>
      <c r="J289" s="242"/>
      <c r="L289" s="241" t="s">
        <v>110</v>
      </c>
      <c r="N289" s="241" t="s">
        <v>290</v>
      </c>
      <c r="O289" s="241" t="s">
        <v>291</v>
      </c>
      <c r="P289" s="241" t="s">
        <v>181</v>
      </c>
      <c r="S289" s="241">
        <f t="shared" si="6"/>
        <v>2028</v>
      </c>
    </row>
    <row r="290" spans="1:19">
      <c r="A290" s="241" t="s">
        <v>105</v>
      </c>
      <c r="B290" s="241" t="s">
        <v>106</v>
      </c>
      <c r="C290" s="241" t="s">
        <v>152</v>
      </c>
      <c r="D290" s="241" t="s">
        <v>108</v>
      </c>
      <c r="E290" s="241">
        <v>1.0042970769999999</v>
      </c>
      <c r="G290" s="241" t="s">
        <v>109</v>
      </c>
      <c r="H290" s="241">
        <v>1</v>
      </c>
      <c r="I290" s="242">
        <v>47119</v>
      </c>
      <c r="J290" s="242"/>
      <c r="L290" s="241" t="s">
        <v>110</v>
      </c>
      <c r="N290" s="241" t="s">
        <v>290</v>
      </c>
      <c r="O290" s="241" t="s">
        <v>291</v>
      </c>
      <c r="P290" s="241" t="s">
        <v>181</v>
      </c>
      <c r="S290" s="241">
        <f t="shared" si="6"/>
        <v>2029</v>
      </c>
    </row>
    <row r="291" spans="1:19">
      <c r="A291" s="241" t="s">
        <v>105</v>
      </c>
      <c r="B291" s="241" t="s">
        <v>106</v>
      </c>
      <c r="C291" s="241" t="s">
        <v>152</v>
      </c>
      <c r="D291" s="241" t="s">
        <v>108</v>
      </c>
      <c r="E291" s="241">
        <v>1</v>
      </c>
      <c r="G291" s="241" t="s">
        <v>109</v>
      </c>
      <c r="H291" s="241">
        <v>1</v>
      </c>
      <c r="I291" s="242">
        <v>47484</v>
      </c>
      <c r="J291" s="242"/>
      <c r="L291" s="241" t="s">
        <v>110</v>
      </c>
      <c r="N291" s="241" t="s">
        <v>290</v>
      </c>
      <c r="O291" s="241" t="s">
        <v>291</v>
      </c>
      <c r="P291" s="241" t="s">
        <v>181</v>
      </c>
      <c r="S291" s="241">
        <f t="shared" si="6"/>
        <v>2030</v>
      </c>
    </row>
    <row r="292" spans="1:19">
      <c r="A292" s="241" t="s">
        <v>105</v>
      </c>
      <c r="B292" s="241" t="s">
        <v>106</v>
      </c>
      <c r="C292" s="241" t="s">
        <v>152</v>
      </c>
      <c r="D292" s="241" t="s">
        <v>108</v>
      </c>
      <c r="E292" s="241">
        <v>0.99503828900000002</v>
      </c>
      <c r="G292" s="241" t="s">
        <v>109</v>
      </c>
      <c r="H292" s="241">
        <v>1</v>
      </c>
      <c r="I292" s="242">
        <v>47849</v>
      </c>
      <c r="J292" s="242"/>
      <c r="L292" s="241" t="s">
        <v>110</v>
      </c>
      <c r="N292" s="241" t="s">
        <v>290</v>
      </c>
      <c r="O292" s="241" t="s">
        <v>291</v>
      </c>
      <c r="P292" s="241" t="s">
        <v>181</v>
      </c>
      <c r="S292" s="241">
        <f t="shared" si="6"/>
        <v>2031</v>
      </c>
    </row>
    <row r="293" spans="1:19">
      <c r="A293" s="241" t="s">
        <v>105</v>
      </c>
      <c r="B293" s="241" t="s">
        <v>106</v>
      </c>
      <c r="C293" s="241" t="s">
        <v>152</v>
      </c>
      <c r="D293" s="241" t="s">
        <v>108</v>
      </c>
      <c r="E293" s="241">
        <v>1.006562822</v>
      </c>
      <c r="G293" s="241" t="s">
        <v>109</v>
      </c>
      <c r="H293" s="241">
        <v>1</v>
      </c>
      <c r="I293" s="242">
        <v>48214</v>
      </c>
      <c r="J293" s="242"/>
      <c r="L293" s="241" t="s">
        <v>110</v>
      </c>
      <c r="N293" s="241" t="s">
        <v>290</v>
      </c>
      <c r="O293" s="241" t="s">
        <v>291</v>
      </c>
      <c r="P293" s="241" t="s">
        <v>181</v>
      </c>
      <c r="S293" s="241">
        <f t="shared" si="6"/>
        <v>2032</v>
      </c>
    </row>
    <row r="294" spans="1:19">
      <c r="A294" s="241" t="s">
        <v>105</v>
      </c>
      <c r="B294" s="241" t="s">
        <v>106</v>
      </c>
      <c r="C294" s="241" t="s">
        <v>152</v>
      </c>
      <c r="D294" s="241" t="s">
        <v>108</v>
      </c>
      <c r="E294" s="241">
        <v>1.0181169430000001</v>
      </c>
      <c r="G294" s="241" t="s">
        <v>109</v>
      </c>
      <c r="H294" s="241">
        <v>1</v>
      </c>
      <c r="I294" s="242">
        <v>48580</v>
      </c>
      <c r="J294" s="242"/>
      <c r="L294" s="241" t="s">
        <v>110</v>
      </c>
      <c r="N294" s="241" t="s">
        <v>290</v>
      </c>
      <c r="O294" s="241" t="s">
        <v>291</v>
      </c>
      <c r="P294" s="241" t="s">
        <v>181</v>
      </c>
      <c r="S294" s="241">
        <f t="shared" si="6"/>
        <v>2033</v>
      </c>
    </row>
    <row r="295" spans="1:19">
      <c r="A295" s="241" t="s">
        <v>105</v>
      </c>
      <c r="B295" s="241" t="s">
        <v>106</v>
      </c>
      <c r="C295" s="241" t="s">
        <v>152</v>
      </c>
      <c r="D295" s="241" t="s">
        <v>108</v>
      </c>
      <c r="E295" s="241">
        <v>1.029696465</v>
      </c>
      <c r="G295" s="241" t="s">
        <v>109</v>
      </c>
      <c r="H295" s="241">
        <v>1</v>
      </c>
      <c r="I295" s="242">
        <v>48945</v>
      </c>
      <c r="J295" s="242"/>
      <c r="L295" s="241" t="s">
        <v>110</v>
      </c>
      <c r="N295" s="241" t="s">
        <v>290</v>
      </c>
      <c r="O295" s="241" t="s">
        <v>291</v>
      </c>
      <c r="P295" s="241" t="s">
        <v>181</v>
      </c>
      <c r="S295" s="241">
        <f t="shared" si="6"/>
        <v>2034</v>
      </c>
    </row>
    <row r="296" spans="1:19">
      <c r="A296" s="241" t="s">
        <v>105</v>
      </c>
      <c r="B296" s="241" t="s">
        <v>106</v>
      </c>
      <c r="C296" s="241" t="s">
        <v>152</v>
      </c>
      <c r="D296" s="241" t="s">
        <v>108</v>
      </c>
      <c r="E296" s="241">
        <v>1.041297004</v>
      </c>
      <c r="G296" s="241" t="s">
        <v>109</v>
      </c>
      <c r="H296" s="241">
        <v>1</v>
      </c>
      <c r="I296" s="242">
        <v>49310</v>
      </c>
      <c r="J296" s="242"/>
      <c r="L296" s="241" t="s">
        <v>110</v>
      </c>
      <c r="N296" s="241" t="s">
        <v>290</v>
      </c>
      <c r="O296" s="241" t="s">
        <v>291</v>
      </c>
      <c r="P296" s="241" t="s">
        <v>181</v>
      </c>
      <c r="S296" s="241">
        <f t="shared" si="6"/>
        <v>2035</v>
      </c>
    </row>
    <row r="297" spans="1:19">
      <c r="A297" s="241" t="s">
        <v>105</v>
      </c>
      <c r="B297" s="241" t="s">
        <v>106</v>
      </c>
      <c r="C297" s="241" t="s">
        <v>152</v>
      </c>
      <c r="D297" s="241" t="s">
        <v>108</v>
      </c>
      <c r="E297" s="241">
        <v>1.052913974</v>
      </c>
      <c r="G297" s="241" t="s">
        <v>109</v>
      </c>
      <c r="H297" s="241">
        <v>1</v>
      </c>
      <c r="I297" s="242">
        <v>49675</v>
      </c>
      <c r="J297" s="242"/>
      <c r="L297" s="241" t="s">
        <v>110</v>
      </c>
      <c r="N297" s="241" t="s">
        <v>290</v>
      </c>
      <c r="O297" s="241" t="s">
        <v>291</v>
      </c>
      <c r="P297" s="241" t="s">
        <v>181</v>
      </c>
      <c r="S297" s="241">
        <f t="shared" si="6"/>
        <v>2036</v>
      </c>
    </row>
    <row r="298" spans="1:19">
      <c r="A298" s="241" t="s">
        <v>105</v>
      </c>
      <c r="B298" s="241" t="s">
        <v>106</v>
      </c>
      <c r="C298" s="241" t="s">
        <v>152</v>
      </c>
      <c r="D298" s="241" t="s">
        <v>108</v>
      </c>
      <c r="E298" s="241">
        <v>1.064542578</v>
      </c>
      <c r="G298" s="241" t="s">
        <v>109</v>
      </c>
      <c r="H298" s="241">
        <v>1</v>
      </c>
      <c r="I298" s="242">
        <v>50041</v>
      </c>
      <c r="J298" s="242"/>
      <c r="L298" s="241" t="s">
        <v>110</v>
      </c>
      <c r="N298" s="241" t="s">
        <v>290</v>
      </c>
      <c r="O298" s="241" t="s">
        <v>291</v>
      </c>
      <c r="P298" s="241" t="s">
        <v>181</v>
      </c>
      <c r="S298" s="241">
        <f t="shared" si="6"/>
        <v>2037</v>
      </c>
    </row>
    <row r="299" spans="1:19">
      <c r="A299" s="241" t="s">
        <v>105</v>
      </c>
      <c r="B299" s="241" t="s">
        <v>106</v>
      </c>
      <c r="C299" s="241" t="s">
        <v>152</v>
      </c>
      <c r="D299" s="241" t="s">
        <v>108</v>
      </c>
      <c r="E299" s="241">
        <v>1.076177801</v>
      </c>
      <c r="G299" s="241" t="s">
        <v>109</v>
      </c>
      <c r="H299" s="241">
        <v>1</v>
      </c>
      <c r="I299" s="242">
        <v>50406</v>
      </c>
      <c r="J299" s="242"/>
      <c r="L299" s="241" t="s">
        <v>110</v>
      </c>
      <c r="N299" s="241" t="s">
        <v>290</v>
      </c>
      <c r="O299" s="241" t="s">
        <v>291</v>
      </c>
      <c r="P299" s="241" t="s">
        <v>181</v>
      </c>
      <c r="S299" s="241">
        <f t="shared" si="6"/>
        <v>2038</v>
      </c>
    </row>
    <row r="300" spans="1:19">
      <c r="A300" s="241" t="s">
        <v>105</v>
      </c>
      <c r="B300" s="241" t="s">
        <v>106</v>
      </c>
      <c r="C300" s="241" t="s">
        <v>152</v>
      </c>
      <c r="D300" s="241" t="s">
        <v>108</v>
      </c>
      <c r="E300" s="241">
        <v>1.0878144080000001</v>
      </c>
      <c r="G300" s="241" t="s">
        <v>109</v>
      </c>
      <c r="H300" s="241">
        <v>1</v>
      </c>
      <c r="I300" s="242">
        <v>50771</v>
      </c>
      <c r="J300" s="242"/>
      <c r="L300" s="241" t="s">
        <v>110</v>
      </c>
      <c r="N300" s="241" t="s">
        <v>290</v>
      </c>
      <c r="O300" s="241" t="s">
        <v>291</v>
      </c>
      <c r="P300" s="241" t="s">
        <v>181</v>
      </c>
      <c r="S300" s="241">
        <f t="shared" si="6"/>
        <v>2039</v>
      </c>
    </row>
    <row r="301" spans="1:19">
      <c r="A301" s="241" t="s">
        <v>105</v>
      </c>
      <c r="B301" s="241" t="s">
        <v>106</v>
      </c>
      <c r="C301" s="241" t="s">
        <v>152</v>
      </c>
      <c r="D301" s="241" t="s">
        <v>108</v>
      </c>
      <c r="E301" s="241">
        <v>1.0994469280000001</v>
      </c>
      <c r="G301" s="241" t="s">
        <v>109</v>
      </c>
      <c r="H301" s="241">
        <v>1</v>
      </c>
      <c r="I301" s="242">
        <v>51136</v>
      </c>
      <c r="J301" s="242"/>
      <c r="L301" s="241" t="s">
        <v>110</v>
      </c>
      <c r="N301" s="241" t="s">
        <v>290</v>
      </c>
      <c r="O301" s="241" t="s">
        <v>291</v>
      </c>
      <c r="P301" s="241" t="s">
        <v>181</v>
      </c>
      <c r="S301" s="241">
        <f t="shared" si="6"/>
        <v>2040</v>
      </c>
    </row>
    <row r="302" spans="1:19">
      <c r="A302" s="241" t="s">
        <v>105</v>
      </c>
      <c r="B302" s="241" t="s">
        <v>106</v>
      </c>
      <c r="C302" s="241" t="s">
        <v>152</v>
      </c>
      <c r="D302" s="241" t="s">
        <v>108</v>
      </c>
      <c r="E302" s="241">
        <v>1.1110696520000001</v>
      </c>
      <c r="G302" s="241" t="s">
        <v>109</v>
      </c>
      <c r="H302" s="241">
        <v>1</v>
      </c>
      <c r="I302" s="242">
        <v>51502</v>
      </c>
      <c r="J302" s="242"/>
      <c r="L302" s="241" t="s">
        <v>110</v>
      </c>
      <c r="N302" s="241" t="s">
        <v>290</v>
      </c>
      <c r="O302" s="241" t="s">
        <v>291</v>
      </c>
      <c r="P302" s="241" t="s">
        <v>181</v>
      </c>
      <c r="S302" s="241">
        <f t="shared" si="6"/>
        <v>2041</v>
      </c>
    </row>
    <row r="303" spans="1:19">
      <c r="A303" s="241" t="s">
        <v>105</v>
      </c>
      <c r="B303" s="241" t="s">
        <v>106</v>
      </c>
      <c r="C303" s="241" t="s">
        <v>152</v>
      </c>
      <c r="D303" s="241" t="s">
        <v>108</v>
      </c>
      <c r="E303" s="241">
        <v>1.1226766260000001</v>
      </c>
      <c r="G303" s="241" t="s">
        <v>109</v>
      </c>
      <c r="H303" s="241">
        <v>1</v>
      </c>
      <c r="I303" s="242">
        <v>51867</v>
      </c>
      <c r="J303" s="242"/>
      <c r="L303" s="241" t="s">
        <v>110</v>
      </c>
      <c r="N303" s="241" t="s">
        <v>290</v>
      </c>
      <c r="O303" s="241" t="s">
        <v>291</v>
      </c>
      <c r="P303" s="241" t="s">
        <v>181</v>
      </c>
      <c r="S303" s="241">
        <f t="shared" si="6"/>
        <v>2042</v>
      </c>
    </row>
    <row r="304" spans="1:19">
      <c r="A304" s="241" t="s">
        <v>105</v>
      </c>
      <c r="B304" s="241" t="s">
        <v>106</v>
      </c>
      <c r="C304" s="241" t="s">
        <v>152</v>
      </c>
      <c r="D304" s="241" t="s">
        <v>108</v>
      </c>
      <c r="E304" s="241">
        <v>1.1342616400000001</v>
      </c>
      <c r="G304" s="241" t="s">
        <v>109</v>
      </c>
      <c r="H304" s="241">
        <v>1</v>
      </c>
      <c r="I304" s="242">
        <v>52232</v>
      </c>
      <c r="J304" s="242"/>
      <c r="L304" s="241" t="s">
        <v>110</v>
      </c>
      <c r="N304" s="241" t="s">
        <v>290</v>
      </c>
      <c r="O304" s="241" t="s">
        <v>291</v>
      </c>
      <c r="P304" s="241" t="s">
        <v>181</v>
      </c>
      <c r="S304" s="241">
        <f t="shared" si="6"/>
        <v>2043</v>
      </c>
    </row>
    <row r="305" spans="1:19">
      <c r="A305" s="241" t="s">
        <v>105</v>
      </c>
      <c r="B305" s="241" t="s">
        <v>106</v>
      </c>
      <c r="C305" s="241" t="s">
        <v>152</v>
      </c>
      <c r="D305" s="241" t="s">
        <v>108</v>
      </c>
      <c r="E305" s="241">
        <v>1.14581822</v>
      </c>
      <c r="G305" s="241" t="s">
        <v>109</v>
      </c>
      <c r="H305" s="241">
        <v>1</v>
      </c>
      <c r="I305" s="242">
        <v>52597</v>
      </c>
      <c r="J305" s="242"/>
      <c r="L305" s="241" t="s">
        <v>110</v>
      </c>
      <c r="N305" s="241" t="s">
        <v>290</v>
      </c>
      <c r="O305" s="241" t="s">
        <v>291</v>
      </c>
      <c r="P305" s="241" t="s">
        <v>181</v>
      </c>
      <c r="S305" s="241">
        <f t="shared" si="6"/>
        <v>2044</v>
      </c>
    </row>
    <row r="306" spans="1:19">
      <c r="A306" s="241" t="s">
        <v>105</v>
      </c>
      <c r="B306" s="241" t="s">
        <v>106</v>
      </c>
      <c r="C306" s="241" t="s">
        <v>152</v>
      </c>
      <c r="D306" s="241" t="s">
        <v>108</v>
      </c>
      <c r="E306" s="241">
        <v>1.157339619</v>
      </c>
      <c r="G306" s="241" t="s">
        <v>109</v>
      </c>
      <c r="H306" s="241">
        <v>1</v>
      </c>
      <c r="I306" s="242">
        <v>52963</v>
      </c>
      <c r="J306" s="242"/>
      <c r="L306" s="241" t="s">
        <v>110</v>
      </c>
      <c r="N306" s="241" t="s">
        <v>290</v>
      </c>
      <c r="O306" s="241" t="s">
        <v>291</v>
      </c>
      <c r="P306" s="241" t="s">
        <v>181</v>
      </c>
      <c r="S306" s="241">
        <f t="shared" si="6"/>
        <v>2045</v>
      </c>
    </row>
    <row r="308" spans="1:19">
      <c r="A308" s="239" t="s">
        <v>89</v>
      </c>
      <c r="B308" s="239" t="s">
        <v>90</v>
      </c>
      <c r="C308" s="239" t="s">
        <v>91</v>
      </c>
      <c r="D308" s="239" t="s">
        <v>92</v>
      </c>
      <c r="E308" s="239" t="s">
        <v>93</v>
      </c>
      <c r="F308" s="239" t="s">
        <v>94</v>
      </c>
      <c r="G308" s="239" t="s">
        <v>95</v>
      </c>
      <c r="H308" s="239" t="s">
        <v>96</v>
      </c>
      <c r="I308" s="239" t="s">
        <v>97</v>
      </c>
      <c r="J308" s="239" t="s">
        <v>98</v>
      </c>
      <c r="K308" s="239" t="s">
        <v>99</v>
      </c>
      <c r="L308" s="239" t="s">
        <v>100</v>
      </c>
      <c r="M308" s="239" t="s">
        <v>101</v>
      </c>
      <c r="N308" s="239" t="s">
        <v>102</v>
      </c>
      <c r="O308" s="239" t="s">
        <v>103</v>
      </c>
      <c r="P308" s="239" t="s">
        <v>104</v>
      </c>
      <c r="S308" s="239" t="s">
        <v>0</v>
      </c>
    </row>
    <row r="309" spans="1:19">
      <c r="A309" s="241" t="s">
        <v>105</v>
      </c>
      <c r="B309" s="241" t="s">
        <v>106</v>
      </c>
      <c r="C309" s="241" t="s">
        <v>112</v>
      </c>
      <c r="D309" s="241" t="s">
        <v>108</v>
      </c>
      <c r="E309" s="241">
        <v>39.78</v>
      </c>
      <c r="G309" s="241" t="s">
        <v>109</v>
      </c>
      <c r="H309" s="241">
        <v>1</v>
      </c>
      <c r="I309" s="242">
        <v>45658</v>
      </c>
      <c r="J309" s="242"/>
      <c r="L309" s="241" t="s">
        <v>110</v>
      </c>
      <c r="P309" s="241" t="s">
        <v>132</v>
      </c>
      <c r="S309" s="241">
        <f>YEAR(I309)</f>
        <v>2025</v>
      </c>
    </row>
    <row r="310" spans="1:19">
      <c r="A310" s="241" t="s">
        <v>105</v>
      </c>
      <c r="B310" s="241" t="s">
        <v>106</v>
      </c>
      <c r="C310" s="241" t="s">
        <v>112</v>
      </c>
      <c r="D310" s="241" t="s">
        <v>108</v>
      </c>
      <c r="E310" s="241">
        <v>39.78</v>
      </c>
      <c r="G310" s="241" t="s">
        <v>109</v>
      </c>
      <c r="H310" s="241">
        <v>1</v>
      </c>
      <c r="I310" s="242">
        <v>46023</v>
      </c>
      <c r="J310" s="242"/>
      <c r="L310" s="241" t="s">
        <v>110</v>
      </c>
      <c r="P310" s="241" t="s">
        <v>132</v>
      </c>
      <c r="S310" s="241">
        <f t="shared" ref="S310:S338" si="7">YEAR(I310)</f>
        <v>2026</v>
      </c>
    </row>
    <row r="311" spans="1:19">
      <c r="A311" s="241" t="s">
        <v>105</v>
      </c>
      <c r="B311" s="241" t="s">
        <v>106</v>
      </c>
      <c r="C311" s="241" t="s">
        <v>112</v>
      </c>
      <c r="D311" s="241" t="s">
        <v>108</v>
      </c>
      <c r="E311" s="241">
        <v>41.11</v>
      </c>
      <c r="G311" s="241" t="s">
        <v>109</v>
      </c>
      <c r="H311" s="241">
        <v>1</v>
      </c>
      <c r="I311" s="242">
        <v>46388</v>
      </c>
      <c r="J311" s="242"/>
      <c r="L311" s="241" t="s">
        <v>110</v>
      </c>
      <c r="P311" s="241" t="s">
        <v>132</v>
      </c>
      <c r="S311" s="241">
        <f t="shared" si="7"/>
        <v>2027</v>
      </c>
    </row>
    <row r="312" spans="1:19">
      <c r="A312" s="241" t="s">
        <v>105</v>
      </c>
      <c r="B312" s="241" t="s">
        <v>106</v>
      </c>
      <c r="C312" s="241" t="s">
        <v>112</v>
      </c>
      <c r="D312" s="241" t="s">
        <v>108</v>
      </c>
      <c r="E312" s="241">
        <v>42.43</v>
      </c>
      <c r="G312" s="241" t="s">
        <v>109</v>
      </c>
      <c r="H312" s="241">
        <v>1</v>
      </c>
      <c r="I312" s="242">
        <v>46753</v>
      </c>
      <c r="J312" s="242"/>
      <c r="L312" s="241" t="s">
        <v>110</v>
      </c>
      <c r="P312" s="241" t="s">
        <v>132</v>
      </c>
      <c r="S312" s="241">
        <f t="shared" si="7"/>
        <v>2028</v>
      </c>
    </row>
    <row r="313" spans="1:19">
      <c r="A313" s="241" t="s">
        <v>105</v>
      </c>
      <c r="B313" s="241" t="s">
        <v>106</v>
      </c>
      <c r="C313" s="241" t="s">
        <v>112</v>
      </c>
      <c r="D313" s="241" t="s">
        <v>108</v>
      </c>
      <c r="E313" s="241">
        <v>42.43</v>
      </c>
      <c r="G313" s="241" t="s">
        <v>109</v>
      </c>
      <c r="H313" s="241">
        <v>1</v>
      </c>
      <c r="I313" s="242">
        <v>47119</v>
      </c>
      <c r="J313" s="242"/>
      <c r="L313" s="241" t="s">
        <v>110</v>
      </c>
      <c r="P313" s="241" t="s">
        <v>132</v>
      </c>
      <c r="S313" s="241">
        <f t="shared" si="7"/>
        <v>2029</v>
      </c>
    </row>
    <row r="314" spans="1:19">
      <c r="A314" s="241" t="s">
        <v>105</v>
      </c>
      <c r="B314" s="241" t="s">
        <v>106</v>
      </c>
      <c r="C314" s="241" t="s">
        <v>112</v>
      </c>
      <c r="D314" s="241" t="s">
        <v>108</v>
      </c>
      <c r="E314" s="241">
        <v>43.76</v>
      </c>
      <c r="G314" s="241" t="s">
        <v>109</v>
      </c>
      <c r="H314" s="241">
        <v>1</v>
      </c>
      <c r="I314" s="242">
        <v>47484</v>
      </c>
      <c r="J314" s="242"/>
      <c r="L314" s="241" t="s">
        <v>110</v>
      </c>
      <c r="P314" s="241" t="s">
        <v>132</v>
      </c>
      <c r="S314" s="241">
        <f t="shared" si="7"/>
        <v>2030</v>
      </c>
    </row>
    <row r="315" spans="1:19">
      <c r="A315" s="241" t="s">
        <v>105</v>
      </c>
      <c r="B315" s="241" t="s">
        <v>106</v>
      </c>
      <c r="C315" s="241" t="s">
        <v>112</v>
      </c>
      <c r="D315" s="241" t="s">
        <v>108</v>
      </c>
      <c r="E315" s="241">
        <v>45.08</v>
      </c>
      <c r="G315" s="241" t="s">
        <v>109</v>
      </c>
      <c r="H315" s="241">
        <v>1</v>
      </c>
      <c r="I315" s="242">
        <v>47849</v>
      </c>
      <c r="J315" s="242"/>
      <c r="L315" s="241" t="s">
        <v>110</v>
      </c>
      <c r="P315" s="241" t="s">
        <v>132</v>
      </c>
      <c r="S315" s="241">
        <f t="shared" si="7"/>
        <v>2031</v>
      </c>
    </row>
    <row r="316" spans="1:19">
      <c r="A316" s="241" t="s">
        <v>105</v>
      </c>
      <c r="B316" s="241" t="s">
        <v>106</v>
      </c>
      <c r="C316" s="241" t="s">
        <v>112</v>
      </c>
      <c r="D316" s="241" t="s">
        <v>108</v>
      </c>
      <c r="E316" s="241">
        <v>45.08</v>
      </c>
      <c r="G316" s="241" t="s">
        <v>109</v>
      </c>
      <c r="H316" s="241">
        <v>1</v>
      </c>
      <c r="I316" s="242">
        <v>48214</v>
      </c>
      <c r="J316" s="242"/>
      <c r="L316" s="241" t="s">
        <v>110</v>
      </c>
      <c r="P316" s="241" t="s">
        <v>132</v>
      </c>
      <c r="S316" s="241">
        <f t="shared" si="7"/>
        <v>2032</v>
      </c>
    </row>
    <row r="317" spans="1:19">
      <c r="A317" s="241" t="s">
        <v>105</v>
      </c>
      <c r="B317" s="241" t="s">
        <v>106</v>
      </c>
      <c r="C317" s="241" t="s">
        <v>112</v>
      </c>
      <c r="D317" s="241" t="s">
        <v>108</v>
      </c>
      <c r="E317" s="241">
        <v>46.41</v>
      </c>
      <c r="G317" s="241" t="s">
        <v>109</v>
      </c>
      <c r="H317" s="241">
        <v>1</v>
      </c>
      <c r="I317" s="242">
        <v>48580</v>
      </c>
      <c r="J317" s="242"/>
      <c r="L317" s="241" t="s">
        <v>110</v>
      </c>
      <c r="P317" s="241" t="s">
        <v>132</v>
      </c>
      <c r="S317" s="241">
        <f t="shared" si="7"/>
        <v>2033</v>
      </c>
    </row>
    <row r="318" spans="1:19">
      <c r="A318" s="241" t="s">
        <v>105</v>
      </c>
      <c r="B318" s="241" t="s">
        <v>106</v>
      </c>
      <c r="C318" s="241" t="s">
        <v>112</v>
      </c>
      <c r="D318" s="241" t="s">
        <v>108</v>
      </c>
      <c r="E318" s="241">
        <v>47.74</v>
      </c>
      <c r="G318" s="241" t="s">
        <v>109</v>
      </c>
      <c r="H318" s="241">
        <v>1</v>
      </c>
      <c r="I318" s="242">
        <v>48945</v>
      </c>
      <c r="J318" s="242"/>
      <c r="L318" s="241" t="s">
        <v>110</v>
      </c>
      <c r="P318" s="241" t="s">
        <v>132</v>
      </c>
      <c r="S318" s="241">
        <f t="shared" si="7"/>
        <v>2034</v>
      </c>
    </row>
    <row r="319" spans="1:19">
      <c r="A319" s="241" t="s">
        <v>105</v>
      </c>
      <c r="B319" s="241" t="s">
        <v>106</v>
      </c>
      <c r="C319" s="241" t="s">
        <v>112</v>
      </c>
      <c r="D319" s="241" t="s">
        <v>108</v>
      </c>
      <c r="E319" s="241">
        <v>47.74</v>
      </c>
      <c r="G319" s="241" t="s">
        <v>109</v>
      </c>
      <c r="H319" s="241">
        <v>1</v>
      </c>
      <c r="I319" s="242">
        <v>49310</v>
      </c>
      <c r="J319" s="242"/>
      <c r="L319" s="241" t="s">
        <v>110</v>
      </c>
      <c r="P319" s="241" t="s">
        <v>132</v>
      </c>
      <c r="S319" s="241">
        <f t="shared" si="7"/>
        <v>2035</v>
      </c>
    </row>
    <row r="320" spans="1:19">
      <c r="A320" s="241" t="s">
        <v>105</v>
      </c>
      <c r="B320" s="241" t="s">
        <v>106</v>
      </c>
      <c r="C320" s="241" t="s">
        <v>112</v>
      </c>
      <c r="D320" s="241" t="s">
        <v>108</v>
      </c>
      <c r="E320" s="241">
        <v>49.06</v>
      </c>
      <c r="G320" s="241" t="s">
        <v>109</v>
      </c>
      <c r="H320" s="241">
        <v>1</v>
      </c>
      <c r="I320" s="242">
        <v>49675</v>
      </c>
      <c r="J320" s="242"/>
      <c r="L320" s="241" t="s">
        <v>110</v>
      </c>
      <c r="P320" s="241" t="s">
        <v>132</v>
      </c>
      <c r="S320" s="241">
        <f t="shared" si="7"/>
        <v>2036</v>
      </c>
    </row>
    <row r="321" spans="1:19">
      <c r="A321" s="241" t="s">
        <v>105</v>
      </c>
      <c r="B321" s="241" t="s">
        <v>106</v>
      </c>
      <c r="C321" s="241" t="s">
        <v>112</v>
      </c>
      <c r="D321" s="241" t="s">
        <v>108</v>
      </c>
      <c r="E321" s="241">
        <v>50.39</v>
      </c>
      <c r="G321" s="241" t="s">
        <v>109</v>
      </c>
      <c r="H321" s="241">
        <v>1</v>
      </c>
      <c r="I321" s="242">
        <v>50041</v>
      </c>
      <c r="J321" s="242"/>
      <c r="L321" s="241" t="s">
        <v>110</v>
      </c>
      <c r="P321" s="241" t="s">
        <v>132</v>
      </c>
      <c r="S321" s="241">
        <f t="shared" si="7"/>
        <v>2037</v>
      </c>
    </row>
    <row r="322" spans="1:19">
      <c r="A322" s="241" t="s">
        <v>105</v>
      </c>
      <c r="B322" s="241" t="s">
        <v>106</v>
      </c>
      <c r="C322" s="241" t="s">
        <v>112</v>
      </c>
      <c r="D322" s="241" t="s">
        <v>108</v>
      </c>
      <c r="E322" s="241">
        <v>51.71</v>
      </c>
      <c r="G322" s="241" t="s">
        <v>109</v>
      </c>
      <c r="H322" s="241">
        <v>1</v>
      </c>
      <c r="I322" s="242">
        <v>50406</v>
      </c>
      <c r="J322" s="242"/>
      <c r="L322" s="241" t="s">
        <v>110</v>
      </c>
      <c r="P322" s="241" t="s">
        <v>132</v>
      </c>
      <c r="S322" s="241">
        <f t="shared" si="7"/>
        <v>2038</v>
      </c>
    </row>
    <row r="323" spans="1:19">
      <c r="A323" s="241" t="s">
        <v>105</v>
      </c>
      <c r="B323" s="241" t="s">
        <v>106</v>
      </c>
      <c r="C323" s="241" t="s">
        <v>112</v>
      </c>
      <c r="D323" s="241" t="s">
        <v>108</v>
      </c>
      <c r="E323" s="241">
        <v>51.71</v>
      </c>
      <c r="G323" s="241" t="s">
        <v>109</v>
      </c>
      <c r="H323" s="241">
        <v>1</v>
      </c>
      <c r="I323" s="242">
        <v>50771</v>
      </c>
      <c r="J323" s="242"/>
      <c r="L323" s="241" t="s">
        <v>110</v>
      </c>
      <c r="P323" s="241" t="s">
        <v>132</v>
      </c>
      <c r="S323" s="241">
        <f t="shared" si="7"/>
        <v>2039</v>
      </c>
    </row>
    <row r="324" spans="1:19">
      <c r="A324" s="241" t="s">
        <v>105</v>
      </c>
      <c r="B324" s="241" t="s">
        <v>106</v>
      </c>
      <c r="C324" s="241" t="s">
        <v>112</v>
      </c>
      <c r="D324" s="241" t="s">
        <v>108</v>
      </c>
      <c r="E324" s="241">
        <v>53.04</v>
      </c>
      <c r="G324" s="241" t="s">
        <v>109</v>
      </c>
      <c r="H324" s="241">
        <v>1</v>
      </c>
      <c r="I324" s="242">
        <v>51136</v>
      </c>
      <c r="J324" s="242"/>
      <c r="L324" s="241" t="s">
        <v>110</v>
      </c>
      <c r="P324" s="241" t="s">
        <v>132</v>
      </c>
      <c r="S324" s="241">
        <f t="shared" si="7"/>
        <v>2040</v>
      </c>
    </row>
    <row r="325" spans="1:19">
      <c r="A325" s="241" t="s">
        <v>105</v>
      </c>
      <c r="B325" s="241" t="s">
        <v>106</v>
      </c>
      <c r="C325" s="241" t="s">
        <v>112</v>
      </c>
      <c r="D325" s="241" t="s">
        <v>108</v>
      </c>
      <c r="E325" s="241">
        <v>54.37</v>
      </c>
      <c r="G325" s="241" t="s">
        <v>109</v>
      </c>
      <c r="H325" s="241">
        <v>1</v>
      </c>
      <c r="I325" s="242">
        <v>51502</v>
      </c>
      <c r="J325" s="242"/>
      <c r="L325" s="241" t="s">
        <v>110</v>
      </c>
      <c r="P325" s="241" t="s">
        <v>132</v>
      </c>
      <c r="S325" s="241">
        <f t="shared" si="7"/>
        <v>2041</v>
      </c>
    </row>
    <row r="326" spans="1:19">
      <c r="A326" s="241" t="s">
        <v>105</v>
      </c>
      <c r="B326" s="241" t="s">
        <v>106</v>
      </c>
      <c r="C326" s="241" t="s">
        <v>112</v>
      </c>
      <c r="D326" s="241" t="s">
        <v>108</v>
      </c>
      <c r="E326" s="241">
        <v>55.69</v>
      </c>
      <c r="G326" s="241" t="s">
        <v>109</v>
      </c>
      <c r="H326" s="241">
        <v>1</v>
      </c>
      <c r="I326" s="242">
        <v>51867</v>
      </c>
      <c r="J326" s="242"/>
      <c r="L326" s="241" t="s">
        <v>110</v>
      </c>
      <c r="P326" s="241" t="s">
        <v>132</v>
      </c>
      <c r="S326" s="241">
        <f t="shared" si="7"/>
        <v>2042</v>
      </c>
    </row>
    <row r="327" spans="1:19">
      <c r="A327" s="241" t="s">
        <v>105</v>
      </c>
      <c r="B327" s="241" t="s">
        <v>106</v>
      </c>
      <c r="C327" s="241" t="s">
        <v>112</v>
      </c>
      <c r="D327" s="241" t="s">
        <v>108</v>
      </c>
      <c r="E327" s="241">
        <v>57.02</v>
      </c>
      <c r="G327" s="241" t="s">
        <v>109</v>
      </c>
      <c r="H327" s="241">
        <v>1</v>
      </c>
      <c r="I327" s="242">
        <v>52232</v>
      </c>
      <c r="J327" s="242"/>
      <c r="L327" s="241" t="s">
        <v>110</v>
      </c>
      <c r="P327" s="241" t="s">
        <v>132</v>
      </c>
      <c r="S327" s="241">
        <f t="shared" si="7"/>
        <v>2043</v>
      </c>
    </row>
    <row r="328" spans="1:19">
      <c r="A328" s="241" t="s">
        <v>105</v>
      </c>
      <c r="B328" s="241" t="s">
        <v>106</v>
      </c>
      <c r="C328" s="241" t="s">
        <v>112</v>
      </c>
      <c r="D328" s="241" t="s">
        <v>108</v>
      </c>
      <c r="E328" s="241">
        <v>57.02</v>
      </c>
      <c r="G328" s="241" t="s">
        <v>109</v>
      </c>
      <c r="H328" s="241">
        <v>1</v>
      </c>
      <c r="I328" s="242">
        <v>52597</v>
      </c>
      <c r="J328" s="242"/>
      <c r="L328" s="241" t="s">
        <v>110</v>
      </c>
      <c r="P328" s="241" t="s">
        <v>132</v>
      </c>
      <c r="S328" s="241">
        <f t="shared" si="7"/>
        <v>2044</v>
      </c>
    </row>
    <row r="329" spans="1:19">
      <c r="A329" s="241" t="s">
        <v>105</v>
      </c>
      <c r="B329" s="241" t="s">
        <v>106</v>
      </c>
      <c r="C329" s="241" t="s">
        <v>112</v>
      </c>
      <c r="D329" s="241" t="s">
        <v>108</v>
      </c>
      <c r="E329" s="241">
        <v>58.35</v>
      </c>
      <c r="G329" s="241" t="s">
        <v>109</v>
      </c>
      <c r="H329" s="241">
        <v>1</v>
      </c>
      <c r="I329" s="242">
        <v>52963</v>
      </c>
      <c r="J329" s="242"/>
      <c r="L329" s="241" t="s">
        <v>110</v>
      </c>
      <c r="P329" s="241" t="s">
        <v>132</v>
      </c>
      <c r="S329" s="241">
        <f t="shared" si="7"/>
        <v>2045</v>
      </c>
    </row>
    <row r="330" spans="1:19">
      <c r="A330" s="241" t="s">
        <v>105</v>
      </c>
      <c r="B330" s="241" t="s">
        <v>106</v>
      </c>
      <c r="C330" s="241" t="s">
        <v>112</v>
      </c>
      <c r="D330" s="241" t="s">
        <v>108</v>
      </c>
      <c r="E330" s="241">
        <v>59.67</v>
      </c>
      <c r="G330" s="241" t="s">
        <v>109</v>
      </c>
      <c r="H330" s="241">
        <v>1</v>
      </c>
      <c r="I330" s="242">
        <v>53328</v>
      </c>
      <c r="J330" s="242"/>
      <c r="L330" s="241" t="s">
        <v>110</v>
      </c>
      <c r="P330" s="241" t="s">
        <v>132</v>
      </c>
      <c r="S330" s="241">
        <f t="shared" si="7"/>
        <v>2046</v>
      </c>
    </row>
    <row r="331" spans="1:19">
      <c r="A331" s="241" t="s">
        <v>105</v>
      </c>
      <c r="B331" s="241" t="s">
        <v>106</v>
      </c>
      <c r="C331" s="241" t="s">
        <v>112</v>
      </c>
      <c r="D331" s="241" t="s">
        <v>108</v>
      </c>
      <c r="E331" s="241">
        <v>61</v>
      </c>
      <c r="G331" s="241" t="s">
        <v>109</v>
      </c>
      <c r="H331" s="241">
        <v>1</v>
      </c>
      <c r="I331" s="242">
        <v>53693</v>
      </c>
      <c r="J331" s="242"/>
      <c r="L331" s="241" t="s">
        <v>110</v>
      </c>
      <c r="P331" s="241" t="s">
        <v>132</v>
      </c>
      <c r="S331" s="241">
        <f t="shared" si="7"/>
        <v>2047</v>
      </c>
    </row>
    <row r="332" spans="1:19">
      <c r="A332" s="241" t="s">
        <v>105</v>
      </c>
      <c r="B332" s="241" t="s">
        <v>106</v>
      </c>
      <c r="C332" s="241" t="s">
        <v>112</v>
      </c>
      <c r="D332" s="241" t="s">
        <v>108</v>
      </c>
      <c r="E332" s="241">
        <v>61</v>
      </c>
      <c r="G332" s="241" t="s">
        <v>109</v>
      </c>
      <c r="H332" s="241">
        <v>1</v>
      </c>
      <c r="I332" s="242">
        <v>54058</v>
      </c>
      <c r="J332" s="242"/>
      <c r="L332" s="241" t="s">
        <v>110</v>
      </c>
      <c r="P332" s="241" t="s">
        <v>132</v>
      </c>
      <c r="S332" s="241">
        <f t="shared" si="7"/>
        <v>2048</v>
      </c>
    </row>
    <row r="333" spans="1:19">
      <c r="A333" s="241" t="s">
        <v>105</v>
      </c>
      <c r="B333" s="241" t="s">
        <v>106</v>
      </c>
      <c r="C333" s="241" t="s">
        <v>112</v>
      </c>
      <c r="D333" s="241" t="s">
        <v>108</v>
      </c>
      <c r="E333" s="241">
        <v>62.32</v>
      </c>
      <c r="G333" s="241" t="s">
        <v>109</v>
      </c>
      <c r="H333" s="241">
        <v>1</v>
      </c>
      <c r="I333" s="242">
        <v>54424</v>
      </c>
      <c r="J333" s="242"/>
      <c r="L333" s="241" t="s">
        <v>110</v>
      </c>
      <c r="P333" s="241" t="s">
        <v>132</v>
      </c>
      <c r="S333" s="241">
        <f t="shared" si="7"/>
        <v>2049</v>
      </c>
    </row>
    <row r="334" spans="1:19">
      <c r="A334" s="241" t="s">
        <v>105</v>
      </c>
      <c r="B334" s="241" t="s">
        <v>106</v>
      </c>
      <c r="C334" s="241" t="s">
        <v>112</v>
      </c>
      <c r="D334" s="241" t="s">
        <v>108</v>
      </c>
      <c r="E334" s="241">
        <v>63.65</v>
      </c>
      <c r="G334" s="241" t="s">
        <v>109</v>
      </c>
      <c r="H334" s="241">
        <v>1</v>
      </c>
      <c r="I334" s="242">
        <v>54789</v>
      </c>
      <c r="J334" s="242"/>
      <c r="L334" s="241" t="s">
        <v>110</v>
      </c>
      <c r="P334" s="241" t="s">
        <v>132</v>
      </c>
      <c r="S334" s="241">
        <f t="shared" si="7"/>
        <v>2050</v>
      </c>
    </row>
    <row r="335" spans="1:19">
      <c r="A335" s="241" t="s">
        <v>105</v>
      </c>
      <c r="B335" s="241" t="s">
        <v>106</v>
      </c>
      <c r="C335" s="241" t="s">
        <v>112</v>
      </c>
      <c r="D335" s="241" t="s">
        <v>108</v>
      </c>
      <c r="E335" s="241">
        <v>63.65</v>
      </c>
      <c r="G335" s="241" t="s">
        <v>109</v>
      </c>
      <c r="H335" s="241">
        <v>1</v>
      </c>
      <c r="I335" s="242">
        <v>55154</v>
      </c>
      <c r="J335" s="242"/>
      <c r="L335" s="241" t="s">
        <v>110</v>
      </c>
      <c r="P335" s="241" t="s">
        <v>132</v>
      </c>
      <c r="S335" s="241">
        <f t="shared" si="7"/>
        <v>2051</v>
      </c>
    </row>
    <row r="336" spans="1:19">
      <c r="A336" s="241" t="s">
        <v>105</v>
      </c>
      <c r="B336" s="241" t="s">
        <v>106</v>
      </c>
      <c r="C336" s="241" t="s">
        <v>112</v>
      </c>
      <c r="D336" s="241" t="s">
        <v>108</v>
      </c>
      <c r="E336" s="241">
        <v>64.98</v>
      </c>
      <c r="G336" s="241" t="s">
        <v>109</v>
      </c>
      <c r="H336" s="241">
        <v>1</v>
      </c>
      <c r="I336" s="242">
        <v>55519</v>
      </c>
      <c r="J336" s="242"/>
      <c r="L336" s="241" t="s">
        <v>110</v>
      </c>
      <c r="P336" s="241" t="s">
        <v>132</v>
      </c>
      <c r="S336" s="241">
        <f t="shared" si="7"/>
        <v>2052</v>
      </c>
    </row>
    <row r="337" spans="1:19">
      <c r="A337" s="241" t="s">
        <v>105</v>
      </c>
      <c r="B337" s="241" t="s">
        <v>106</v>
      </c>
      <c r="C337" s="241" t="s">
        <v>112</v>
      </c>
      <c r="D337" s="241" t="s">
        <v>108</v>
      </c>
      <c r="E337" s="241">
        <v>66.3</v>
      </c>
      <c r="G337" s="241" t="s">
        <v>109</v>
      </c>
      <c r="H337" s="241">
        <v>1</v>
      </c>
      <c r="I337" s="242">
        <v>55885</v>
      </c>
      <c r="J337" s="242"/>
      <c r="L337" s="241" t="s">
        <v>110</v>
      </c>
      <c r="P337" s="241" t="s">
        <v>132</v>
      </c>
      <c r="S337" s="241">
        <f t="shared" si="7"/>
        <v>2053</v>
      </c>
    </row>
    <row r="338" spans="1:19">
      <c r="A338" s="241" t="s">
        <v>105</v>
      </c>
      <c r="B338" s="241" t="s">
        <v>106</v>
      </c>
      <c r="C338" s="241" t="s">
        <v>112</v>
      </c>
      <c r="D338" s="241" t="s">
        <v>108</v>
      </c>
      <c r="E338" s="241">
        <v>67.63</v>
      </c>
      <c r="G338" s="241" t="s">
        <v>109</v>
      </c>
      <c r="H338" s="241">
        <v>1</v>
      </c>
      <c r="I338" s="242">
        <v>56250</v>
      </c>
      <c r="J338" s="242"/>
      <c r="L338" s="241" t="s">
        <v>110</v>
      </c>
      <c r="P338" s="241" t="s">
        <v>132</v>
      </c>
      <c r="S338" s="241">
        <f t="shared" si="7"/>
        <v>2054</v>
      </c>
    </row>
    <row r="340" spans="1:19">
      <c r="A340" s="239" t="s">
        <v>89</v>
      </c>
      <c r="B340" s="239" t="s">
        <v>90</v>
      </c>
      <c r="C340" s="239" t="s">
        <v>91</v>
      </c>
      <c r="D340" s="239" t="s">
        <v>92</v>
      </c>
      <c r="E340" s="239" t="s">
        <v>93</v>
      </c>
      <c r="F340" s="239" t="s">
        <v>94</v>
      </c>
      <c r="G340" s="239" t="s">
        <v>95</v>
      </c>
      <c r="H340" s="239" t="s">
        <v>96</v>
      </c>
      <c r="I340" s="239" t="s">
        <v>97</v>
      </c>
      <c r="J340" s="239" t="s">
        <v>98</v>
      </c>
      <c r="K340" s="239" t="s">
        <v>99</v>
      </c>
      <c r="L340" s="239" t="s">
        <v>100</v>
      </c>
      <c r="M340" s="239" t="s">
        <v>101</v>
      </c>
      <c r="N340" s="239" t="s">
        <v>102</v>
      </c>
      <c r="O340" s="239" t="s">
        <v>103</v>
      </c>
      <c r="P340" s="239" t="s">
        <v>104</v>
      </c>
      <c r="S340" s="239" t="s">
        <v>0</v>
      </c>
    </row>
    <row r="341" spans="1:19">
      <c r="B341" s="241" t="s">
        <v>106</v>
      </c>
      <c r="C341" s="241" t="s">
        <v>113</v>
      </c>
      <c r="D341" s="241" t="s">
        <v>108</v>
      </c>
      <c r="E341" s="241">
        <v>43.76</v>
      </c>
      <c r="G341" s="241" t="s">
        <v>109</v>
      </c>
      <c r="H341" s="241">
        <v>1</v>
      </c>
      <c r="I341" s="242">
        <v>45658</v>
      </c>
      <c r="J341" s="242"/>
      <c r="L341" s="241" t="s">
        <v>110</v>
      </c>
      <c r="P341" s="241" t="s">
        <v>132</v>
      </c>
      <c r="S341" s="241">
        <f t="shared" ref="S341:S361" si="8">YEAR(I341)</f>
        <v>2025</v>
      </c>
    </row>
    <row r="342" spans="1:19">
      <c r="B342" s="241" t="s">
        <v>106</v>
      </c>
      <c r="C342" s="241" t="s">
        <v>113</v>
      </c>
      <c r="D342" s="241" t="s">
        <v>108</v>
      </c>
      <c r="E342" s="241">
        <v>43.76</v>
      </c>
      <c r="G342" s="241" t="s">
        <v>109</v>
      </c>
      <c r="H342" s="241">
        <v>1</v>
      </c>
      <c r="I342" s="242">
        <v>46023</v>
      </c>
      <c r="J342" s="242"/>
      <c r="L342" s="241" t="s">
        <v>110</v>
      </c>
      <c r="P342" s="241" t="s">
        <v>132</v>
      </c>
      <c r="S342" s="241">
        <f t="shared" si="8"/>
        <v>2026</v>
      </c>
    </row>
    <row r="343" spans="1:19">
      <c r="B343" s="241" t="s">
        <v>106</v>
      </c>
      <c r="C343" s="241" t="s">
        <v>113</v>
      </c>
      <c r="D343" s="241" t="s">
        <v>108</v>
      </c>
      <c r="E343" s="241">
        <v>45.08</v>
      </c>
      <c r="G343" s="241" t="s">
        <v>109</v>
      </c>
      <c r="H343" s="241">
        <v>1</v>
      </c>
      <c r="I343" s="242">
        <v>46388</v>
      </c>
      <c r="J343" s="242"/>
      <c r="L343" s="241" t="s">
        <v>110</v>
      </c>
      <c r="P343" s="241" t="s">
        <v>132</v>
      </c>
      <c r="S343" s="241">
        <f t="shared" si="8"/>
        <v>2027</v>
      </c>
    </row>
    <row r="344" spans="1:19">
      <c r="B344" s="241" t="s">
        <v>106</v>
      </c>
      <c r="C344" s="241" t="s">
        <v>113</v>
      </c>
      <c r="D344" s="241" t="s">
        <v>108</v>
      </c>
      <c r="E344" s="241">
        <v>46.41</v>
      </c>
      <c r="G344" s="241" t="s">
        <v>109</v>
      </c>
      <c r="H344" s="241">
        <v>1</v>
      </c>
      <c r="I344" s="242">
        <v>46753</v>
      </c>
      <c r="J344" s="242"/>
      <c r="L344" s="241" t="s">
        <v>110</v>
      </c>
      <c r="P344" s="241" t="s">
        <v>132</v>
      </c>
      <c r="S344" s="241">
        <f t="shared" si="8"/>
        <v>2028</v>
      </c>
    </row>
    <row r="345" spans="1:19">
      <c r="B345" s="241" t="s">
        <v>106</v>
      </c>
      <c r="C345" s="241" t="s">
        <v>113</v>
      </c>
      <c r="D345" s="241" t="s">
        <v>108</v>
      </c>
      <c r="E345" s="241">
        <v>47.74</v>
      </c>
      <c r="G345" s="241" t="s">
        <v>109</v>
      </c>
      <c r="H345" s="241">
        <v>1</v>
      </c>
      <c r="I345" s="242">
        <v>47119</v>
      </c>
      <c r="J345" s="242"/>
      <c r="L345" s="241" t="s">
        <v>110</v>
      </c>
      <c r="P345" s="241" t="s">
        <v>132</v>
      </c>
      <c r="S345" s="241">
        <f t="shared" si="8"/>
        <v>2029</v>
      </c>
    </row>
    <row r="346" spans="1:19">
      <c r="B346" s="241" t="s">
        <v>106</v>
      </c>
      <c r="C346" s="241" t="s">
        <v>113</v>
      </c>
      <c r="D346" s="241" t="s">
        <v>108</v>
      </c>
      <c r="E346" s="241">
        <v>47.74</v>
      </c>
      <c r="G346" s="241" t="s">
        <v>109</v>
      </c>
      <c r="H346" s="241">
        <v>1</v>
      </c>
      <c r="I346" s="242">
        <v>47484</v>
      </c>
      <c r="J346" s="242"/>
      <c r="L346" s="241" t="s">
        <v>110</v>
      </c>
      <c r="P346" s="241" t="s">
        <v>132</v>
      </c>
      <c r="S346" s="241">
        <f t="shared" si="8"/>
        <v>2030</v>
      </c>
    </row>
    <row r="347" spans="1:19">
      <c r="B347" s="241" t="s">
        <v>106</v>
      </c>
      <c r="C347" s="241" t="s">
        <v>113</v>
      </c>
      <c r="D347" s="241" t="s">
        <v>108</v>
      </c>
      <c r="E347" s="241">
        <v>49.06</v>
      </c>
      <c r="G347" s="241" t="s">
        <v>109</v>
      </c>
      <c r="H347" s="241">
        <v>1</v>
      </c>
      <c r="I347" s="242">
        <v>47849</v>
      </c>
      <c r="J347" s="242"/>
      <c r="L347" s="241" t="s">
        <v>110</v>
      </c>
      <c r="P347" s="241" t="s">
        <v>132</v>
      </c>
      <c r="S347" s="241">
        <f t="shared" si="8"/>
        <v>2031</v>
      </c>
    </row>
    <row r="348" spans="1:19">
      <c r="B348" s="241" t="s">
        <v>106</v>
      </c>
      <c r="C348" s="241" t="s">
        <v>113</v>
      </c>
      <c r="D348" s="241" t="s">
        <v>108</v>
      </c>
      <c r="E348" s="241">
        <v>50.39</v>
      </c>
      <c r="G348" s="241" t="s">
        <v>109</v>
      </c>
      <c r="H348" s="241">
        <v>1</v>
      </c>
      <c r="I348" s="242">
        <v>48214</v>
      </c>
      <c r="J348" s="242"/>
      <c r="L348" s="241" t="s">
        <v>110</v>
      </c>
      <c r="P348" s="241" t="s">
        <v>132</v>
      </c>
      <c r="S348" s="241">
        <f t="shared" si="8"/>
        <v>2032</v>
      </c>
    </row>
    <row r="349" spans="1:19">
      <c r="B349" s="241" t="s">
        <v>106</v>
      </c>
      <c r="C349" s="241" t="s">
        <v>113</v>
      </c>
      <c r="D349" s="241" t="s">
        <v>108</v>
      </c>
      <c r="E349" s="241">
        <v>50.39</v>
      </c>
      <c r="G349" s="241" t="s">
        <v>109</v>
      </c>
      <c r="H349" s="241">
        <v>1</v>
      </c>
      <c r="I349" s="242">
        <v>48580</v>
      </c>
      <c r="J349" s="242"/>
      <c r="L349" s="241" t="s">
        <v>110</v>
      </c>
      <c r="P349" s="241" t="s">
        <v>132</v>
      </c>
      <c r="S349" s="241">
        <f t="shared" si="8"/>
        <v>2033</v>
      </c>
    </row>
    <row r="350" spans="1:19">
      <c r="B350" s="241" t="s">
        <v>106</v>
      </c>
      <c r="C350" s="241" t="s">
        <v>113</v>
      </c>
      <c r="D350" s="241" t="s">
        <v>108</v>
      </c>
      <c r="E350" s="241">
        <v>51.71</v>
      </c>
      <c r="G350" s="241" t="s">
        <v>109</v>
      </c>
      <c r="H350" s="241">
        <v>1</v>
      </c>
      <c r="I350" s="242">
        <v>48945</v>
      </c>
      <c r="J350" s="242"/>
      <c r="L350" s="241" t="s">
        <v>110</v>
      </c>
      <c r="P350" s="241" t="s">
        <v>132</v>
      </c>
      <c r="S350" s="241">
        <f t="shared" si="8"/>
        <v>2034</v>
      </c>
    </row>
    <row r="351" spans="1:19">
      <c r="B351" s="241" t="s">
        <v>106</v>
      </c>
      <c r="C351" s="241" t="s">
        <v>113</v>
      </c>
      <c r="D351" s="241" t="s">
        <v>108</v>
      </c>
      <c r="E351" s="241">
        <v>53.04</v>
      </c>
      <c r="G351" s="241" t="s">
        <v>109</v>
      </c>
      <c r="H351" s="241">
        <v>1</v>
      </c>
      <c r="I351" s="242">
        <v>49310</v>
      </c>
      <c r="J351" s="242"/>
      <c r="L351" s="241" t="s">
        <v>110</v>
      </c>
      <c r="P351" s="241" t="s">
        <v>132</v>
      </c>
      <c r="S351" s="241">
        <f t="shared" si="8"/>
        <v>2035</v>
      </c>
    </row>
    <row r="352" spans="1:19">
      <c r="B352" s="241" t="s">
        <v>106</v>
      </c>
      <c r="C352" s="241" t="s">
        <v>113</v>
      </c>
      <c r="D352" s="241" t="s">
        <v>108</v>
      </c>
      <c r="E352" s="241">
        <v>54.37</v>
      </c>
      <c r="G352" s="241" t="s">
        <v>109</v>
      </c>
      <c r="H352" s="241">
        <v>1</v>
      </c>
      <c r="I352" s="242">
        <v>49675</v>
      </c>
      <c r="J352" s="242"/>
      <c r="L352" s="241" t="s">
        <v>110</v>
      </c>
      <c r="P352" s="241" t="s">
        <v>132</v>
      </c>
      <c r="S352" s="241">
        <f t="shared" si="8"/>
        <v>2036</v>
      </c>
    </row>
    <row r="353" spans="2:19">
      <c r="B353" s="241" t="s">
        <v>106</v>
      </c>
      <c r="C353" s="241" t="s">
        <v>113</v>
      </c>
      <c r="D353" s="241" t="s">
        <v>108</v>
      </c>
      <c r="E353" s="241">
        <v>55.69</v>
      </c>
      <c r="G353" s="241" t="s">
        <v>109</v>
      </c>
      <c r="H353" s="241">
        <v>1</v>
      </c>
      <c r="I353" s="242">
        <v>50041</v>
      </c>
      <c r="J353" s="242"/>
      <c r="L353" s="241" t="s">
        <v>110</v>
      </c>
      <c r="P353" s="241" t="s">
        <v>132</v>
      </c>
      <c r="S353" s="241">
        <f t="shared" si="8"/>
        <v>2037</v>
      </c>
    </row>
    <row r="354" spans="2:19">
      <c r="B354" s="241" t="s">
        <v>106</v>
      </c>
      <c r="C354" s="241" t="s">
        <v>113</v>
      </c>
      <c r="D354" s="241" t="s">
        <v>108</v>
      </c>
      <c r="E354" s="241">
        <v>55.69</v>
      </c>
      <c r="G354" s="241" t="s">
        <v>109</v>
      </c>
      <c r="H354" s="241">
        <v>1</v>
      </c>
      <c r="I354" s="242">
        <v>50406</v>
      </c>
      <c r="J354" s="242"/>
      <c r="L354" s="241" t="s">
        <v>110</v>
      </c>
      <c r="P354" s="241" t="s">
        <v>132</v>
      </c>
      <c r="S354" s="241">
        <f t="shared" si="8"/>
        <v>2038</v>
      </c>
    </row>
    <row r="355" spans="2:19">
      <c r="B355" s="241" t="s">
        <v>106</v>
      </c>
      <c r="C355" s="241" t="s">
        <v>113</v>
      </c>
      <c r="D355" s="241" t="s">
        <v>108</v>
      </c>
      <c r="E355" s="241">
        <v>57.02</v>
      </c>
      <c r="G355" s="241" t="s">
        <v>109</v>
      </c>
      <c r="H355" s="241">
        <v>1</v>
      </c>
      <c r="I355" s="242">
        <v>50771</v>
      </c>
      <c r="J355" s="242"/>
      <c r="L355" s="241" t="s">
        <v>110</v>
      </c>
      <c r="P355" s="241" t="s">
        <v>132</v>
      </c>
      <c r="S355" s="241">
        <f t="shared" si="8"/>
        <v>2039</v>
      </c>
    </row>
    <row r="356" spans="2:19">
      <c r="B356" s="241" t="s">
        <v>106</v>
      </c>
      <c r="C356" s="241" t="s">
        <v>113</v>
      </c>
      <c r="D356" s="241" t="s">
        <v>108</v>
      </c>
      <c r="E356" s="241">
        <v>58.35</v>
      </c>
      <c r="G356" s="241" t="s">
        <v>109</v>
      </c>
      <c r="H356" s="241">
        <v>1</v>
      </c>
      <c r="I356" s="242">
        <v>51136</v>
      </c>
      <c r="J356" s="242"/>
      <c r="L356" s="241" t="s">
        <v>110</v>
      </c>
      <c r="P356" s="241" t="s">
        <v>132</v>
      </c>
      <c r="S356" s="241">
        <f t="shared" si="8"/>
        <v>2040</v>
      </c>
    </row>
    <row r="357" spans="2:19">
      <c r="B357" s="241" t="s">
        <v>106</v>
      </c>
      <c r="C357" s="241" t="s">
        <v>113</v>
      </c>
      <c r="D357" s="241" t="s">
        <v>108</v>
      </c>
      <c r="E357" s="241">
        <v>46.68</v>
      </c>
      <c r="G357" s="241" t="s">
        <v>109</v>
      </c>
      <c r="H357" s="241">
        <v>1</v>
      </c>
      <c r="I357" s="242">
        <v>51502</v>
      </c>
      <c r="J357" s="242"/>
      <c r="L357" s="241" t="s">
        <v>110</v>
      </c>
      <c r="P357" s="241" t="s">
        <v>132</v>
      </c>
      <c r="S357" s="241">
        <f t="shared" si="8"/>
        <v>2041</v>
      </c>
    </row>
    <row r="358" spans="2:19">
      <c r="B358" s="241" t="s">
        <v>106</v>
      </c>
      <c r="C358" s="241" t="s">
        <v>113</v>
      </c>
      <c r="D358" s="241" t="s">
        <v>108</v>
      </c>
      <c r="E358" s="241">
        <v>35.01</v>
      </c>
      <c r="G358" s="241" t="s">
        <v>109</v>
      </c>
      <c r="H358" s="241">
        <v>1</v>
      </c>
      <c r="I358" s="242">
        <v>51867</v>
      </c>
      <c r="J358" s="242"/>
      <c r="L358" s="241" t="s">
        <v>110</v>
      </c>
      <c r="P358" s="241" t="s">
        <v>132</v>
      </c>
      <c r="S358" s="241">
        <f t="shared" si="8"/>
        <v>2042</v>
      </c>
    </row>
    <row r="359" spans="2:19">
      <c r="B359" s="241" t="s">
        <v>106</v>
      </c>
      <c r="C359" s="241" t="s">
        <v>113</v>
      </c>
      <c r="D359" s="241" t="s">
        <v>108</v>
      </c>
      <c r="E359" s="241">
        <v>23.34</v>
      </c>
      <c r="G359" s="241" t="s">
        <v>109</v>
      </c>
      <c r="H359" s="241">
        <v>1</v>
      </c>
      <c r="I359" s="242">
        <v>52232</v>
      </c>
      <c r="J359" s="242"/>
      <c r="L359" s="241" t="s">
        <v>110</v>
      </c>
      <c r="P359" s="241" t="s">
        <v>132</v>
      </c>
      <c r="S359" s="241">
        <f t="shared" si="8"/>
        <v>2043</v>
      </c>
    </row>
    <row r="360" spans="2:19">
      <c r="B360" s="241" t="s">
        <v>106</v>
      </c>
      <c r="C360" s="241" t="s">
        <v>113</v>
      </c>
      <c r="D360" s="241" t="s">
        <v>108</v>
      </c>
      <c r="E360" s="241">
        <v>11.67</v>
      </c>
      <c r="G360" s="241" t="s">
        <v>109</v>
      </c>
      <c r="H360" s="241">
        <v>1</v>
      </c>
      <c r="I360" s="242">
        <v>52597</v>
      </c>
      <c r="J360" s="242"/>
      <c r="L360" s="241" t="s">
        <v>110</v>
      </c>
      <c r="P360" s="241" t="s">
        <v>132</v>
      </c>
      <c r="S360" s="241">
        <f t="shared" si="8"/>
        <v>2044</v>
      </c>
    </row>
    <row r="361" spans="2:19">
      <c r="B361" s="241" t="s">
        <v>106</v>
      </c>
      <c r="C361" s="241" t="s">
        <v>113</v>
      </c>
      <c r="D361" s="241" t="s">
        <v>108</v>
      </c>
      <c r="E361" s="241">
        <v>0</v>
      </c>
      <c r="G361" s="241" t="s">
        <v>109</v>
      </c>
      <c r="H361" s="241">
        <v>1</v>
      </c>
      <c r="I361" s="242">
        <v>52963</v>
      </c>
      <c r="J361" s="242"/>
      <c r="L361" s="241" t="s">
        <v>110</v>
      </c>
      <c r="P361" s="241" t="s">
        <v>132</v>
      </c>
      <c r="S361" s="241">
        <f t="shared" si="8"/>
        <v>2045</v>
      </c>
    </row>
    <row r="362" spans="2:19">
      <c r="I362" s="242"/>
      <c r="J362" s="242"/>
    </row>
    <row r="363" spans="2:19">
      <c r="I363" s="242"/>
      <c r="J363" s="242"/>
    </row>
    <row r="364" spans="2:19">
      <c r="I364" s="242"/>
      <c r="J364" s="242"/>
    </row>
    <row r="365" spans="2:19">
      <c r="I365" s="242"/>
      <c r="J365" s="242"/>
    </row>
    <row r="366" spans="2:19">
      <c r="I366" s="242"/>
      <c r="J366" s="242"/>
    </row>
    <row r="367" spans="2:19">
      <c r="I367" s="242"/>
      <c r="J367" s="242"/>
    </row>
    <row r="368" spans="2:19">
      <c r="I368" s="242"/>
      <c r="J368" s="242"/>
    </row>
    <row r="369" spans="1:22">
      <c r="I369" s="242"/>
      <c r="J369" s="242"/>
    </row>
    <row r="370" spans="1:22">
      <c r="I370" s="242"/>
      <c r="J370" s="242"/>
    </row>
    <row r="371" spans="1:22">
      <c r="I371" s="242"/>
      <c r="J371" s="242"/>
    </row>
    <row r="372" spans="1:22" s="239" customFormat="1">
      <c r="A372" s="239" t="s">
        <v>89</v>
      </c>
      <c r="B372" s="239" t="s">
        <v>90</v>
      </c>
      <c r="C372" s="239" t="s">
        <v>91</v>
      </c>
      <c r="D372" s="239" t="s">
        <v>92</v>
      </c>
      <c r="E372" s="239" t="s">
        <v>93</v>
      </c>
      <c r="F372" s="239" t="s">
        <v>94</v>
      </c>
      <c r="G372" s="239" t="s">
        <v>95</v>
      </c>
      <c r="H372" s="239" t="s">
        <v>96</v>
      </c>
      <c r="I372" s="239" t="s">
        <v>97</v>
      </c>
      <c r="J372" s="239" t="s">
        <v>98</v>
      </c>
      <c r="K372" s="239" t="s">
        <v>99</v>
      </c>
      <c r="L372" s="239" t="s">
        <v>100</v>
      </c>
      <c r="M372" s="239" t="s">
        <v>101</v>
      </c>
      <c r="N372" s="239" t="s">
        <v>102</v>
      </c>
      <c r="O372" s="239" t="s">
        <v>103</v>
      </c>
      <c r="P372" s="239" t="s">
        <v>104</v>
      </c>
      <c r="S372" s="239" t="s">
        <v>0</v>
      </c>
    </row>
    <row r="373" spans="1:22">
      <c r="A373" s="241" t="s">
        <v>105</v>
      </c>
      <c r="B373" s="241" t="s">
        <v>106</v>
      </c>
      <c r="C373" s="241" t="s">
        <v>107</v>
      </c>
      <c r="D373" s="241" t="s">
        <v>108</v>
      </c>
      <c r="E373" s="347">
        <v>1</v>
      </c>
      <c r="G373" s="241" t="s">
        <v>109</v>
      </c>
      <c r="H373" s="241">
        <v>1</v>
      </c>
      <c r="I373" s="242">
        <v>45292</v>
      </c>
      <c r="J373" s="242"/>
      <c r="L373" s="241" t="s">
        <v>110</v>
      </c>
      <c r="O373" s="241" t="s">
        <v>182</v>
      </c>
      <c r="P373" s="241" t="s">
        <v>109</v>
      </c>
      <c r="S373" s="241">
        <f>YEAR(I373)</f>
        <v>2024</v>
      </c>
    </row>
    <row r="374" spans="1:22">
      <c r="A374" s="241" t="s">
        <v>105</v>
      </c>
      <c r="B374" s="241" t="s">
        <v>106</v>
      </c>
      <c r="C374" s="241" t="s">
        <v>107</v>
      </c>
      <c r="D374" s="241" t="s">
        <v>108</v>
      </c>
      <c r="E374" s="241">
        <v>1.0218</v>
      </c>
      <c r="G374" s="241" t="s">
        <v>109</v>
      </c>
      <c r="H374" s="241">
        <v>1</v>
      </c>
      <c r="I374" s="242">
        <v>45658</v>
      </c>
      <c r="J374" s="242"/>
      <c r="L374" s="241" t="s">
        <v>110</v>
      </c>
      <c r="O374" s="241" t="s">
        <v>182</v>
      </c>
      <c r="P374" s="241" t="s">
        <v>109</v>
      </c>
      <c r="S374" s="241">
        <f t="shared" ref="S374:S396" si="9">YEAR(I374)</f>
        <v>2025</v>
      </c>
      <c r="V374" s="241">
        <f>E374/E373-1</f>
        <v>2.1800000000000042E-2</v>
      </c>
    </row>
    <row r="375" spans="1:22">
      <c r="A375" s="241" t="s">
        <v>105</v>
      </c>
      <c r="B375" s="241" t="s">
        <v>106</v>
      </c>
      <c r="C375" s="241" t="s">
        <v>107</v>
      </c>
      <c r="D375" s="241" t="s">
        <v>108</v>
      </c>
      <c r="E375" s="241">
        <v>1.04407524</v>
      </c>
      <c r="G375" s="241" t="s">
        <v>109</v>
      </c>
      <c r="H375" s="241">
        <v>1</v>
      </c>
      <c r="I375" s="242">
        <v>46023</v>
      </c>
      <c r="J375" s="242"/>
      <c r="L375" s="241" t="s">
        <v>110</v>
      </c>
      <c r="O375" s="241" t="s">
        <v>182</v>
      </c>
      <c r="P375" s="241" t="s">
        <v>109</v>
      </c>
      <c r="S375" s="241">
        <f t="shared" si="9"/>
        <v>2026</v>
      </c>
      <c r="V375" s="241">
        <f>E375/E374-1</f>
        <v>2.179999999999982E-2</v>
      </c>
    </row>
    <row r="376" spans="1:22">
      <c r="A376" s="241" t="s">
        <v>105</v>
      </c>
      <c r="B376" s="241" t="s">
        <v>106</v>
      </c>
      <c r="C376" s="241" t="s">
        <v>107</v>
      </c>
      <c r="D376" s="241" t="s">
        <v>108</v>
      </c>
      <c r="E376" s="241">
        <v>1.0668360800000001</v>
      </c>
      <c r="G376" s="241" t="s">
        <v>109</v>
      </c>
      <c r="H376" s="241">
        <v>1</v>
      </c>
      <c r="I376" s="242">
        <v>46388</v>
      </c>
      <c r="J376" s="242"/>
      <c r="L376" s="241" t="s">
        <v>110</v>
      </c>
      <c r="O376" s="241" t="s">
        <v>182</v>
      </c>
      <c r="P376" s="241" t="s">
        <v>109</v>
      </c>
      <c r="S376" s="241">
        <f t="shared" si="9"/>
        <v>2027</v>
      </c>
      <c r="V376" s="241">
        <f t="shared" ref="V376:V396" si="10">E376/E375-1</f>
        <v>2.179999977779401E-2</v>
      </c>
    </row>
    <row r="377" spans="1:22">
      <c r="A377" s="241" t="s">
        <v>105</v>
      </c>
      <c r="B377" s="241" t="s">
        <v>106</v>
      </c>
      <c r="C377" s="241" t="s">
        <v>107</v>
      </c>
      <c r="D377" s="241" t="s">
        <v>108</v>
      </c>
      <c r="E377" s="241">
        <v>1.090093107</v>
      </c>
      <c r="G377" s="241" t="s">
        <v>109</v>
      </c>
      <c r="H377" s="241">
        <v>1</v>
      </c>
      <c r="I377" s="242">
        <v>46753</v>
      </c>
      <c r="J377" s="242"/>
      <c r="L377" s="241" t="s">
        <v>110</v>
      </c>
      <c r="O377" s="241" t="s">
        <v>182</v>
      </c>
      <c r="P377" s="241" t="s">
        <v>109</v>
      </c>
      <c r="S377" s="241">
        <f t="shared" si="9"/>
        <v>2028</v>
      </c>
      <c r="V377" s="241">
        <f t="shared" si="10"/>
        <v>2.1800000427431909E-2</v>
      </c>
    </row>
    <row r="378" spans="1:22">
      <c r="A378" s="241" t="s">
        <v>105</v>
      </c>
      <c r="B378" s="241" t="s">
        <v>106</v>
      </c>
      <c r="C378" s="241" t="s">
        <v>107</v>
      </c>
      <c r="D378" s="241" t="s">
        <v>108</v>
      </c>
      <c r="E378" s="241">
        <v>1.1138571370000001</v>
      </c>
      <c r="G378" s="241" t="s">
        <v>109</v>
      </c>
      <c r="H378" s="241">
        <v>1</v>
      </c>
      <c r="I378" s="242">
        <v>47119</v>
      </c>
      <c r="J378" s="242"/>
      <c r="L378" s="241" t="s">
        <v>110</v>
      </c>
      <c r="O378" s="241" t="s">
        <v>182</v>
      </c>
      <c r="P378" s="241" t="s">
        <v>109</v>
      </c>
      <c r="S378" s="241">
        <f t="shared" si="9"/>
        <v>2029</v>
      </c>
      <c r="V378" s="241">
        <f t="shared" si="10"/>
        <v>2.1800000245300266E-2</v>
      </c>
    </row>
    <row r="379" spans="1:22">
      <c r="A379" s="241" t="s">
        <v>105</v>
      </c>
      <c r="B379" s="241" t="s">
        <v>106</v>
      </c>
      <c r="C379" s="241" t="s">
        <v>107</v>
      </c>
      <c r="D379" s="241" t="s">
        <v>108</v>
      </c>
      <c r="E379" s="241">
        <v>1.138139222</v>
      </c>
      <c r="G379" s="241" t="s">
        <v>109</v>
      </c>
      <c r="H379" s="241">
        <v>1</v>
      </c>
      <c r="I379" s="242">
        <v>47484</v>
      </c>
      <c r="J379" s="242"/>
      <c r="L379" s="241" t="s">
        <v>110</v>
      </c>
      <c r="O379" s="241" t="s">
        <v>182</v>
      </c>
      <c r="P379" s="241" t="s">
        <v>109</v>
      </c>
      <c r="S379" s="241">
        <f t="shared" si="9"/>
        <v>2030</v>
      </c>
      <c r="V379" s="241">
        <f t="shared" si="10"/>
        <v>2.1799999473361309E-2</v>
      </c>
    </row>
    <row r="380" spans="1:22">
      <c r="A380" s="241" t="s">
        <v>105</v>
      </c>
      <c r="B380" s="241" t="s">
        <v>106</v>
      </c>
      <c r="C380" s="241" t="s">
        <v>107</v>
      </c>
      <c r="D380" s="241" t="s">
        <v>108</v>
      </c>
      <c r="E380" s="241">
        <v>1.1629506570000001</v>
      </c>
      <c r="G380" s="241" t="s">
        <v>109</v>
      </c>
      <c r="H380" s="241">
        <v>1</v>
      </c>
      <c r="I380" s="242">
        <v>47849</v>
      </c>
      <c r="J380" s="242"/>
      <c r="L380" s="241" t="s">
        <v>110</v>
      </c>
      <c r="O380" s="241" t="s">
        <v>182</v>
      </c>
      <c r="P380" s="241" t="s">
        <v>109</v>
      </c>
      <c r="S380" s="241">
        <f t="shared" si="9"/>
        <v>2031</v>
      </c>
      <c r="V380" s="241">
        <f t="shared" si="10"/>
        <v>2.179999996520654E-2</v>
      </c>
    </row>
    <row r="381" spans="1:22">
      <c r="A381" s="241" t="s">
        <v>105</v>
      </c>
      <c r="B381" s="241" t="s">
        <v>106</v>
      </c>
      <c r="C381" s="241" t="s">
        <v>107</v>
      </c>
      <c r="D381" s="241" t="s">
        <v>108</v>
      </c>
      <c r="E381" s="241">
        <v>1.1883029810000001</v>
      </c>
      <c r="G381" s="241" t="s">
        <v>109</v>
      </c>
      <c r="H381" s="241">
        <v>1</v>
      </c>
      <c r="I381" s="242">
        <v>48214</v>
      </c>
      <c r="J381" s="242"/>
      <c r="L381" s="241" t="s">
        <v>110</v>
      </c>
      <c r="O381" s="241" t="s">
        <v>182</v>
      </c>
      <c r="P381" s="241" t="s">
        <v>109</v>
      </c>
      <c r="S381" s="241">
        <f t="shared" si="9"/>
        <v>2032</v>
      </c>
      <c r="V381" s="241">
        <f t="shared" si="10"/>
        <v>2.1799999722602159E-2</v>
      </c>
    </row>
    <row r="382" spans="1:22">
      <c r="A382" s="241" t="s">
        <v>105</v>
      </c>
      <c r="B382" s="241" t="s">
        <v>106</v>
      </c>
      <c r="C382" s="241" t="s">
        <v>107</v>
      </c>
      <c r="D382" s="241" t="s">
        <v>108</v>
      </c>
      <c r="E382" s="241">
        <v>1.2142079859999999</v>
      </c>
      <c r="G382" s="241" t="s">
        <v>109</v>
      </c>
      <c r="H382" s="241">
        <v>1</v>
      </c>
      <c r="I382" s="242">
        <v>48580</v>
      </c>
      <c r="J382" s="242"/>
      <c r="L382" s="241" t="s">
        <v>110</v>
      </c>
      <c r="O382" s="241" t="s">
        <v>182</v>
      </c>
      <c r="P382" s="241" t="s">
        <v>109</v>
      </c>
      <c r="S382" s="241">
        <f t="shared" si="9"/>
        <v>2033</v>
      </c>
      <c r="V382" s="241">
        <f t="shared" si="10"/>
        <v>2.1800000011949594E-2</v>
      </c>
    </row>
    <row r="383" spans="1:22">
      <c r="A383" s="241" t="s">
        <v>105</v>
      </c>
      <c r="B383" s="241" t="s">
        <v>106</v>
      </c>
      <c r="C383" s="241" t="s">
        <v>107</v>
      </c>
      <c r="D383" s="241" t="s">
        <v>108</v>
      </c>
      <c r="E383" s="241">
        <v>1.240677721</v>
      </c>
      <c r="G383" s="241" t="s">
        <v>109</v>
      </c>
      <c r="H383" s="241">
        <v>1</v>
      </c>
      <c r="I383" s="242">
        <v>48945</v>
      </c>
      <c r="J383" s="242"/>
      <c r="L383" s="241" t="s">
        <v>110</v>
      </c>
      <c r="O383" s="241" t="s">
        <v>182</v>
      </c>
      <c r="P383" s="241" t="s">
        <v>109</v>
      </c>
      <c r="S383" s="241">
        <f t="shared" si="9"/>
        <v>2034</v>
      </c>
      <c r="V383" s="241">
        <f t="shared" si="10"/>
        <v>2.1800000745506587E-2</v>
      </c>
    </row>
    <row r="384" spans="1:22">
      <c r="A384" s="241" t="s">
        <v>105</v>
      </c>
      <c r="B384" s="241" t="s">
        <v>106</v>
      </c>
      <c r="C384" s="241" t="s">
        <v>107</v>
      </c>
      <c r="D384" s="241" t="s">
        <v>108</v>
      </c>
      <c r="E384" s="241">
        <v>1.267724495</v>
      </c>
      <c r="G384" s="241" t="s">
        <v>109</v>
      </c>
      <c r="H384" s="241">
        <v>1</v>
      </c>
      <c r="I384" s="242">
        <v>49310</v>
      </c>
      <c r="J384" s="242"/>
      <c r="L384" s="241" t="s">
        <v>110</v>
      </c>
      <c r="O384" s="241" t="s">
        <v>182</v>
      </c>
      <c r="P384" s="241" t="s">
        <v>109</v>
      </c>
      <c r="S384" s="241">
        <f t="shared" si="9"/>
        <v>2035</v>
      </c>
      <c r="V384" s="241">
        <f t="shared" si="10"/>
        <v>2.1799999743849607E-2</v>
      </c>
    </row>
    <row r="385" spans="1:22">
      <c r="A385" s="241" t="s">
        <v>105</v>
      </c>
      <c r="B385" s="241" t="s">
        <v>106</v>
      </c>
      <c r="C385" s="241" t="s">
        <v>107</v>
      </c>
      <c r="D385" s="241" t="s">
        <v>108</v>
      </c>
      <c r="E385" s="241">
        <v>1.2953608889999999</v>
      </c>
      <c r="G385" s="241" t="s">
        <v>109</v>
      </c>
      <c r="H385" s="241">
        <v>1</v>
      </c>
      <c r="I385" s="242">
        <v>49675</v>
      </c>
      <c r="J385" s="242"/>
      <c r="L385" s="241" t="s">
        <v>110</v>
      </c>
      <c r="O385" s="241" t="s">
        <v>182</v>
      </c>
      <c r="P385" s="241" t="s">
        <v>109</v>
      </c>
      <c r="S385" s="241">
        <f t="shared" si="9"/>
        <v>2036</v>
      </c>
      <c r="V385" s="241">
        <f t="shared" si="10"/>
        <v>2.1800000007099252E-2</v>
      </c>
    </row>
    <row r="386" spans="1:22">
      <c r="A386" s="241" t="s">
        <v>105</v>
      </c>
      <c r="B386" s="241" t="s">
        <v>106</v>
      </c>
      <c r="C386" s="241" t="s">
        <v>107</v>
      </c>
      <c r="D386" s="241" t="s">
        <v>108</v>
      </c>
      <c r="E386" s="241">
        <v>1.3235997559999999</v>
      </c>
      <c r="G386" s="241" t="s">
        <v>109</v>
      </c>
      <c r="H386" s="241">
        <v>1</v>
      </c>
      <c r="I386" s="242">
        <v>50041</v>
      </c>
      <c r="J386" s="242"/>
      <c r="L386" s="241" t="s">
        <v>110</v>
      </c>
      <c r="O386" s="241" t="s">
        <v>182</v>
      </c>
      <c r="P386" s="241" t="s">
        <v>109</v>
      </c>
      <c r="S386" s="241">
        <f t="shared" si="9"/>
        <v>2037</v>
      </c>
      <c r="V386" s="241">
        <f t="shared" si="10"/>
        <v>2.1799999706491047E-2</v>
      </c>
    </row>
    <row r="387" spans="1:22">
      <c r="A387" s="241" t="s">
        <v>105</v>
      </c>
      <c r="B387" s="241" t="s">
        <v>106</v>
      </c>
      <c r="C387" s="241" t="s">
        <v>107</v>
      </c>
      <c r="D387" s="241" t="s">
        <v>108</v>
      </c>
      <c r="E387" s="241">
        <v>1.3524542310000001</v>
      </c>
      <c r="G387" s="241" t="s">
        <v>109</v>
      </c>
      <c r="H387" s="241">
        <v>1</v>
      </c>
      <c r="I387" s="242">
        <v>50406</v>
      </c>
      <c r="J387" s="242"/>
      <c r="L387" s="241" t="s">
        <v>110</v>
      </c>
      <c r="O387" s="241" t="s">
        <v>182</v>
      </c>
      <c r="P387" s="241" t="s">
        <v>109</v>
      </c>
      <c r="S387" s="241">
        <f t="shared" si="9"/>
        <v>2038</v>
      </c>
      <c r="V387" s="241">
        <f t="shared" si="10"/>
        <v>2.1800000241160689E-2</v>
      </c>
    </row>
    <row r="388" spans="1:22">
      <c r="A388" s="241" t="s">
        <v>105</v>
      </c>
      <c r="B388" s="241" t="s">
        <v>106</v>
      </c>
      <c r="C388" s="241" t="s">
        <v>107</v>
      </c>
      <c r="D388" s="241" t="s">
        <v>108</v>
      </c>
      <c r="E388" s="241">
        <v>1.381937733</v>
      </c>
      <c r="G388" s="241" t="s">
        <v>109</v>
      </c>
      <c r="H388" s="241">
        <v>1</v>
      </c>
      <c r="I388" s="242">
        <v>50771</v>
      </c>
      <c r="J388" s="242"/>
      <c r="L388" s="241" t="s">
        <v>110</v>
      </c>
      <c r="O388" s="241" t="s">
        <v>182</v>
      </c>
      <c r="P388" s="241" t="s">
        <v>109</v>
      </c>
      <c r="S388" s="241">
        <f t="shared" si="9"/>
        <v>2039</v>
      </c>
      <c r="V388" s="241">
        <f t="shared" si="10"/>
        <v>2.1799999825650174E-2</v>
      </c>
    </row>
    <row r="389" spans="1:22">
      <c r="A389" s="241" t="s">
        <v>105</v>
      </c>
      <c r="B389" s="241" t="s">
        <v>106</v>
      </c>
      <c r="C389" s="241" t="s">
        <v>107</v>
      </c>
      <c r="D389" s="241" t="s">
        <v>108</v>
      </c>
      <c r="E389" s="241">
        <v>1.412063976</v>
      </c>
      <c r="G389" s="241" t="s">
        <v>109</v>
      </c>
      <c r="H389" s="241">
        <v>1</v>
      </c>
      <c r="I389" s="242">
        <v>51136</v>
      </c>
      <c r="J389" s="242"/>
      <c r="L389" s="241" t="s">
        <v>110</v>
      </c>
      <c r="O389" s="241" t="s">
        <v>182</v>
      </c>
      <c r="P389" s="241" t="s">
        <v>109</v>
      </c>
      <c r="S389" s="241">
        <f t="shared" si="9"/>
        <v>2040</v>
      </c>
      <c r="V389" s="241">
        <f t="shared" si="10"/>
        <v>2.1800000304355249E-2</v>
      </c>
    </row>
    <row r="390" spans="1:22">
      <c r="A390" s="241" t="s">
        <v>105</v>
      </c>
      <c r="B390" s="241" t="s">
        <v>106</v>
      </c>
      <c r="C390" s="241" t="s">
        <v>107</v>
      </c>
      <c r="D390" s="241" t="s">
        <v>108</v>
      </c>
      <c r="E390" s="241">
        <v>1.44284697</v>
      </c>
      <c r="G390" s="241" t="s">
        <v>109</v>
      </c>
      <c r="H390" s="241">
        <v>1</v>
      </c>
      <c r="I390" s="242">
        <v>51502</v>
      </c>
      <c r="J390" s="242"/>
      <c r="L390" s="241" t="s">
        <v>110</v>
      </c>
      <c r="O390" s="241" t="s">
        <v>182</v>
      </c>
      <c r="P390" s="241" t="s">
        <v>109</v>
      </c>
      <c r="S390" s="241">
        <f t="shared" si="9"/>
        <v>2041</v>
      </c>
      <c r="V390" s="241">
        <f t="shared" si="10"/>
        <v>2.1799999520701663E-2</v>
      </c>
    </row>
    <row r="391" spans="1:22">
      <c r="A391" s="241" t="s">
        <v>105</v>
      </c>
      <c r="B391" s="241" t="s">
        <v>106</v>
      </c>
      <c r="C391" s="241" t="s">
        <v>107</v>
      </c>
      <c r="D391" s="241" t="s">
        <v>108</v>
      </c>
      <c r="E391" s="241">
        <v>1.474301034</v>
      </c>
      <c r="G391" s="241" t="s">
        <v>109</v>
      </c>
      <c r="H391" s="241">
        <v>1</v>
      </c>
      <c r="I391" s="242">
        <v>51867</v>
      </c>
      <c r="J391" s="242"/>
      <c r="L391" s="241" t="s">
        <v>110</v>
      </c>
      <c r="O391" s="241" t="s">
        <v>182</v>
      </c>
      <c r="P391" s="241" t="s">
        <v>109</v>
      </c>
      <c r="S391" s="241">
        <f t="shared" si="9"/>
        <v>2042</v>
      </c>
      <c r="V391" s="241">
        <f t="shared" si="10"/>
        <v>2.1800000037426104E-2</v>
      </c>
    </row>
    <row r="392" spans="1:22">
      <c r="A392" s="241" t="s">
        <v>105</v>
      </c>
      <c r="B392" s="241" t="s">
        <v>106</v>
      </c>
      <c r="C392" s="241" t="s">
        <v>107</v>
      </c>
      <c r="D392" s="241" t="s">
        <v>108</v>
      </c>
      <c r="E392" s="241">
        <v>1.506440797</v>
      </c>
      <c r="G392" s="241" t="s">
        <v>109</v>
      </c>
      <c r="H392" s="241">
        <v>1</v>
      </c>
      <c r="I392" s="242">
        <v>52232</v>
      </c>
      <c r="J392" s="242"/>
      <c r="L392" s="241" t="s">
        <v>110</v>
      </c>
      <c r="O392" s="241" t="s">
        <v>182</v>
      </c>
      <c r="P392" s="241" t="s">
        <v>109</v>
      </c>
      <c r="S392" s="241">
        <f t="shared" si="9"/>
        <v>2043</v>
      </c>
      <c r="V392" s="241">
        <f t="shared" si="10"/>
        <v>2.180000031119822E-2</v>
      </c>
    </row>
    <row r="393" spans="1:22">
      <c r="A393" s="241" t="s">
        <v>105</v>
      </c>
      <c r="B393" s="241" t="s">
        <v>106</v>
      </c>
      <c r="C393" s="241" t="s">
        <v>107</v>
      </c>
      <c r="D393" s="241" t="s">
        <v>108</v>
      </c>
      <c r="E393" s="241">
        <v>1.5392812060000001</v>
      </c>
      <c r="G393" s="241" t="s">
        <v>109</v>
      </c>
      <c r="H393" s="241">
        <v>1</v>
      </c>
      <c r="I393" s="242">
        <v>52597</v>
      </c>
      <c r="J393" s="242"/>
      <c r="L393" s="241" t="s">
        <v>110</v>
      </c>
      <c r="O393" s="241" t="s">
        <v>182</v>
      </c>
      <c r="P393" s="241" t="s">
        <v>109</v>
      </c>
      <c r="S393" s="241">
        <f t="shared" si="9"/>
        <v>2044</v>
      </c>
      <c r="V393" s="241">
        <f t="shared" si="10"/>
        <v>2.1799999751334509E-2</v>
      </c>
    </row>
    <row r="394" spans="1:22">
      <c r="A394" s="241" t="s">
        <v>105</v>
      </c>
      <c r="B394" s="241" t="s">
        <v>106</v>
      </c>
      <c r="C394" s="241" t="s">
        <v>107</v>
      </c>
      <c r="D394" s="241" t="s">
        <v>108</v>
      </c>
      <c r="E394" s="241">
        <v>1.5728375370000001</v>
      </c>
      <c r="G394" s="241" t="s">
        <v>109</v>
      </c>
      <c r="H394" s="241">
        <v>1</v>
      </c>
      <c r="I394" s="242">
        <v>52963</v>
      </c>
      <c r="J394" s="242"/>
      <c r="L394" s="241" t="s">
        <v>110</v>
      </c>
      <c r="O394" s="241" t="s">
        <v>182</v>
      </c>
      <c r="P394" s="241" t="s">
        <v>109</v>
      </c>
      <c r="S394" s="241">
        <f t="shared" si="9"/>
        <v>2045</v>
      </c>
      <c r="V394" s="241">
        <f t="shared" si="10"/>
        <v>2.1800000460734603E-2</v>
      </c>
    </row>
    <row r="395" spans="1:22">
      <c r="A395" s="241" t="s">
        <v>105</v>
      </c>
      <c r="B395" s="241" t="s">
        <v>106</v>
      </c>
      <c r="C395" s="241" t="s">
        <v>107</v>
      </c>
      <c r="D395" s="241" t="s">
        <v>108</v>
      </c>
      <c r="E395" s="241">
        <v>1.607125395</v>
      </c>
      <c r="G395" s="241" t="s">
        <v>109</v>
      </c>
      <c r="H395" s="241">
        <v>1</v>
      </c>
      <c r="I395" s="242">
        <v>53328</v>
      </c>
      <c r="J395" s="242"/>
      <c r="L395" s="241" t="s">
        <v>110</v>
      </c>
      <c r="O395" s="241" t="s">
        <v>182</v>
      </c>
      <c r="P395" s="241" t="s">
        <v>109</v>
      </c>
      <c r="S395" s="241">
        <f t="shared" si="9"/>
        <v>2046</v>
      </c>
      <c r="V395" s="241">
        <f t="shared" si="10"/>
        <v>2.1799999805065529E-2</v>
      </c>
    </row>
    <row r="396" spans="1:22">
      <c r="A396" s="241" t="s">
        <v>105</v>
      </c>
      <c r="B396" s="241" t="s">
        <v>106</v>
      </c>
      <c r="C396" s="241" t="s">
        <v>107</v>
      </c>
      <c r="D396" s="241" t="s">
        <v>108</v>
      </c>
      <c r="E396" s="241">
        <v>1.6421607279999999</v>
      </c>
      <c r="G396" s="241" t="s">
        <v>109</v>
      </c>
      <c r="H396" s="241">
        <v>1</v>
      </c>
      <c r="I396" s="242">
        <v>53693</v>
      </c>
      <c r="J396" s="242"/>
      <c r="L396" s="241" t="s">
        <v>110</v>
      </c>
      <c r="O396" s="241" t="s">
        <v>182</v>
      </c>
      <c r="P396" s="241" t="s">
        <v>109</v>
      </c>
      <c r="S396" s="241">
        <f t="shared" si="9"/>
        <v>2047</v>
      </c>
      <c r="V396" s="241">
        <f t="shared" si="10"/>
        <v>2.1799999619818156E-2</v>
      </c>
    </row>
    <row r="399" spans="1:22">
      <c r="A399" t="s">
        <v>184</v>
      </c>
      <c r="B399"/>
      <c r="C399" s="262">
        <v>6.3799999999999996E-2</v>
      </c>
    </row>
    <row r="401" spans="1:16" s="239" customFormat="1">
      <c r="A401" s="239" t="s">
        <v>89</v>
      </c>
      <c r="B401" s="239" t="s">
        <v>90</v>
      </c>
      <c r="C401" s="239" t="s">
        <v>91</v>
      </c>
      <c r="D401" s="239" t="s">
        <v>92</v>
      </c>
      <c r="E401" s="239" t="s">
        <v>93</v>
      </c>
      <c r="F401" s="239" t="s">
        <v>94</v>
      </c>
      <c r="G401" s="239" t="s">
        <v>95</v>
      </c>
      <c r="H401" s="239" t="s">
        <v>96</v>
      </c>
      <c r="I401" s="239" t="s">
        <v>97</v>
      </c>
      <c r="J401" s="239" t="s">
        <v>98</v>
      </c>
      <c r="K401" s="239" t="s">
        <v>99</v>
      </c>
      <c r="L401" s="239" t="s">
        <v>100</v>
      </c>
      <c r="M401" s="239" t="s">
        <v>101</v>
      </c>
      <c r="N401" s="239" t="s">
        <v>102</v>
      </c>
      <c r="O401" s="239" t="s">
        <v>103</v>
      </c>
      <c r="P401" s="239" t="s">
        <v>104</v>
      </c>
    </row>
    <row r="402" spans="1:16">
      <c r="A402" s="241" t="s">
        <v>135</v>
      </c>
      <c r="B402" s="241" t="s">
        <v>106</v>
      </c>
      <c r="C402" s="241" t="s">
        <v>245</v>
      </c>
      <c r="D402" s="241" t="s">
        <v>187</v>
      </c>
      <c r="E402" s="241">
        <v>0</v>
      </c>
      <c r="G402" s="241" t="s">
        <v>31</v>
      </c>
      <c r="H402" s="241">
        <v>1</v>
      </c>
      <c r="L402" s="241" t="s">
        <v>109</v>
      </c>
      <c r="M402" s="241" t="s">
        <v>113</v>
      </c>
      <c r="P402" s="241" t="s">
        <v>140</v>
      </c>
    </row>
    <row r="403" spans="1:16">
      <c r="A403" s="241" t="s">
        <v>135</v>
      </c>
      <c r="B403" s="241" t="s">
        <v>106</v>
      </c>
      <c r="C403" s="241" t="s">
        <v>246</v>
      </c>
      <c r="D403" s="241" t="s">
        <v>187</v>
      </c>
      <c r="E403" s="241">
        <v>0</v>
      </c>
      <c r="G403" s="241" t="s">
        <v>31</v>
      </c>
      <c r="H403" s="241">
        <v>1</v>
      </c>
      <c r="L403" s="241" t="s">
        <v>109</v>
      </c>
      <c r="M403" s="241" t="s">
        <v>112</v>
      </c>
      <c r="P403" s="241" t="s">
        <v>140</v>
      </c>
    </row>
    <row r="404" spans="1:16">
      <c r="A404" s="241" t="s">
        <v>135</v>
      </c>
      <c r="B404" s="241" t="s">
        <v>106</v>
      </c>
      <c r="C404" s="241" t="s">
        <v>247</v>
      </c>
      <c r="D404" s="241" t="s">
        <v>187</v>
      </c>
      <c r="E404" s="241">
        <v>0</v>
      </c>
      <c r="G404" s="241" t="s">
        <v>31</v>
      </c>
      <c r="H404" s="241">
        <v>1</v>
      </c>
      <c r="L404" s="241" t="s">
        <v>109</v>
      </c>
      <c r="M404" s="241" t="s">
        <v>113</v>
      </c>
      <c r="P404" s="241" t="s">
        <v>140</v>
      </c>
    </row>
    <row r="405" spans="1:16">
      <c r="A405" s="241" t="s">
        <v>135</v>
      </c>
      <c r="B405" s="241" t="s">
        <v>106</v>
      </c>
      <c r="C405" s="241" t="s">
        <v>248</v>
      </c>
      <c r="D405" s="241" t="s">
        <v>187</v>
      </c>
      <c r="E405" s="241">
        <v>0</v>
      </c>
      <c r="G405" s="241" t="s">
        <v>31</v>
      </c>
      <c r="H405" s="241">
        <v>1</v>
      </c>
      <c r="L405" s="241" t="s">
        <v>109</v>
      </c>
      <c r="M405" s="241" t="s">
        <v>112</v>
      </c>
      <c r="P405" s="241" t="s">
        <v>140</v>
      </c>
    </row>
    <row r="406" spans="1:16">
      <c r="A406" s="241" t="s">
        <v>135</v>
      </c>
      <c r="B406" s="241" t="s">
        <v>106</v>
      </c>
      <c r="C406" s="241" t="s">
        <v>136</v>
      </c>
      <c r="D406" s="241" t="s">
        <v>187</v>
      </c>
      <c r="E406" s="241">
        <v>0</v>
      </c>
      <c r="G406" s="241" t="s">
        <v>31</v>
      </c>
      <c r="H406" s="241">
        <v>1</v>
      </c>
      <c r="L406" s="241" t="s">
        <v>109</v>
      </c>
      <c r="M406" s="241" t="s">
        <v>112</v>
      </c>
      <c r="P406" s="241" t="s">
        <v>140</v>
      </c>
    </row>
    <row r="407" spans="1:16">
      <c r="A407" s="241" t="s">
        <v>135</v>
      </c>
      <c r="B407" s="241" t="s">
        <v>106</v>
      </c>
      <c r="C407" s="241" t="s">
        <v>249</v>
      </c>
      <c r="D407" s="241" t="s">
        <v>187</v>
      </c>
      <c r="E407" s="241">
        <v>0</v>
      </c>
      <c r="G407" s="241" t="s">
        <v>31</v>
      </c>
      <c r="H407" s="241">
        <v>1</v>
      </c>
      <c r="L407" s="241" t="s">
        <v>109</v>
      </c>
      <c r="M407" s="241" t="s">
        <v>113</v>
      </c>
      <c r="P407" s="241" t="s">
        <v>140</v>
      </c>
    </row>
    <row r="408" spans="1:16">
      <c r="A408" s="241" t="s">
        <v>135</v>
      </c>
      <c r="B408" s="241" t="s">
        <v>106</v>
      </c>
      <c r="C408" s="241" t="s">
        <v>250</v>
      </c>
      <c r="D408" s="241" t="s">
        <v>187</v>
      </c>
      <c r="E408" s="241">
        <v>0</v>
      </c>
      <c r="G408" s="241" t="s">
        <v>31</v>
      </c>
      <c r="H408" s="241">
        <v>1</v>
      </c>
      <c r="L408" s="241" t="s">
        <v>109</v>
      </c>
      <c r="M408" s="241" t="s">
        <v>112</v>
      </c>
      <c r="P408" s="241" t="s">
        <v>140</v>
      </c>
    </row>
    <row r="409" spans="1:16">
      <c r="A409" s="241" t="s">
        <v>135</v>
      </c>
      <c r="B409" s="241" t="s">
        <v>106</v>
      </c>
      <c r="C409" s="241" t="s">
        <v>251</v>
      </c>
      <c r="D409" s="241" t="s">
        <v>187</v>
      </c>
      <c r="E409" s="241">
        <v>0</v>
      </c>
      <c r="G409" s="241" t="s">
        <v>31</v>
      </c>
      <c r="H409" s="241">
        <v>1</v>
      </c>
      <c r="L409" s="241" t="s">
        <v>109</v>
      </c>
      <c r="M409" s="241" t="s">
        <v>112</v>
      </c>
      <c r="P409" s="241" t="s">
        <v>140</v>
      </c>
    </row>
    <row r="410" spans="1:16">
      <c r="A410" s="241" t="s">
        <v>135</v>
      </c>
      <c r="B410" s="241" t="s">
        <v>106</v>
      </c>
      <c r="C410" s="241" t="s">
        <v>252</v>
      </c>
      <c r="D410" s="241" t="s">
        <v>187</v>
      </c>
      <c r="E410" s="241">
        <v>0</v>
      </c>
      <c r="G410" s="241" t="s">
        <v>31</v>
      </c>
      <c r="H410" s="241">
        <v>1</v>
      </c>
      <c r="L410" s="241" t="s">
        <v>109</v>
      </c>
      <c r="M410" s="241" t="s">
        <v>113</v>
      </c>
      <c r="P410" s="241" t="s">
        <v>140</v>
      </c>
    </row>
    <row r="411" spans="1:16">
      <c r="A411" s="241" t="s">
        <v>135</v>
      </c>
      <c r="B411" s="241" t="s">
        <v>106</v>
      </c>
      <c r="C411" s="241" t="s">
        <v>253</v>
      </c>
      <c r="D411" s="241" t="s">
        <v>187</v>
      </c>
      <c r="E411" s="241">
        <v>0</v>
      </c>
      <c r="G411" s="241" t="s">
        <v>31</v>
      </c>
      <c r="H411" s="241">
        <v>1</v>
      </c>
      <c r="L411" s="241" t="s">
        <v>109</v>
      </c>
      <c r="M411" s="241" t="s">
        <v>113</v>
      </c>
      <c r="P411" s="241" t="s">
        <v>140</v>
      </c>
    </row>
    <row r="412" spans="1:16">
      <c r="A412" s="241" t="s">
        <v>135</v>
      </c>
      <c r="B412" s="241" t="s">
        <v>106</v>
      </c>
      <c r="C412" s="241" t="s">
        <v>254</v>
      </c>
      <c r="D412" s="241" t="s">
        <v>187</v>
      </c>
      <c r="E412" s="241">
        <v>0</v>
      </c>
      <c r="G412" s="241" t="s">
        <v>31</v>
      </c>
      <c r="H412" s="241">
        <v>1</v>
      </c>
      <c r="L412" s="241" t="s">
        <v>109</v>
      </c>
      <c r="M412" s="241" t="s">
        <v>112</v>
      </c>
      <c r="P412" s="241" t="s">
        <v>140</v>
      </c>
    </row>
    <row r="413" spans="1:16">
      <c r="A413" s="241" t="s">
        <v>135</v>
      </c>
      <c r="B413" s="241" t="s">
        <v>106</v>
      </c>
      <c r="C413" s="241" t="s">
        <v>255</v>
      </c>
      <c r="D413" s="241" t="s">
        <v>187</v>
      </c>
      <c r="E413" s="241">
        <v>0</v>
      </c>
      <c r="G413" s="241" t="s">
        <v>31</v>
      </c>
      <c r="H413" s="241">
        <v>1</v>
      </c>
      <c r="L413" s="241" t="s">
        <v>109</v>
      </c>
      <c r="M413" s="241" t="s">
        <v>112</v>
      </c>
      <c r="P413" s="241" t="s">
        <v>140</v>
      </c>
    </row>
    <row r="414" spans="1:16">
      <c r="A414" s="241" t="s">
        <v>135</v>
      </c>
      <c r="B414" s="241" t="s">
        <v>106</v>
      </c>
      <c r="C414" s="241" t="s">
        <v>256</v>
      </c>
      <c r="D414" s="241" t="s">
        <v>187</v>
      </c>
      <c r="E414" s="241">
        <v>0</v>
      </c>
      <c r="G414" s="241" t="s">
        <v>31</v>
      </c>
      <c r="H414" s="241">
        <v>1</v>
      </c>
      <c r="L414" s="241" t="s">
        <v>109</v>
      </c>
      <c r="M414" s="241" t="s">
        <v>112</v>
      </c>
      <c r="P414" s="241" t="s">
        <v>140</v>
      </c>
    </row>
    <row r="415" spans="1:16">
      <c r="A415" s="241" t="s">
        <v>135</v>
      </c>
      <c r="B415" s="241" t="s">
        <v>106</v>
      </c>
      <c r="C415" s="241" t="s">
        <v>141</v>
      </c>
      <c r="D415" s="241" t="s">
        <v>187</v>
      </c>
      <c r="E415" s="241">
        <v>0</v>
      </c>
      <c r="G415" s="241" t="s">
        <v>31</v>
      </c>
      <c r="H415" s="241">
        <v>1</v>
      </c>
      <c r="L415" s="241" t="s">
        <v>109</v>
      </c>
      <c r="M415" s="241" t="s">
        <v>112</v>
      </c>
      <c r="P415" s="241" t="s">
        <v>140</v>
      </c>
    </row>
    <row r="416" spans="1:16">
      <c r="A416" s="241" t="s">
        <v>135</v>
      </c>
      <c r="B416" s="241" t="s">
        <v>106</v>
      </c>
      <c r="C416" s="241" t="s">
        <v>142</v>
      </c>
      <c r="D416" s="241" t="s">
        <v>187</v>
      </c>
      <c r="E416" s="241">
        <v>0</v>
      </c>
      <c r="G416" s="241" t="s">
        <v>31</v>
      </c>
      <c r="H416" s="241">
        <v>1</v>
      </c>
      <c r="L416" s="241" t="s">
        <v>109</v>
      </c>
      <c r="M416" s="241" t="s">
        <v>112</v>
      </c>
      <c r="P416" s="241" t="s">
        <v>140</v>
      </c>
    </row>
    <row r="417" spans="1:16">
      <c r="A417" s="241" t="s">
        <v>135</v>
      </c>
      <c r="B417" s="241" t="s">
        <v>106</v>
      </c>
      <c r="C417" s="241" t="s">
        <v>257</v>
      </c>
      <c r="D417" s="241" t="s">
        <v>187</v>
      </c>
      <c r="E417" s="241">
        <v>0</v>
      </c>
      <c r="G417" s="241" t="s">
        <v>31</v>
      </c>
      <c r="H417" s="241">
        <v>1</v>
      </c>
      <c r="L417" s="241" t="s">
        <v>109</v>
      </c>
      <c r="M417" s="241" t="s">
        <v>113</v>
      </c>
      <c r="P417" s="241" t="s">
        <v>140</v>
      </c>
    </row>
    <row r="418" spans="1:16">
      <c r="A418" s="241" t="s">
        <v>135</v>
      </c>
      <c r="B418" s="241" t="s">
        <v>106</v>
      </c>
      <c r="C418" s="241" t="s">
        <v>143</v>
      </c>
      <c r="D418" s="241" t="s">
        <v>187</v>
      </c>
      <c r="E418" s="241">
        <v>0</v>
      </c>
      <c r="G418" s="241" t="s">
        <v>31</v>
      </c>
      <c r="H418" s="241">
        <v>1</v>
      </c>
      <c r="L418" s="241" t="s">
        <v>109</v>
      </c>
      <c r="M418" s="241" t="s">
        <v>113</v>
      </c>
      <c r="P418" s="241" t="s">
        <v>140</v>
      </c>
    </row>
    <row r="419" spans="1:16">
      <c r="A419" s="241" t="s">
        <v>135</v>
      </c>
      <c r="B419" s="241" t="s">
        <v>106</v>
      </c>
      <c r="C419" s="241" t="s">
        <v>258</v>
      </c>
      <c r="D419" s="241" t="s">
        <v>187</v>
      </c>
      <c r="E419" s="241">
        <v>0</v>
      </c>
      <c r="G419" s="241" t="s">
        <v>31</v>
      </c>
      <c r="H419" s="241">
        <v>1</v>
      </c>
      <c r="L419" s="241" t="s">
        <v>109</v>
      </c>
      <c r="M419" s="241" t="s">
        <v>112</v>
      </c>
      <c r="P419" s="241" t="s">
        <v>140</v>
      </c>
    </row>
    <row r="420" spans="1:16">
      <c r="A420" s="241" t="s">
        <v>135</v>
      </c>
      <c r="B420" s="241" t="s">
        <v>106</v>
      </c>
      <c r="C420" s="241" t="s">
        <v>144</v>
      </c>
      <c r="D420" s="241" t="s">
        <v>187</v>
      </c>
      <c r="E420" s="241">
        <v>0</v>
      </c>
      <c r="G420" s="241" t="s">
        <v>31</v>
      </c>
      <c r="H420" s="241">
        <v>1</v>
      </c>
      <c r="L420" s="241" t="s">
        <v>109</v>
      </c>
      <c r="M420" s="241" t="s">
        <v>112</v>
      </c>
      <c r="P420" s="241" t="s">
        <v>140</v>
      </c>
    </row>
    <row r="421" spans="1:16">
      <c r="A421" s="241" t="s">
        <v>135</v>
      </c>
      <c r="B421" s="241" t="s">
        <v>106</v>
      </c>
      <c r="C421" s="241" t="s">
        <v>259</v>
      </c>
      <c r="D421" s="241" t="s">
        <v>187</v>
      </c>
      <c r="E421" s="241">
        <v>0</v>
      </c>
      <c r="G421" s="241" t="s">
        <v>31</v>
      </c>
      <c r="H421" s="241">
        <v>1</v>
      </c>
      <c r="L421" s="241" t="s">
        <v>109</v>
      </c>
      <c r="M421" s="241" t="s">
        <v>113</v>
      </c>
      <c r="P421" s="241" t="s">
        <v>140</v>
      </c>
    </row>
    <row r="422" spans="1:16">
      <c r="A422" s="241" t="s">
        <v>135</v>
      </c>
      <c r="B422" s="241" t="s">
        <v>106</v>
      </c>
      <c r="C422" s="241" t="s">
        <v>260</v>
      </c>
      <c r="D422" s="241" t="s">
        <v>187</v>
      </c>
      <c r="E422" s="241">
        <v>0</v>
      </c>
      <c r="G422" s="241" t="s">
        <v>31</v>
      </c>
      <c r="H422" s="241">
        <v>1</v>
      </c>
      <c r="L422" s="241" t="s">
        <v>109</v>
      </c>
      <c r="M422" s="241" t="s">
        <v>112</v>
      </c>
      <c r="P422" s="241" t="s">
        <v>140</v>
      </c>
    </row>
    <row r="423" spans="1:16">
      <c r="A423" s="241" t="s">
        <v>135</v>
      </c>
      <c r="B423" s="241" t="s">
        <v>106</v>
      </c>
      <c r="C423" s="241" t="s">
        <v>188</v>
      </c>
      <c r="D423" s="241" t="s">
        <v>187</v>
      </c>
      <c r="E423" s="241">
        <v>0</v>
      </c>
      <c r="G423" s="241" t="s">
        <v>31</v>
      </c>
      <c r="H423" s="241">
        <v>1</v>
      </c>
      <c r="L423" s="241" t="s">
        <v>109</v>
      </c>
      <c r="M423" s="241" t="s">
        <v>112</v>
      </c>
      <c r="P423" s="241" t="s">
        <v>140</v>
      </c>
    </row>
    <row r="424" spans="1:16">
      <c r="A424" s="241" t="s">
        <v>135</v>
      </c>
      <c r="B424" s="241" t="s">
        <v>106</v>
      </c>
      <c r="C424" s="241" t="s">
        <v>261</v>
      </c>
      <c r="D424" s="241" t="s">
        <v>187</v>
      </c>
      <c r="E424" s="241">
        <v>0</v>
      </c>
      <c r="G424" s="241" t="s">
        <v>31</v>
      </c>
      <c r="H424" s="241">
        <v>1</v>
      </c>
      <c r="L424" s="241" t="s">
        <v>109</v>
      </c>
      <c r="M424" s="241" t="s">
        <v>113</v>
      </c>
      <c r="P424" s="241" t="s">
        <v>140</v>
      </c>
    </row>
    <row r="425" spans="1:16">
      <c r="A425" s="241" t="s">
        <v>135</v>
      </c>
      <c r="B425" s="241" t="s">
        <v>106</v>
      </c>
      <c r="C425" s="241" t="s">
        <v>262</v>
      </c>
      <c r="D425" s="241" t="s">
        <v>187</v>
      </c>
      <c r="E425" s="241">
        <v>0</v>
      </c>
      <c r="G425" s="241" t="s">
        <v>31</v>
      </c>
      <c r="H425" s="241">
        <v>1</v>
      </c>
      <c r="L425" s="241" t="s">
        <v>109</v>
      </c>
      <c r="M425" s="241" t="s">
        <v>113</v>
      </c>
      <c r="P425" s="241" t="s">
        <v>140</v>
      </c>
    </row>
    <row r="426" spans="1:16">
      <c r="A426" s="241" t="s">
        <v>135</v>
      </c>
      <c r="B426" s="241" t="s">
        <v>106</v>
      </c>
      <c r="C426" s="241" t="s">
        <v>263</v>
      </c>
      <c r="D426" s="241" t="s">
        <v>187</v>
      </c>
      <c r="E426" s="241">
        <v>0</v>
      </c>
      <c r="G426" s="241" t="s">
        <v>31</v>
      </c>
      <c r="H426" s="241">
        <v>1</v>
      </c>
      <c r="L426" s="241" t="s">
        <v>109</v>
      </c>
      <c r="M426" s="241" t="s">
        <v>113</v>
      </c>
      <c r="P426" s="241" t="s">
        <v>140</v>
      </c>
    </row>
    <row r="427" spans="1:16">
      <c r="A427" s="241" t="s">
        <v>135</v>
      </c>
      <c r="B427" s="241" t="s">
        <v>106</v>
      </c>
      <c r="C427" s="241" t="s">
        <v>264</v>
      </c>
      <c r="D427" s="241" t="s">
        <v>187</v>
      </c>
      <c r="E427" s="241">
        <v>0</v>
      </c>
      <c r="G427" s="241" t="s">
        <v>31</v>
      </c>
      <c r="H427" s="241">
        <v>1</v>
      </c>
      <c r="L427" s="241" t="s">
        <v>109</v>
      </c>
      <c r="M427" s="241" t="s">
        <v>113</v>
      </c>
      <c r="P427" s="241" t="s">
        <v>140</v>
      </c>
    </row>
    <row r="428" spans="1:16">
      <c r="A428" s="241" t="s">
        <v>135</v>
      </c>
      <c r="B428" s="241" t="s">
        <v>106</v>
      </c>
      <c r="C428" s="241" t="s">
        <v>265</v>
      </c>
      <c r="D428" s="241" t="s">
        <v>187</v>
      </c>
      <c r="E428" s="241">
        <v>0</v>
      </c>
      <c r="G428" s="241" t="s">
        <v>31</v>
      </c>
      <c r="H428" s="241">
        <v>1</v>
      </c>
      <c r="L428" s="241" t="s">
        <v>109</v>
      </c>
      <c r="M428" s="241" t="s">
        <v>112</v>
      </c>
      <c r="P428" s="241" t="s">
        <v>140</v>
      </c>
    </row>
    <row r="429" spans="1:16">
      <c r="A429" s="241" t="s">
        <v>135</v>
      </c>
      <c r="B429" s="241" t="s">
        <v>106</v>
      </c>
      <c r="C429" s="241" t="s">
        <v>145</v>
      </c>
      <c r="D429" s="241" t="s">
        <v>187</v>
      </c>
      <c r="E429" s="241">
        <v>0</v>
      </c>
      <c r="G429" s="241" t="s">
        <v>31</v>
      </c>
      <c r="H429" s="241">
        <v>1</v>
      </c>
      <c r="L429" s="241" t="s">
        <v>109</v>
      </c>
      <c r="M429" s="241" t="s">
        <v>112</v>
      </c>
      <c r="P429" s="241" t="s">
        <v>140</v>
      </c>
    </row>
    <row r="430" spans="1:16">
      <c r="A430" s="241" t="s">
        <v>135</v>
      </c>
      <c r="B430" s="241" t="s">
        <v>106</v>
      </c>
      <c r="C430" s="241" t="s">
        <v>146</v>
      </c>
      <c r="D430" s="241" t="s">
        <v>187</v>
      </c>
      <c r="E430" s="241">
        <v>1</v>
      </c>
      <c r="G430" s="241" t="s">
        <v>31</v>
      </c>
      <c r="H430" s="241">
        <v>1</v>
      </c>
      <c r="L430" s="241" t="s">
        <v>109</v>
      </c>
      <c r="M430" s="241" t="s">
        <v>113</v>
      </c>
      <c r="P430" s="241" t="s">
        <v>148</v>
      </c>
    </row>
    <row r="431" spans="1:16">
      <c r="A431" s="241" t="s">
        <v>135</v>
      </c>
      <c r="B431" s="241" t="s">
        <v>106</v>
      </c>
      <c r="C431" s="241" t="s">
        <v>266</v>
      </c>
      <c r="D431" s="241" t="s">
        <v>187</v>
      </c>
      <c r="E431" s="241">
        <v>0</v>
      </c>
      <c r="G431" s="241" t="s">
        <v>31</v>
      </c>
      <c r="H431" s="241">
        <v>1</v>
      </c>
      <c r="L431" s="241" t="s">
        <v>109</v>
      </c>
      <c r="M431" s="241" t="s">
        <v>112</v>
      </c>
      <c r="P431" s="241" t="s">
        <v>148</v>
      </c>
    </row>
    <row r="432" spans="1:16">
      <c r="A432" s="241" t="s">
        <v>135</v>
      </c>
      <c r="B432" s="241" t="s">
        <v>106</v>
      </c>
      <c r="C432" s="241" t="s">
        <v>267</v>
      </c>
      <c r="D432" s="241" t="s">
        <v>187</v>
      </c>
      <c r="E432" s="241">
        <v>0</v>
      </c>
      <c r="G432" s="241" t="s">
        <v>31</v>
      </c>
      <c r="H432" s="241">
        <v>1</v>
      </c>
      <c r="L432" s="241" t="s">
        <v>109</v>
      </c>
      <c r="M432" s="241" t="s">
        <v>113</v>
      </c>
      <c r="P432" s="241" t="s">
        <v>148</v>
      </c>
    </row>
    <row r="433" spans="1:16">
      <c r="A433" s="241" t="s">
        <v>135</v>
      </c>
      <c r="B433" s="241" t="s">
        <v>106</v>
      </c>
      <c r="C433" s="241" t="s">
        <v>268</v>
      </c>
      <c r="D433" s="241" t="s">
        <v>187</v>
      </c>
      <c r="E433" s="241">
        <v>0</v>
      </c>
      <c r="G433" s="241" t="s">
        <v>31</v>
      </c>
      <c r="H433" s="241">
        <v>1</v>
      </c>
      <c r="L433" s="241" t="s">
        <v>109</v>
      </c>
      <c r="M433" s="241" t="s">
        <v>112</v>
      </c>
      <c r="P433" s="241" t="s">
        <v>148</v>
      </c>
    </row>
    <row r="434" spans="1:16">
      <c r="A434" s="241" t="s">
        <v>135</v>
      </c>
      <c r="B434" s="241" t="s">
        <v>106</v>
      </c>
      <c r="C434" s="241" t="s">
        <v>269</v>
      </c>
      <c r="D434" s="241" t="s">
        <v>187</v>
      </c>
      <c r="E434" s="241">
        <v>0</v>
      </c>
      <c r="G434" s="241" t="s">
        <v>31</v>
      </c>
      <c r="H434" s="241">
        <v>1</v>
      </c>
      <c r="L434" s="241" t="s">
        <v>109</v>
      </c>
      <c r="M434" s="241" t="s">
        <v>112</v>
      </c>
      <c r="P434" s="241" t="s">
        <v>148</v>
      </c>
    </row>
    <row r="435" spans="1:16">
      <c r="A435" s="241" t="s">
        <v>135</v>
      </c>
      <c r="B435" s="241" t="s">
        <v>106</v>
      </c>
      <c r="C435" s="241" t="s">
        <v>149</v>
      </c>
      <c r="D435" s="241" t="s">
        <v>187</v>
      </c>
      <c r="E435" s="241">
        <v>0</v>
      </c>
      <c r="G435" s="241" t="s">
        <v>31</v>
      </c>
      <c r="H435" s="241">
        <v>1</v>
      </c>
      <c r="L435" s="241" t="s">
        <v>109</v>
      </c>
      <c r="M435" s="241" t="s">
        <v>113</v>
      </c>
      <c r="P435" s="241" t="s">
        <v>148</v>
      </c>
    </row>
    <row r="436" spans="1:16">
      <c r="A436" s="241" t="s">
        <v>135</v>
      </c>
      <c r="B436" s="241" t="s">
        <v>106</v>
      </c>
      <c r="C436" s="241" t="s">
        <v>270</v>
      </c>
      <c r="D436" s="241" t="s">
        <v>187</v>
      </c>
      <c r="E436" s="241">
        <v>0</v>
      </c>
      <c r="G436" s="241" t="s">
        <v>31</v>
      </c>
      <c r="H436" s="241">
        <v>1</v>
      </c>
      <c r="L436" s="241" t="s">
        <v>109</v>
      </c>
      <c r="M436" s="241" t="s">
        <v>112</v>
      </c>
      <c r="P436" s="241" t="s">
        <v>148</v>
      </c>
    </row>
    <row r="437" spans="1:16">
      <c r="A437" s="241" t="s">
        <v>135</v>
      </c>
      <c r="B437" s="241" t="s">
        <v>106</v>
      </c>
      <c r="C437" s="241" t="s">
        <v>271</v>
      </c>
      <c r="D437" s="241" t="s">
        <v>187</v>
      </c>
      <c r="E437" s="241">
        <v>0</v>
      </c>
      <c r="G437" s="241" t="s">
        <v>31</v>
      </c>
      <c r="H437" s="241">
        <v>1</v>
      </c>
      <c r="L437" s="241" t="s">
        <v>109</v>
      </c>
      <c r="M437" s="241" t="s">
        <v>112</v>
      </c>
      <c r="P437" s="241" t="s">
        <v>148</v>
      </c>
    </row>
    <row r="438" spans="1:16">
      <c r="A438" s="241" t="s">
        <v>135</v>
      </c>
      <c r="B438" s="241" t="s">
        <v>106</v>
      </c>
      <c r="C438" s="241" t="s">
        <v>272</v>
      </c>
      <c r="D438" s="241" t="s">
        <v>187</v>
      </c>
      <c r="E438" s="241">
        <v>0</v>
      </c>
      <c r="G438" s="241" t="s">
        <v>31</v>
      </c>
      <c r="H438" s="241">
        <v>1</v>
      </c>
      <c r="L438" s="241" t="s">
        <v>109</v>
      </c>
      <c r="M438" s="241" t="s">
        <v>113</v>
      </c>
      <c r="P438" s="241" t="s">
        <v>148</v>
      </c>
    </row>
    <row r="439" spans="1:16">
      <c r="A439" s="241" t="s">
        <v>135</v>
      </c>
      <c r="B439" s="241" t="s">
        <v>106</v>
      </c>
      <c r="C439" s="241" t="s">
        <v>273</v>
      </c>
      <c r="D439" s="241" t="s">
        <v>187</v>
      </c>
      <c r="E439" s="241">
        <v>0</v>
      </c>
      <c r="G439" s="241" t="s">
        <v>31</v>
      </c>
      <c r="H439" s="241">
        <v>1</v>
      </c>
      <c r="L439" s="241" t="s">
        <v>109</v>
      </c>
      <c r="M439" s="241" t="s">
        <v>113</v>
      </c>
      <c r="P439" s="241" t="s">
        <v>148</v>
      </c>
    </row>
    <row r="440" spans="1:16">
      <c r="A440" s="241" t="s">
        <v>135</v>
      </c>
      <c r="B440" s="241" t="s">
        <v>106</v>
      </c>
      <c r="C440" s="241" t="s">
        <v>274</v>
      </c>
      <c r="D440" s="241" t="s">
        <v>187</v>
      </c>
      <c r="E440" s="241">
        <v>0</v>
      </c>
      <c r="G440" s="241" t="s">
        <v>31</v>
      </c>
      <c r="H440" s="241">
        <v>1</v>
      </c>
      <c r="L440" s="241" t="s">
        <v>109</v>
      </c>
      <c r="M440" s="241" t="s">
        <v>112</v>
      </c>
      <c r="P440" s="241" t="s">
        <v>148</v>
      </c>
    </row>
    <row r="441" spans="1:16">
      <c r="A441" s="241" t="s">
        <v>135</v>
      </c>
      <c r="B441" s="241" t="s">
        <v>106</v>
      </c>
      <c r="C441" s="241" t="s">
        <v>275</v>
      </c>
      <c r="D441" s="241" t="s">
        <v>187</v>
      </c>
      <c r="E441" s="241">
        <v>0</v>
      </c>
      <c r="G441" s="241" t="s">
        <v>31</v>
      </c>
      <c r="H441" s="241">
        <v>1</v>
      </c>
      <c r="L441" s="241" t="s">
        <v>109</v>
      </c>
      <c r="M441" s="241" t="s">
        <v>112</v>
      </c>
      <c r="P441" s="241" t="s">
        <v>148</v>
      </c>
    </row>
    <row r="442" spans="1:16">
      <c r="A442" s="241" t="s">
        <v>135</v>
      </c>
      <c r="B442" s="241" t="s">
        <v>106</v>
      </c>
      <c r="C442" s="241" t="s">
        <v>276</v>
      </c>
      <c r="D442" s="241" t="s">
        <v>187</v>
      </c>
      <c r="E442" s="241">
        <v>0</v>
      </c>
      <c r="G442" s="241" t="s">
        <v>31</v>
      </c>
      <c r="H442" s="241">
        <v>1</v>
      </c>
      <c r="L442" s="241" t="s">
        <v>110</v>
      </c>
      <c r="P442" s="241" t="s">
        <v>148</v>
      </c>
    </row>
    <row r="443" spans="1:16">
      <c r="A443" s="241" t="s">
        <v>135</v>
      </c>
      <c r="B443" s="241" t="s">
        <v>106</v>
      </c>
      <c r="C443" s="241" t="s">
        <v>278</v>
      </c>
      <c r="D443" s="241" t="s">
        <v>187</v>
      </c>
      <c r="E443" s="241">
        <v>0</v>
      </c>
      <c r="G443" s="241" t="s">
        <v>31</v>
      </c>
      <c r="H443" s="241">
        <v>1</v>
      </c>
      <c r="L443" s="241" t="s">
        <v>109</v>
      </c>
      <c r="M443" s="241" t="s">
        <v>112</v>
      </c>
      <c r="P443" s="241" t="s">
        <v>148</v>
      </c>
    </row>
    <row r="444" spans="1:16">
      <c r="A444" s="241" t="s">
        <v>135</v>
      </c>
      <c r="B444" s="241" t="s">
        <v>106</v>
      </c>
      <c r="C444" s="241" t="s">
        <v>279</v>
      </c>
      <c r="D444" s="241" t="s">
        <v>187</v>
      </c>
      <c r="E444" s="241">
        <v>0</v>
      </c>
      <c r="G444" s="241" t="s">
        <v>31</v>
      </c>
      <c r="H444" s="241">
        <v>1</v>
      </c>
      <c r="L444" s="241" t="s">
        <v>109</v>
      </c>
      <c r="M444" s="241" t="s">
        <v>112</v>
      </c>
      <c r="P444" s="241" t="s">
        <v>148</v>
      </c>
    </row>
    <row r="445" spans="1:16">
      <c r="A445" s="241" t="s">
        <v>135</v>
      </c>
      <c r="B445" s="241" t="s">
        <v>106</v>
      </c>
      <c r="C445" s="241" t="s">
        <v>280</v>
      </c>
      <c r="D445" s="241" t="s">
        <v>187</v>
      </c>
      <c r="E445" s="241">
        <v>0</v>
      </c>
      <c r="G445" s="241" t="s">
        <v>31</v>
      </c>
      <c r="H445" s="241">
        <v>1</v>
      </c>
      <c r="L445" s="241" t="s">
        <v>109</v>
      </c>
      <c r="M445" s="241" t="s">
        <v>112</v>
      </c>
      <c r="P445" s="241" t="s">
        <v>148</v>
      </c>
    </row>
    <row r="446" spans="1:16">
      <c r="A446" s="241" t="s">
        <v>135</v>
      </c>
      <c r="B446" s="241" t="s">
        <v>106</v>
      </c>
      <c r="C446" s="241" t="s">
        <v>281</v>
      </c>
      <c r="D446" s="241" t="s">
        <v>187</v>
      </c>
      <c r="E446" s="241">
        <v>0</v>
      </c>
      <c r="G446" s="241" t="s">
        <v>31</v>
      </c>
      <c r="H446" s="241">
        <v>1</v>
      </c>
      <c r="L446" s="241" t="s">
        <v>109</v>
      </c>
      <c r="M446" s="241" t="s">
        <v>113</v>
      </c>
      <c r="P446" s="241" t="s">
        <v>148</v>
      </c>
    </row>
    <row r="447" spans="1:16">
      <c r="A447" s="241" t="s">
        <v>135</v>
      </c>
      <c r="B447" s="241" t="s">
        <v>106</v>
      </c>
      <c r="C447" s="241" t="s">
        <v>282</v>
      </c>
      <c r="D447" s="241" t="s">
        <v>187</v>
      </c>
      <c r="E447" s="241">
        <v>0</v>
      </c>
      <c r="G447" s="241" t="s">
        <v>31</v>
      </c>
      <c r="H447" s="241">
        <v>1</v>
      </c>
      <c r="L447" s="241" t="s">
        <v>109</v>
      </c>
      <c r="M447" s="241" t="s">
        <v>113</v>
      </c>
      <c r="P447" s="241" t="s">
        <v>148</v>
      </c>
    </row>
    <row r="448" spans="1:16">
      <c r="A448" s="241" t="s">
        <v>135</v>
      </c>
      <c r="B448" s="241" t="s">
        <v>106</v>
      </c>
      <c r="C448" s="241" t="s">
        <v>283</v>
      </c>
      <c r="D448" s="241" t="s">
        <v>187</v>
      </c>
      <c r="E448" s="241">
        <v>0</v>
      </c>
      <c r="G448" s="241" t="s">
        <v>31</v>
      </c>
      <c r="H448" s="241">
        <v>1</v>
      </c>
      <c r="L448" s="241" t="s">
        <v>109</v>
      </c>
      <c r="M448" s="241" t="s">
        <v>112</v>
      </c>
      <c r="P448" s="241" t="s">
        <v>148</v>
      </c>
    </row>
    <row r="449" spans="1:16">
      <c r="A449" s="241" t="s">
        <v>135</v>
      </c>
      <c r="B449" s="241" t="s">
        <v>106</v>
      </c>
      <c r="C449" s="241" t="s">
        <v>150</v>
      </c>
      <c r="D449" s="241" t="s">
        <v>187</v>
      </c>
      <c r="E449" s="241">
        <v>0</v>
      </c>
      <c r="G449" s="241" t="s">
        <v>31</v>
      </c>
      <c r="H449" s="241">
        <v>1</v>
      </c>
      <c r="L449" s="241" t="s">
        <v>109</v>
      </c>
      <c r="M449" s="241" t="s">
        <v>112</v>
      </c>
      <c r="P449" s="241" t="s">
        <v>148</v>
      </c>
    </row>
    <row r="450" spans="1:16">
      <c r="A450" s="241" t="s">
        <v>135</v>
      </c>
      <c r="B450" s="241" t="s">
        <v>106</v>
      </c>
      <c r="C450" s="241" t="s">
        <v>284</v>
      </c>
      <c r="D450" s="241" t="s">
        <v>187</v>
      </c>
      <c r="E450" s="241">
        <v>0</v>
      </c>
      <c r="G450" s="241" t="s">
        <v>31</v>
      </c>
      <c r="H450" s="241">
        <v>1</v>
      </c>
      <c r="L450" s="241" t="s">
        <v>109</v>
      </c>
      <c r="M450" s="241" t="s">
        <v>113</v>
      </c>
      <c r="P450" s="241" t="s">
        <v>148</v>
      </c>
    </row>
    <row r="451" spans="1:16">
      <c r="A451" s="241" t="s">
        <v>135</v>
      </c>
      <c r="B451" s="241" t="s">
        <v>106</v>
      </c>
      <c r="C451" s="241" t="s">
        <v>285</v>
      </c>
      <c r="D451" s="241" t="s">
        <v>187</v>
      </c>
      <c r="E451" s="241">
        <v>0</v>
      </c>
      <c r="G451" s="241" t="s">
        <v>31</v>
      </c>
      <c r="H451" s="241">
        <v>1</v>
      </c>
      <c r="L451" s="241" t="s">
        <v>109</v>
      </c>
      <c r="M451" s="241" t="s">
        <v>112</v>
      </c>
      <c r="P451" s="241" t="s">
        <v>148</v>
      </c>
    </row>
    <row r="452" spans="1:16">
      <c r="A452" s="241" t="s">
        <v>135</v>
      </c>
      <c r="B452" s="241" t="s">
        <v>106</v>
      </c>
      <c r="C452" s="241" t="s">
        <v>286</v>
      </c>
      <c r="D452" s="241" t="s">
        <v>187</v>
      </c>
      <c r="E452" s="241">
        <v>0</v>
      </c>
      <c r="G452" s="241" t="s">
        <v>31</v>
      </c>
      <c r="H452" s="241">
        <v>1</v>
      </c>
      <c r="L452" s="241" t="s">
        <v>109</v>
      </c>
      <c r="M452" s="241" t="s">
        <v>112</v>
      </c>
      <c r="P452" s="241" t="s">
        <v>148</v>
      </c>
    </row>
    <row r="453" spans="1:16">
      <c r="A453" s="241" t="s">
        <v>135</v>
      </c>
      <c r="B453" s="241" t="s">
        <v>106</v>
      </c>
      <c r="C453" s="241" t="s">
        <v>151</v>
      </c>
      <c r="D453" s="241" t="s">
        <v>187</v>
      </c>
      <c r="E453" s="241">
        <v>1</v>
      </c>
      <c r="G453" s="241" t="s">
        <v>31</v>
      </c>
      <c r="H453" s="241">
        <v>1</v>
      </c>
      <c r="L453" s="241" t="s">
        <v>109</v>
      </c>
      <c r="M453" s="241" t="s">
        <v>112</v>
      </c>
      <c r="P453" s="241" t="s">
        <v>148</v>
      </c>
    </row>
    <row r="454" spans="1:16">
      <c r="A454" s="241" t="s">
        <v>135</v>
      </c>
      <c r="B454" s="241" t="s">
        <v>106</v>
      </c>
      <c r="C454" s="241" t="s">
        <v>153</v>
      </c>
      <c r="D454" s="241" t="s">
        <v>187</v>
      </c>
      <c r="E454" s="241">
        <v>1</v>
      </c>
      <c r="G454" s="241" t="s">
        <v>31</v>
      </c>
      <c r="H454" s="241">
        <v>1</v>
      </c>
      <c r="L454" s="241" t="s">
        <v>109</v>
      </c>
      <c r="M454" s="241" t="s">
        <v>113</v>
      </c>
      <c r="P454" s="241" t="s">
        <v>148</v>
      </c>
    </row>
    <row r="455" spans="1:16">
      <c r="A455" s="241" t="s">
        <v>135</v>
      </c>
      <c r="B455" s="241" t="s">
        <v>106</v>
      </c>
      <c r="C455" s="241" t="s">
        <v>154</v>
      </c>
      <c r="D455" s="241" t="s">
        <v>187</v>
      </c>
      <c r="E455" s="241">
        <v>1</v>
      </c>
      <c r="G455" s="241" t="s">
        <v>31</v>
      </c>
      <c r="H455" s="241">
        <v>1</v>
      </c>
      <c r="L455" s="241" t="s">
        <v>109</v>
      </c>
      <c r="M455" s="241" t="s">
        <v>113</v>
      </c>
      <c r="P455" s="241" t="s">
        <v>148</v>
      </c>
    </row>
    <row r="456" spans="1:16">
      <c r="A456" s="241" t="s">
        <v>135</v>
      </c>
      <c r="B456" s="241" t="s">
        <v>106</v>
      </c>
      <c r="C456" s="241" t="s">
        <v>287</v>
      </c>
      <c r="D456" s="241" t="s">
        <v>187</v>
      </c>
      <c r="E456" s="241">
        <v>1</v>
      </c>
      <c r="G456" s="241" t="s">
        <v>31</v>
      </c>
      <c r="H456" s="241">
        <v>1</v>
      </c>
      <c r="L456" s="241" t="s">
        <v>109</v>
      </c>
      <c r="M456" s="241" t="s">
        <v>113</v>
      </c>
      <c r="P456" s="241" t="s">
        <v>148</v>
      </c>
    </row>
    <row r="457" spans="1:16">
      <c r="A457" s="241" t="s">
        <v>135</v>
      </c>
      <c r="B457" s="241" t="s">
        <v>106</v>
      </c>
      <c r="C457" s="241" t="s">
        <v>288</v>
      </c>
      <c r="D457" s="241" t="s">
        <v>187</v>
      </c>
      <c r="E457" s="241">
        <v>0</v>
      </c>
      <c r="G457" s="241" t="s">
        <v>31</v>
      </c>
      <c r="H457" s="241">
        <v>1</v>
      </c>
      <c r="L457" s="241" t="s">
        <v>109</v>
      </c>
      <c r="M457" s="241" t="s">
        <v>112</v>
      </c>
      <c r="P457" s="241" t="s">
        <v>148</v>
      </c>
    </row>
    <row r="458" spans="1:16">
      <c r="A458" s="241" t="s">
        <v>135</v>
      </c>
      <c r="B458" s="241" t="s">
        <v>106</v>
      </c>
      <c r="C458" s="241" t="s">
        <v>289</v>
      </c>
      <c r="D458" s="241" t="s">
        <v>187</v>
      </c>
      <c r="E458" s="241">
        <v>0</v>
      </c>
      <c r="G458" s="241" t="s">
        <v>31</v>
      </c>
      <c r="H458" s="241">
        <v>1</v>
      </c>
      <c r="L458" s="241" t="s">
        <v>109</v>
      </c>
      <c r="M458" s="241" t="s">
        <v>112</v>
      </c>
      <c r="P458" s="241" t="s">
        <v>148</v>
      </c>
    </row>
    <row r="461" spans="1:16">
      <c r="A461"/>
      <c r="B461"/>
      <c r="C461" s="268"/>
      <c r="D461" s="268"/>
      <c r="E461" s="268"/>
      <c r="F461" s="269"/>
      <c r="G461" s="270"/>
      <c r="H461" s="173"/>
      <c r="I461" s="173"/>
    </row>
    <row r="462" spans="1:16">
      <c r="J462" s="360" t="s">
        <v>311</v>
      </c>
      <c r="K462" s="241">
        <v>5.2789999999999997E-2</v>
      </c>
    </row>
    <row r="463" spans="1:16">
      <c r="J463" s="360" t="s">
        <v>312</v>
      </c>
      <c r="K463" s="241">
        <v>0.21</v>
      </c>
    </row>
    <row r="464" spans="1:16">
      <c r="A464"/>
      <c r="B464"/>
      <c r="C464"/>
      <c r="D464"/>
      <c r="E464"/>
      <c r="F464"/>
      <c r="G464"/>
      <c r="H464" s="266"/>
      <c r="I464" s="266"/>
    </row>
    <row r="465" spans="1:10" ht="39">
      <c r="A465"/>
      <c r="B465" t="s">
        <v>314</v>
      </c>
      <c r="C465" t="s">
        <v>315</v>
      </c>
      <c r="D465" t="s">
        <v>316</v>
      </c>
      <c r="E465" s="91" t="s">
        <v>317</v>
      </c>
      <c r="F465" t="s">
        <v>318</v>
      </c>
      <c r="G465" s="267" t="s">
        <v>319</v>
      </c>
      <c r="H465" s="267" t="s">
        <v>320</v>
      </c>
      <c r="I465" s="178" t="s">
        <v>313</v>
      </c>
      <c r="J465" s="178"/>
    </row>
    <row r="466" spans="1:10">
      <c r="A466">
        <v>2026</v>
      </c>
      <c r="B466" t="s">
        <v>321</v>
      </c>
      <c r="C466">
        <v>250</v>
      </c>
      <c r="D466">
        <v>250</v>
      </c>
      <c r="E466">
        <v>29.5</v>
      </c>
      <c r="F466">
        <v>1</v>
      </c>
      <c r="G466" t="s">
        <v>322</v>
      </c>
      <c r="H466" t="s">
        <v>323</v>
      </c>
      <c r="I466" s="361">
        <f>IF(D466&lt;&gt;0,E466*1000*$K$462*(1-$K$463)/D466,0)</f>
        <v>4.921083799999999</v>
      </c>
      <c r="J466" s="361"/>
    </row>
    <row r="467" spans="1:10">
      <c r="A467">
        <v>2028</v>
      </c>
      <c r="B467" t="s">
        <v>324</v>
      </c>
      <c r="C467">
        <v>0</v>
      </c>
      <c r="D467">
        <v>199</v>
      </c>
      <c r="E467">
        <v>13.62</v>
      </c>
      <c r="F467">
        <v>1</v>
      </c>
      <c r="G467" t="s">
        <v>325</v>
      </c>
      <c r="H467" t="s">
        <v>325</v>
      </c>
      <c r="I467" s="361">
        <f t="shared" ref="I467:I480" si="11">IF(D467&lt;&gt;0,E467*1000*$K$462*(1-$K$463)/D467,0)</f>
        <v>2.8543208140703515</v>
      </c>
      <c r="J467" s="361"/>
    </row>
    <row r="468" spans="1:10">
      <c r="A468">
        <v>2028</v>
      </c>
      <c r="B468" t="s">
        <v>326</v>
      </c>
      <c r="C468">
        <v>400</v>
      </c>
      <c r="D468">
        <v>400</v>
      </c>
      <c r="E468">
        <v>110.63</v>
      </c>
      <c r="F468">
        <v>1</v>
      </c>
      <c r="G468" t="s">
        <v>327</v>
      </c>
      <c r="H468" t="s">
        <v>328</v>
      </c>
      <c r="I468" s="361">
        <f t="shared" si="11"/>
        <v>11.534311457500001</v>
      </c>
      <c r="J468" s="361"/>
    </row>
    <row r="469" spans="1:10">
      <c r="A469">
        <v>2028</v>
      </c>
      <c r="B469" t="s">
        <v>329</v>
      </c>
      <c r="C469">
        <v>0</v>
      </c>
      <c r="D469">
        <v>393</v>
      </c>
      <c r="E469">
        <v>327.88</v>
      </c>
      <c r="F469">
        <v>1</v>
      </c>
      <c r="G469" t="s">
        <v>325</v>
      </c>
      <c r="H469" t="s">
        <v>325</v>
      </c>
      <c r="I469" s="361">
        <f t="shared" si="11"/>
        <v>34.793741241730281</v>
      </c>
      <c r="J469" s="361"/>
    </row>
    <row r="470" spans="1:10">
      <c r="A470">
        <v>2028</v>
      </c>
      <c r="B470" t="s">
        <v>330</v>
      </c>
      <c r="C470">
        <v>0</v>
      </c>
      <c r="D470">
        <v>152</v>
      </c>
      <c r="E470">
        <v>3.56</v>
      </c>
      <c r="F470">
        <v>1</v>
      </c>
      <c r="G470" t="s">
        <v>325</v>
      </c>
      <c r="H470" t="s">
        <v>325</v>
      </c>
      <c r="I470" s="361">
        <f t="shared" si="11"/>
        <v>0.97675392105263159</v>
      </c>
      <c r="J470" s="361"/>
    </row>
    <row r="471" spans="1:10">
      <c r="A471">
        <v>2028</v>
      </c>
      <c r="B471" t="s">
        <v>331</v>
      </c>
      <c r="C471">
        <v>0</v>
      </c>
      <c r="D471">
        <v>628</v>
      </c>
      <c r="E471">
        <v>63.84</v>
      </c>
      <c r="F471">
        <v>1</v>
      </c>
      <c r="G471" t="s">
        <v>325</v>
      </c>
      <c r="H471" t="s">
        <v>325</v>
      </c>
      <c r="I471" s="361">
        <f t="shared" si="11"/>
        <v>4.2394741146496813</v>
      </c>
      <c r="J471" s="361"/>
    </row>
    <row r="472" spans="1:10">
      <c r="A472">
        <v>2028</v>
      </c>
      <c r="B472" t="s">
        <v>332</v>
      </c>
      <c r="C472">
        <v>200</v>
      </c>
      <c r="D472">
        <v>200</v>
      </c>
      <c r="E472">
        <v>12.08</v>
      </c>
      <c r="F472">
        <v>1</v>
      </c>
      <c r="G472" t="s">
        <v>322</v>
      </c>
      <c r="H472" t="s">
        <v>323</v>
      </c>
      <c r="I472" s="361">
        <f t="shared" si="11"/>
        <v>2.5189276399999998</v>
      </c>
      <c r="J472" s="361"/>
    </row>
    <row r="473" spans="1:10">
      <c r="A473">
        <v>2029</v>
      </c>
      <c r="B473" t="s">
        <v>333</v>
      </c>
      <c r="C473">
        <v>0</v>
      </c>
      <c r="D473">
        <v>393</v>
      </c>
      <c r="E473">
        <v>2.21</v>
      </c>
      <c r="F473">
        <v>1</v>
      </c>
      <c r="G473" t="s">
        <v>325</v>
      </c>
      <c r="H473" t="s">
        <v>325</v>
      </c>
      <c r="I473" s="361">
        <f t="shared" si="11"/>
        <v>0.23451923918575063</v>
      </c>
      <c r="J473" s="361"/>
    </row>
    <row r="474" spans="1:10">
      <c r="A474">
        <v>2030</v>
      </c>
      <c r="B474" t="s">
        <v>334</v>
      </c>
      <c r="C474">
        <v>1500</v>
      </c>
      <c r="D474">
        <v>670</v>
      </c>
      <c r="E474">
        <v>1283.43</v>
      </c>
      <c r="F474">
        <v>1</v>
      </c>
      <c r="G474" t="s">
        <v>327</v>
      </c>
      <c r="H474" t="s">
        <v>335</v>
      </c>
      <c r="I474" s="361">
        <f t="shared" si="11"/>
        <v>79.887004571641782</v>
      </c>
      <c r="J474" s="361"/>
    </row>
    <row r="475" spans="1:10">
      <c r="A475">
        <v>2030</v>
      </c>
      <c r="B475" t="s">
        <v>336</v>
      </c>
      <c r="C475">
        <v>400</v>
      </c>
      <c r="D475">
        <v>400</v>
      </c>
      <c r="E475">
        <v>141.83000000000001</v>
      </c>
      <c r="F475">
        <v>1</v>
      </c>
      <c r="G475" t="s">
        <v>337</v>
      </c>
      <c r="H475" t="s">
        <v>338</v>
      </c>
      <c r="I475" s="361">
        <f t="shared" si="11"/>
        <v>14.7872312575</v>
      </c>
      <c r="J475" s="361"/>
    </row>
    <row r="476" spans="1:10">
      <c r="A476">
        <v>2031</v>
      </c>
      <c r="B476" t="s">
        <v>339</v>
      </c>
      <c r="C476">
        <v>0</v>
      </c>
      <c r="D476">
        <v>231</v>
      </c>
      <c r="E476">
        <v>42.11</v>
      </c>
      <c r="F476">
        <v>1</v>
      </c>
      <c r="G476" t="s">
        <v>325</v>
      </c>
      <c r="H476" t="s">
        <v>325</v>
      </c>
      <c r="I476" s="361">
        <f t="shared" si="11"/>
        <v>7.602422731601731</v>
      </c>
      <c r="J476" s="361"/>
    </row>
    <row r="477" spans="1:10">
      <c r="A477">
        <v>2032</v>
      </c>
      <c r="B477" t="s">
        <v>340</v>
      </c>
      <c r="C477">
        <v>0</v>
      </c>
      <c r="D477">
        <v>300</v>
      </c>
      <c r="E477">
        <v>303.12</v>
      </c>
      <c r="F477">
        <v>1</v>
      </c>
      <c r="G477" t="s">
        <v>325</v>
      </c>
      <c r="H477" t="s">
        <v>325</v>
      </c>
      <c r="I477" s="361">
        <f t="shared" si="11"/>
        <v>42.137822640000003</v>
      </c>
      <c r="J477" s="361"/>
    </row>
    <row r="478" spans="1:10">
      <c r="A478">
        <v>2033</v>
      </c>
      <c r="B478" t="s">
        <v>341</v>
      </c>
      <c r="C478">
        <v>0</v>
      </c>
      <c r="D478">
        <v>518</v>
      </c>
      <c r="E478">
        <v>372.32</v>
      </c>
      <c r="F478">
        <v>1</v>
      </c>
      <c r="G478" t="s">
        <v>325</v>
      </c>
      <c r="H478" t="s">
        <v>325</v>
      </c>
      <c r="I478" s="361">
        <f t="shared" si="11"/>
        <v>29.975425698841697</v>
      </c>
      <c r="J478" s="361"/>
    </row>
    <row r="479" spans="1:10">
      <c r="A479">
        <v>2039</v>
      </c>
      <c r="B479" t="s">
        <v>342</v>
      </c>
      <c r="C479">
        <v>1500</v>
      </c>
      <c r="D479">
        <v>670</v>
      </c>
      <c r="E479">
        <v>1463.04</v>
      </c>
      <c r="F479">
        <v>1</v>
      </c>
      <c r="G479" t="s">
        <v>337</v>
      </c>
      <c r="H479" t="s">
        <v>335</v>
      </c>
      <c r="I479" s="361">
        <f t="shared" si="11"/>
        <v>91.06681561791045</v>
      </c>
      <c r="J479" s="361"/>
    </row>
    <row r="480" spans="1:10">
      <c r="A480" t="s">
        <v>343</v>
      </c>
      <c r="C480">
        <v>4250</v>
      </c>
      <c r="D480">
        <v>5404</v>
      </c>
      <c r="E480">
        <v>4169.17</v>
      </c>
      <c r="F480">
        <v>14</v>
      </c>
      <c r="G480" t="s">
        <v>344</v>
      </c>
      <c r="H480" t="s">
        <v>344</v>
      </c>
      <c r="I480" s="361">
        <f t="shared" si="11"/>
        <v>32.174589673760174</v>
      </c>
      <c r="J480" s="361"/>
    </row>
  </sheetData>
  <conditionalFormatting sqref="G466:H480">
    <cfRule type="notContainsBlanks" dxfId="1" priority="1">
      <formula>LEN(TRIM(G466))&gt;0</formula>
    </cfRule>
  </conditionalFormatting>
  <conditionalFormatting sqref="H461:I461">
    <cfRule type="notContainsBlanks" dxfId="0" priority="3">
      <formula>LEN(TRIM(H461))&gt;0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workbookViewId="0">
      <selection activeCell="F5" sqref="F5:F8"/>
    </sheetView>
  </sheetViews>
  <sheetFormatPr defaultColWidth="9.33203125" defaultRowHeight="12.75"/>
  <cols>
    <col min="1" max="1" width="13.33203125" style="60" customWidth="1"/>
    <col min="2" max="2" width="15" style="60" customWidth="1"/>
    <col min="3" max="3" width="19.33203125" style="60" customWidth="1"/>
    <col min="4" max="4" width="22.83203125" style="60" customWidth="1"/>
    <col min="5" max="5" width="11.1640625" style="60" customWidth="1"/>
    <col min="6" max="6" width="14.33203125" style="60" customWidth="1"/>
    <col min="7" max="7" width="18.33203125" style="60" customWidth="1"/>
    <col min="8" max="8" width="9.5" style="60" bestFit="1" customWidth="1"/>
    <col min="9" max="9" width="15.1640625" style="60" customWidth="1"/>
    <col min="10" max="10" width="12.6640625" style="60" customWidth="1"/>
    <col min="11" max="11" width="14" style="60" customWidth="1"/>
    <col min="12" max="12" width="13.33203125" style="60" customWidth="1"/>
    <col min="13" max="13" width="3.1640625" style="60" customWidth="1"/>
    <col min="14" max="14" width="15" style="60" hidden="1" customWidth="1"/>
    <col min="15" max="15" width="5.6640625" style="60" customWidth="1"/>
    <col min="16" max="16" width="9.33203125" style="60" customWidth="1"/>
    <col min="17" max="18" width="16" style="60" customWidth="1"/>
    <col min="19" max="19" width="23.5" style="60" customWidth="1"/>
    <col min="20" max="20" width="18.1640625" style="60" customWidth="1"/>
    <col min="21" max="21" width="13.33203125" style="60" customWidth="1"/>
    <col min="22" max="22" width="18.1640625" style="60" customWidth="1"/>
    <col min="23" max="23" width="12.83203125" style="60" customWidth="1"/>
    <col min="24" max="24" width="15.33203125" style="60" customWidth="1"/>
    <col min="25" max="26" width="9.33203125" style="60"/>
    <col min="27" max="27" width="13.33203125" style="60" customWidth="1"/>
    <col min="28" max="28" width="13.6640625" style="60" customWidth="1"/>
    <col min="29" max="29" width="12" style="60" bestFit="1" customWidth="1"/>
    <col min="30" max="16384" width="9.33203125" style="60"/>
  </cols>
  <sheetData>
    <row r="1" spans="2:29" ht="15.75">
      <c r="B1" s="58" t="s">
        <v>53</v>
      </c>
      <c r="C1" s="59"/>
      <c r="D1" s="59"/>
      <c r="E1" s="59"/>
      <c r="F1" s="59"/>
      <c r="G1" s="59"/>
      <c r="H1" s="59"/>
      <c r="I1" s="59"/>
      <c r="J1" s="59"/>
      <c r="K1" s="59"/>
    </row>
    <row r="2" spans="2:29" ht="15.75">
      <c r="B2" s="58" t="str">
        <f>T57</f>
        <v>WD_.PX.BDG._.PTC.Utility_Scale</v>
      </c>
      <c r="C2" s="59"/>
      <c r="D2" s="59"/>
      <c r="E2" s="59"/>
      <c r="F2" s="59"/>
      <c r="G2" s="59"/>
      <c r="H2" s="59"/>
      <c r="I2" s="59"/>
      <c r="J2" s="59"/>
      <c r="K2" s="59"/>
    </row>
    <row r="3" spans="2:29" ht="15.75">
      <c r="B3" s="58" t="str">
        <f>TEXT($C$61,"0%")&amp;" Capacity Factor"</f>
        <v>40% Capacity Factor</v>
      </c>
      <c r="C3" s="59"/>
      <c r="D3" s="59"/>
      <c r="E3" s="59"/>
      <c r="F3" s="59"/>
      <c r="G3" s="59"/>
      <c r="H3" s="59"/>
      <c r="I3" s="59"/>
      <c r="J3" s="59"/>
      <c r="K3" s="59"/>
    </row>
    <row r="4" spans="2:29">
      <c r="B4" s="59"/>
      <c r="C4" s="59"/>
      <c r="D4" s="59"/>
      <c r="E4" s="59"/>
      <c r="F4" s="59"/>
      <c r="G4" s="59"/>
      <c r="H4" s="59"/>
      <c r="I4" s="59"/>
    </row>
    <row r="5" spans="2:29" ht="51.75" customHeight="1">
      <c r="B5" s="61" t="s">
        <v>0</v>
      </c>
      <c r="C5" s="62" t="s">
        <v>10</v>
      </c>
      <c r="D5" s="62" t="s">
        <v>11</v>
      </c>
      <c r="E5" s="62" t="s">
        <v>12</v>
      </c>
      <c r="F5" s="14"/>
      <c r="G5" s="62" t="s">
        <v>58</v>
      </c>
      <c r="H5" s="14" t="s">
        <v>13</v>
      </c>
      <c r="I5" s="62" t="s">
        <v>113</v>
      </c>
      <c r="J5" s="62" t="s">
        <v>64</v>
      </c>
      <c r="K5" s="14" t="s">
        <v>49</v>
      </c>
      <c r="L5" s="62" t="s">
        <v>86</v>
      </c>
      <c r="N5" s="100"/>
      <c r="O5" s="100"/>
      <c r="Q5" s="100"/>
      <c r="T5" s="142"/>
      <c r="Z5" s="100"/>
      <c r="AA5" s="100"/>
    </row>
    <row r="6" spans="2:29" ht="24" customHeight="1">
      <c r="B6" s="63"/>
      <c r="C6" s="64" t="s">
        <v>8</v>
      </c>
      <c r="D6" s="65" t="s">
        <v>9</v>
      </c>
      <c r="E6" s="65" t="s">
        <v>9</v>
      </c>
      <c r="F6" s="16"/>
      <c r="G6" s="64" t="s">
        <v>31</v>
      </c>
      <c r="H6" s="15" t="s">
        <v>31</v>
      </c>
      <c r="I6" s="15" t="s">
        <v>31</v>
      </c>
      <c r="J6" s="64" t="s">
        <v>31</v>
      </c>
      <c r="K6" s="16" t="s">
        <v>9</v>
      </c>
      <c r="L6" s="65" t="s">
        <v>9</v>
      </c>
      <c r="W6" s="78"/>
      <c r="X6" s="78"/>
    </row>
    <row r="7" spans="2:29">
      <c r="C7" s="66" t="s">
        <v>1</v>
      </c>
      <c r="D7" s="66" t="s">
        <v>2</v>
      </c>
      <c r="E7" s="66" t="s">
        <v>3</v>
      </c>
      <c r="F7" s="66"/>
      <c r="G7" s="66" t="s">
        <v>5</v>
      </c>
      <c r="H7" s="66" t="s">
        <v>7</v>
      </c>
      <c r="I7" s="66" t="s">
        <v>22</v>
      </c>
      <c r="J7" s="66" t="s">
        <v>22</v>
      </c>
      <c r="K7" s="66" t="s">
        <v>23</v>
      </c>
      <c r="L7" s="66" t="s">
        <v>24</v>
      </c>
      <c r="R7" s="71"/>
      <c r="S7" s="78"/>
      <c r="U7" s="78"/>
    </row>
    <row r="8" spans="2:29" ht="21.75" customHeight="1">
      <c r="R8" s="71"/>
      <c r="X8" s="71"/>
    </row>
    <row r="9" spans="2:29">
      <c r="B9" s="67">
        <v>2024</v>
      </c>
      <c r="C9" s="157">
        <f>INDEX('2025 IRP Assumptions'!$E$2:$E$58,MATCH($T$57,'2025 IRP Assumptions'!$C$2:$C$58,0),1)</f>
        <v>1392.68</v>
      </c>
      <c r="D9" s="68"/>
      <c r="E9" s="232">
        <f>INDEX('2025 IRP Assumptions'!$E$62:$E$118,MATCH($T$57,'2025 IRP Assumptions'!$C$62:$C$118,0),1)</f>
        <v>31.65</v>
      </c>
      <c r="F9" s="68"/>
      <c r="G9" s="69"/>
      <c r="H9" s="68"/>
      <c r="I9" s="68"/>
      <c r="J9" s="69"/>
      <c r="K9" s="69"/>
      <c r="L9" s="68"/>
      <c r="S9" s="160"/>
      <c r="T9" s="70"/>
      <c r="X9" s="158"/>
    </row>
    <row r="10" spans="2:29">
      <c r="B10" s="67">
        <f t="shared" ref="B10:B46" si="0">B9+1</f>
        <v>2025</v>
      </c>
      <c r="C10" s="70">
        <f>$C$9*INDEX('2025 IRP Assumptions'!$E$238:$E$258,MATCH(B10,'2025 IRP Assumptions'!$S$238:$S$258,0),1)</f>
        <v>1393.4262466878001</v>
      </c>
      <c r="D10" s="68"/>
      <c r="E10" s="68" cm="1">
        <f t="array" ref="E10">$E$9*INDEX('2025 IRP Assumptions'!$E$373:$E$396,'WD_.PX.BDG._.PTC.2029'!$B10-2023,1)</f>
        <v>32.339970000000001</v>
      </c>
      <c r="F10" s="68"/>
      <c r="G10" s="69"/>
      <c r="H10" s="68"/>
      <c r="I10" s="68"/>
      <c r="J10" s="69"/>
      <c r="K10" s="69"/>
      <c r="L10" s="68"/>
      <c r="R10" s="158"/>
      <c r="S10" s="158"/>
      <c r="U10" s="156"/>
      <c r="X10" s="158"/>
    </row>
    <row r="11" spans="2:29">
      <c r="B11" s="67">
        <f t="shared" si="0"/>
        <v>2026</v>
      </c>
      <c r="C11" s="70">
        <f>$C$9*INDEX('2025 IRP Assumptions'!$E$238:$E$258,MATCH(B11,'2025 IRP Assumptions'!$S$238:$S$258,0),1)</f>
        <v>1394.5581390017201</v>
      </c>
      <c r="D11" s="68"/>
      <c r="E11" s="68" cm="1">
        <f t="array" ref="E11">$E$9*INDEX('2025 IRP Assumptions'!$E$373:$E$396,'WD_.PX.BDG._.PTC.2029'!$B11-2023,1)</f>
        <v>33.044981346</v>
      </c>
      <c r="F11" s="68"/>
      <c r="G11" s="69"/>
      <c r="H11" s="68"/>
      <c r="I11" s="68"/>
      <c r="J11" s="69"/>
      <c r="K11" s="69"/>
      <c r="L11" s="68"/>
      <c r="Q11" s="151"/>
      <c r="R11" s="158"/>
      <c r="S11" s="158"/>
      <c r="X11" s="158"/>
      <c r="AC11" s="144"/>
    </row>
    <row r="12" spans="2:29">
      <c r="B12" s="67">
        <f t="shared" si="0"/>
        <v>2027</v>
      </c>
      <c r="C12" s="70">
        <f>$C$9*INDEX('2025 IRP Assumptions'!$E$238:$E$258,MATCH(B12,'2025 IRP Assumptions'!$S$238:$S$258,0),1)</f>
        <v>1395.0771713402</v>
      </c>
      <c r="D12" s="68"/>
      <c r="E12" s="68" cm="1">
        <f t="array" ref="E12">$E$9*INDEX('2025 IRP Assumptions'!$E$373:$E$396,'WD_.PX.BDG._.PTC.2029'!$B12-2023,1)</f>
        <v>33.765361931999998</v>
      </c>
      <c r="F12" s="68"/>
      <c r="G12" s="69"/>
      <c r="H12" s="68"/>
      <c r="I12" s="68"/>
      <c r="J12" s="69"/>
      <c r="K12" s="69"/>
      <c r="L12" s="68"/>
      <c r="P12" s="78"/>
      <c r="Q12" s="69"/>
      <c r="R12" s="158"/>
      <c r="S12" s="158"/>
      <c r="U12" s="160"/>
      <c r="X12" s="158"/>
      <c r="Y12" s="160"/>
    </row>
    <row r="13" spans="2:29">
      <c r="B13" s="67">
        <f t="shared" si="0"/>
        <v>2028</v>
      </c>
      <c r="C13" s="70">
        <f>$C$9*INDEX('2025 IRP Assumptions'!$E$238:$E$258,MATCH(B13,'2025 IRP Assumptions'!$S$238:$S$258,0),1)</f>
        <v>1394.9560833849202</v>
      </c>
      <c r="D13" s="68"/>
      <c r="E13" s="68" cm="1">
        <f t="array" ref="E13">$E$9*INDEX('2025 IRP Assumptions'!$E$373:$E$396,'WD_.PX.BDG._.PTC.2029'!$B13-2023,1)</f>
        <v>34.501446836549995</v>
      </c>
      <c r="F13" s="264"/>
      <c r="G13" s="69"/>
      <c r="H13" s="68"/>
      <c r="I13" s="68"/>
      <c r="J13" s="69"/>
      <c r="K13" s="69"/>
      <c r="L13" s="68"/>
      <c r="P13" s="78"/>
      <c r="Q13" s="69"/>
      <c r="U13" s="160"/>
      <c r="W13" s="78"/>
      <c r="X13" s="158"/>
      <c r="Y13" s="160"/>
    </row>
    <row r="14" spans="2:29">
      <c r="B14" s="67">
        <f t="shared" si="0"/>
        <v>2029</v>
      </c>
      <c r="C14" s="70">
        <f>$C$9*INDEX('2025 IRP Assumptions'!$E$238:$E$258,MATCH(B14,'2025 IRP Assumptions'!$S$238:$S$258,0),1)</f>
        <v>1394.16671932432</v>
      </c>
      <c r="D14" s="232">
        <f>C14*$C$60</f>
        <v>88.055569992524042</v>
      </c>
      <c r="E14" s="68" cm="1">
        <f t="array" ref="E14">$E$9*INDEX('2025 IRP Assumptions'!$E$373:$E$396,'WD_.PX.BDG._.PTC.2029'!$B14-2023,1)</f>
        <v>35.253578386050002</v>
      </c>
      <c r="F14" s="264"/>
      <c r="G14" s="69">
        <f t="shared" ref="G14:G46" si="1">(D14+E14+F14)/(8.76*$C$61)</f>
        <v>35.357864879567821</v>
      </c>
      <c r="H14" s="68"/>
      <c r="I14" s="68">
        <f t="shared" ref="I14:I23" si="2">-I64</f>
        <v>-47.74</v>
      </c>
      <c r="J14" s="69">
        <f t="shared" ref="J14:J30" si="3">(G14+H14+I14)</f>
        <v>-12.382135120432181</v>
      </c>
      <c r="K14" s="69">
        <f t="shared" ref="K14:K46" si="4">ROUND(J14*$C$61*8.76,2)</f>
        <v>-43.18</v>
      </c>
      <c r="L14" s="68">
        <f t="shared" ref="L14:L30" si="5">(D14+E14+F14)</f>
        <v>123.30914837857404</v>
      </c>
      <c r="P14" s="78"/>
      <c r="Q14" s="69"/>
      <c r="U14" s="160"/>
      <c r="V14" s="78"/>
      <c r="W14" s="78"/>
      <c r="X14" s="158"/>
      <c r="Y14" s="160"/>
      <c r="Z14" s="78"/>
    </row>
    <row r="15" spans="2:29">
      <c r="B15" s="67">
        <f t="shared" si="0"/>
        <v>2030</v>
      </c>
      <c r="C15" s="70"/>
      <c r="D15" s="68" cm="1">
        <f t="array" ref="D15">D14*INDEX('2025 IRP Assumptions'!$E$373:$E$396,'WD_.PX.BDG._.PTC.2029'!$B15-2023,1)/INDEX('2025 IRP Assumptions'!$E$373:$E$396,'WD_.PX.BDG._.PTC.2029'!$B15-2023-1,1)</f>
        <v>89.975181371987603</v>
      </c>
      <c r="E15" s="68" cm="1">
        <f t="array" ref="E15">$E$9*INDEX('2025 IRP Assumptions'!$E$373:$E$396,'WD_.PX.BDG._.PTC.2029'!$B15-2023,1)</f>
        <v>36.022106376299995</v>
      </c>
      <c r="F15" s="264"/>
      <c r="G15" s="69">
        <f t="shared" si="1"/>
        <v>36.128666315321581</v>
      </c>
      <c r="H15" s="68"/>
      <c r="I15" s="68">
        <f t="shared" si="2"/>
        <v>-47.74</v>
      </c>
      <c r="J15" s="69">
        <f t="shared" si="3"/>
        <v>-11.611333684678421</v>
      </c>
      <c r="K15" s="69">
        <f t="shared" si="4"/>
        <v>-40.49</v>
      </c>
      <c r="L15" s="68">
        <f>(D15+E15+F15)</f>
        <v>125.99728774828759</v>
      </c>
      <c r="P15" s="78"/>
      <c r="Q15" s="69"/>
      <c r="U15" s="160"/>
      <c r="V15" s="78"/>
      <c r="W15" s="78"/>
      <c r="X15" s="158"/>
      <c r="Y15" s="160"/>
      <c r="Z15" s="78"/>
      <c r="AA15" s="78"/>
    </row>
    <row r="16" spans="2:29">
      <c r="B16" s="67">
        <f t="shared" si="0"/>
        <v>2031</v>
      </c>
      <c r="C16" s="70"/>
      <c r="D16" s="68" cm="1">
        <f t="array" ref="D16">D15*INDEX('2025 IRP Assumptions'!$E$373:$E$396,'WD_.PX.BDG._.PTC.2029'!$B16-2023,1)/INDEX('2025 IRP Assumptions'!$E$373:$E$396,'WD_.PX.BDG._.PTC.2029'!$B16-2023-1,1)</f>
        <v>91.93664032276638</v>
      </c>
      <c r="E16" s="68" cm="1">
        <f t="array" ref="E16">$E$9*INDEX('2025 IRP Assumptions'!$E$373:$E$396,'WD_.PX.BDG._.PTC.2029'!$B16-2023,1)</f>
        <v>36.80738829405</v>
      </c>
      <c r="F16" s="264"/>
      <c r="G16" s="69">
        <f t="shared" si="1"/>
        <v>36.916271239738549</v>
      </c>
      <c r="H16" s="68"/>
      <c r="I16" s="68">
        <f t="shared" si="2"/>
        <v>-49.06</v>
      </c>
      <c r="J16" s="69">
        <f t="shared" si="3"/>
        <v>-12.143728760261453</v>
      </c>
      <c r="K16" s="69">
        <f t="shared" si="4"/>
        <v>-42.35</v>
      </c>
      <c r="L16" s="68">
        <f t="shared" si="5"/>
        <v>128.74402861681637</v>
      </c>
      <c r="P16" s="78"/>
      <c r="Q16" s="69"/>
      <c r="U16" s="160"/>
      <c r="V16" s="78"/>
      <c r="W16" s="78"/>
      <c r="X16" s="158"/>
      <c r="Y16" s="160"/>
      <c r="Z16" s="78"/>
      <c r="AA16" s="78"/>
    </row>
    <row r="17" spans="2:27">
      <c r="B17" s="67">
        <f t="shared" si="0"/>
        <v>2032</v>
      </c>
      <c r="C17" s="70"/>
      <c r="D17" s="68" cm="1">
        <f t="array" ref="D17">D16*INDEX('2025 IRP Assumptions'!$E$373:$E$396,'WD_.PX.BDG._.PTC.2029'!$B17-2023,1)/INDEX('2025 IRP Assumptions'!$E$373:$E$396,'WD_.PX.BDG._.PTC.2029'!$B17-2023-1,1)</f>
        <v>93.940859056299658</v>
      </c>
      <c r="E17" s="68" cm="1">
        <f t="array" ref="E17">$E$9*INDEX('2025 IRP Assumptions'!$E$373:$E$396,'WD_.PX.BDG._.PTC.2029'!$B17-2023,1)</f>
        <v>37.609789348650004</v>
      </c>
      <c r="F17" s="264"/>
      <c r="G17" s="69">
        <f t="shared" si="1"/>
        <v>37.721045942524363</v>
      </c>
      <c r="H17" s="68"/>
      <c r="I17" s="68">
        <f t="shared" si="2"/>
        <v>-50.39</v>
      </c>
      <c r="J17" s="69">
        <f t="shared" si="3"/>
        <v>-12.668954057475638</v>
      </c>
      <c r="K17" s="69">
        <f t="shared" si="4"/>
        <v>-44.18</v>
      </c>
      <c r="L17" s="68">
        <f t="shared" si="5"/>
        <v>131.55064840494967</v>
      </c>
      <c r="P17" s="78"/>
      <c r="Q17" s="69"/>
      <c r="T17" s="78"/>
      <c r="V17" s="78"/>
      <c r="W17" s="78"/>
      <c r="Y17" s="78"/>
      <c r="Z17" s="78"/>
      <c r="AA17" s="78"/>
    </row>
    <row r="18" spans="2:27">
      <c r="B18" s="67">
        <f t="shared" si="0"/>
        <v>2033</v>
      </c>
      <c r="C18" s="70"/>
      <c r="D18" s="68" cm="1">
        <f t="array" ref="D18">D17*INDEX('2025 IRP Assumptions'!$E$373:$E$396,'WD_.PX.BDG._.PTC.2029'!$B18-2023,1)/INDEX('2025 IRP Assumptions'!$E$373:$E$396,'WD_.PX.BDG._.PTC.2029'!$B18-2023-1,1)</f>
        <v>95.988769784849552</v>
      </c>
      <c r="E18" s="68" cm="1">
        <f t="array" ref="E18">$E$9*INDEX('2025 IRP Assumptions'!$E$373:$E$396,'WD_.PX.BDG._.PTC.2029'!$B18-2023,1)</f>
        <v>38.429682756899993</v>
      </c>
      <c r="F18" s="264"/>
      <c r="G18" s="69">
        <f t="shared" si="1"/>
        <v>38.543364744522144</v>
      </c>
      <c r="H18" s="68"/>
      <c r="I18" s="68">
        <f t="shared" si="2"/>
        <v>-50.39</v>
      </c>
      <c r="J18" s="69">
        <f t="shared" si="3"/>
        <v>-11.846635255477857</v>
      </c>
      <c r="K18" s="69">
        <f t="shared" si="4"/>
        <v>-41.31</v>
      </c>
      <c r="L18" s="68">
        <f t="shared" si="5"/>
        <v>134.41845254174956</v>
      </c>
      <c r="P18" s="78"/>
      <c r="Q18" s="69"/>
      <c r="T18" s="78"/>
      <c r="V18" s="78"/>
      <c r="W18" s="78"/>
      <c r="Y18" s="78"/>
      <c r="Z18" s="78"/>
      <c r="AA18" s="78"/>
    </row>
    <row r="19" spans="2:27">
      <c r="B19" s="67">
        <f t="shared" si="0"/>
        <v>2034</v>
      </c>
      <c r="C19" s="70"/>
      <c r="D19" s="68" cm="1">
        <f t="array" ref="D19">D18*INDEX('2025 IRP Assumptions'!$E$373:$E$396,'WD_.PX.BDG._.PTC.2029'!$B19-2023,1)/INDEX('2025 IRP Assumptions'!$E$373:$E$396,'WD_.PX.BDG._.PTC.2029'!$B19-2023-1,1)</f>
        <v>98.081325037719537</v>
      </c>
      <c r="E19" s="68" cm="1">
        <f t="array" ref="E19">$E$9*INDEX('2025 IRP Assumptions'!$E$373:$E$396,'WD_.PX.BDG._.PTC.2029'!$B19-2023,1)</f>
        <v>39.267449869649994</v>
      </c>
      <c r="F19" s="264"/>
      <c r="G19" s="69">
        <f t="shared" si="1"/>
        <v>39.38361012468706</v>
      </c>
      <c r="H19" s="68"/>
      <c r="I19" s="68">
        <f t="shared" si="2"/>
        <v>-51.71</v>
      </c>
      <c r="J19" s="69">
        <f t="shared" si="3"/>
        <v>-12.326389875312941</v>
      </c>
      <c r="K19" s="69">
        <f t="shared" si="4"/>
        <v>-42.99</v>
      </c>
      <c r="L19" s="68">
        <f t="shared" si="5"/>
        <v>137.34877490736955</v>
      </c>
      <c r="P19" s="78"/>
      <c r="Q19" s="69"/>
      <c r="T19" s="78"/>
      <c r="V19" s="78"/>
      <c r="W19" s="78"/>
      <c r="Y19" s="78"/>
      <c r="Z19" s="78"/>
      <c r="AA19" s="78"/>
    </row>
    <row r="20" spans="2:27">
      <c r="B20" s="67">
        <f t="shared" si="0"/>
        <v>2035</v>
      </c>
      <c r="C20" s="70"/>
      <c r="D20" s="68" cm="1">
        <f t="array" ref="D20">D19*INDEX('2025 IRP Assumptions'!$E$373:$E$396,'WD_.PX.BDG._.PTC.2029'!$B20-2023,1)/INDEX('2025 IRP Assumptions'!$E$373:$E$396,'WD_.PX.BDG._.PTC.2029'!$B20-2023-1,1)</f>
        <v>100.21949789841825</v>
      </c>
      <c r="E20" s="68" cm="1">
        <f t="array" ref="E20">$E$9*INDEX('2025 IRP Assumptions'!$E$373:$E$396,'WD_.PX.BDG._.PTC.2029'!$B20-2023,1)</f>
        <v>40.123480266749993</v>
      </c>
      <c r="F20" s="264"/>
      <c r="G20" s="69">
        <f t="shared" si="1"/>
        <v>40.242172815317105</v>
      </c>
      <c r="H20" s="68"/>
      <c r="I20" s="68">
        <f t="shared" si="2"/>
        <v>-53.04</v>
      </c>
      <c r="J20" s="69">
        <f>(G20+H20+I20)</f>
        <v>-12.797827184682895</v>
      </c>
      <c r="K20" s="69">
        <f t="shared" si="4"/>
        <v>-44.63</v>
      </c>
      <c r="L20" s="68">
        <f t="shared" si="5"/>
        <v>140.34297816516823</v>
      </c>
      <c r="P20" s="78"/>
      <c r="Q20" s="69"/>
      <c r="T20" s="78"/>
      <c r="V20" s="78"/>
      <c r="W20" s="78"/>
      <c r="Y20" s="78"/>
      <c r="Z20" s="78"/>
      <c r="AA20" s="78"/>
    </row>
    <row r="21" spans="2:27">
      <c r="B21" s="67">
        <f t="shared" si="0"/>
        <v>2036</v>
      </c>
      <c r="C21" s="70"/>
      <c r="D21" s="68" cm="1">
        <f t="array" ref="D21">D20*INDEX('2025 IRP Assumptions'!$E$373:$E$396,'WD_.PX.BDG._.PTC.2029'!$B21-2023,1)/INDEX('2025 IRP Assumptions'!$E$373:$E$396,'WD_.PX.BDG._.PTC.2029'!$B21-2023-1,1)</f>
        <v>102.40428295331526</v>
      </c>
      <c r="E21" s="68" cm="1">
        <f t="array" ref="E21">$E$9*INDEX('2025 IRP Assumptions'!$E$373:$E$396,'WD_.PX.BDG._.PTC.2029'!$B21-2023,1)</f>
        <v>40.998172136849995</v>
      </c>
      <c r="F21" s="264"/>
      <c r="G21" s="69">
        <f t="shared" si="1"/>
        <v>41.119452182976715</v>
      </c>
      <c r="H21" s="68"/>
      <c r="I21" s="68">
        <f t="shared" si="2"/>
        <v>-54.37</v>
      </c>
      <c r="J21" s="69">
        <f t="shared" si="3"/>
        <v>-13.250547817023282</v>
      </c>
      <c r="K21" s="69">
        <f t="shared" si="4"/>
        <v>-46.21</v>
      </c>
      <c r="L21" s="68">
        <f t="shared" si="5"/>
        <v>143.40245509016526</v>
      </c>
      <c r="P21" s="78"/>
      <c r="Q21" s="69"/>
      <c r="T21" s="78"/>
      <c r="V21" s="78"/>
      <c r="W21" s="78"/>
      <c r="Y21" s="78"/>
      <c r="Z21" s="78"/>
      <c r="AA21" s="78"/>
    </row>
    <row r="22" spans="2:27">
      <c r="B22" s="67">
        <f t="shared" si="0"/>
        <v>2037</v>
      </c>
      <c r="C22" s="70"/>
      <c r="D22" s="68" cm="1">
        <f t="array" ref="D22">D21*INDEX('2025 IRP Assumptions'!$E$373:$E$396,'WD_.PX.BDG._.PTC.2029'!$B22-2023,1)/INDEX('2025 IRP Assumptions'!$E$373:$E$396,'WD_.PX.BDG._.PTC.2029'!$B22-2023-1,1)</f>
        <v>104.63669629164096</v>
      </c>
      <c r="E22" s="68" cm="1">
        <f t="array" ref="E22">$E$9*INDEX('2025 IRP Assumptions'!$E$373:$E$396,'WD_.PX.BDG._.PTC.2029'!$B22-2023,1)</f>
        <v>41.891932277399995</v>
      </c>
      <c r="F22" s="264"/>
      <c r="G22" s="69">
        <f t="shared" si="1"/>
        <v>42.015856228496681</v>
      </c>
      <c r="H22" s="68"/>
      <c r="I22" s="68">
        <f t="shared" si="2"/>
        <v>-55.69</v>
      </c>
      <c r="J22" s="69">
        <f t="shared" si="3"/>
        <v>-13.674143771503317</v>
      </c>
      <c r="K22" s="69">
        <f t="shared" si="4"/>
        <v>-47.69</v>
      </c>
      <c r="L22" s="68">
        <f t="shared" si="5"/>
        <v>146.52862856904096</v>
      </c>
      <c r="P22" s="78"/>
      <c r="Q22" s="69"/>
      <c r="T22" s="78"/>
      <c r="V22" s="78"/>
      <c r="W22" s="78"/>
      <c r="Y22" s="78"/>
      <c r="Z22" s="78"/>
      <c r="AA22" s="78"/>
    </row>
    <row r="23" spans="2:27">
      <c r="B23" s="67">
        <f t="shared" si="0"/>
        <v>2038</v>
      </c>
      <c r="C23" s="70"/>
      <c r="D23" s="68" cm="1">
        <f t="array" ref="D23">D22*INDEX('2025 IRP Assumptions'!$E$373:$E$396,'WD_.PX.BDG._.PTC.2029'!$B23-2023,1)/INDEX('2025 IRP Assumptions'!$E$373:$E$396,'WD_.PX.BDG._.PTC.2029'!$B23-2023-1,1)</f>
        <v>106.91777629603298</v>
      </c>
      <c r="E23" s="68" cm="1">
        <f t="array" ref="E23">$E$9*INDEX('2025 IRP Assumptions'!$E$373:$E$396,'WD_.PX.BDG._.PTC.2029'!$B23-2023,1)</f>
        <v>42.805176411150001</v>
      </c>
      <c r="F23" s="264"/>
      <c r="G23" s="69">
        <f t="shared" si="1"/>
        <v>42.93180190441047</v>
      </c>
      <c r="H23" s="68"/>
      <c r="I23" s="68">
        <f t="shared" si="2"/>
        <v>-55.69</v>
      </c>
      <c r="J23" s="69">
        <f t="shared" si="3"/>
        <v>-12.758198095589528</v>
      </c>
      <c r="K23" s="69">
        <f t="shared" si="4"/>
        <v>-44.49</v>
      </c>
      <c r="L23" s="68">
        <f t="shared" si="5"/>
        <v>149.72295270718297</v>
      </c>
      <c r="P23" s="78"/>
      <c r="Q23" s="69"/>
      <c r="T23" s="78"/>
      <c r="V23" s="78"/>
      <c r="W23" s="78"/>
      <c r="Y23" s="78"/>
      <c r="Z23" s="78"/>
      <c r="AA23" s="78"/>
    </row>
    <row r="24" spans="2:27">
      <c r="B24" s="67">
        <f t="shared" si="0"/>
        <v>2039</v>
      </c>
      <c r="C24" s="70"/>
      <c r="D24" s="68" cm="1">
        <f t="array" ref="D24">D23*INDEX('2025 IRP Assumptions'!$E$373:$E$396,'WD_.PX.BDG._.PTC.2029'!$B24-2023,1)/INDEX('2025 IRP Assumptions'!$E$373:$E$396,'WD_.PX.BDG._.PTC.2029'!$B24-2023-1,1)</f>
        <v>109.24858380064542</v>
      </c>
      <c r="E24" s="68" cm="1">
        <f t="array" ref="E24">$E$9*INDEX('2025 IRP Assumptions'!$E$373:$E$396,'WD_.PX.BDG._.PTC.2029'!$B24-2023,1)</f>
        <v>43.738329249449997</v>
      </c>
      <c r="F24" s="264"/>
      <c r="G24" s="69">
        <f t="shared" si="1"/>
        <v>43.867715178441479</v>
      </c>
      <c r="H24" s="68"/>
      <c r="I24" s="68"/>
      <c r="J24" s="69">
        <f t="shared" si="3"/>
        <v>43.867715178441479</v>
      </c>
      <c r="K24" s="69">
        <f t="shared" si="4"/>
        <v>152.99</v>
      </c>
      <c r="L24" s="68">
        <f t="shared" si="5"/>
        <v>152.98691305009541</v>
      </c>
      <c r="P24" s="78"/>
      <c r="Q24" s="69"/>
      <c r="T24" s="78"/>
      <c r="V24" s="78"/>
      <c r="W24" s="78"/>
      <c r="Y24" s="78"/>
      <c r="Z24" s="78"/>
      <c r="AA24" s="78"/>
    </row>
    <row r="25" spans="2:27">
      <c r="B25" s="67">
        <f t="shared" si="0"/>
        <v>2040</v>
      </c>
      <c r="C25" s="70"/>
      <c r="D25" s="68" cm="1">
        <f t="array" ref="D25">D24*INDEX('2025 IRP Assumptions'!$E$373:$E$396,'WD_.PX.BDG._.PTC.2029'!$B25-2023,1)/INDEX('2025 IRP Assumptions'!$E$373:$E$396,'WD_.PX.BDG._.PTC.2029'!$B25-2023-1,1)</f>
        <v>111.63020296074988</v>
      </c>
      <c r="E25" s="68" cm="1">
        <f t="array" ref="E25">$E$9*INDEX('2025 IRP Assumptions'!$E$373:$E$396,'WD_.PX.BDG._.PTC.2029'!$B25-2023,1)</f>
        <v>44.691824840399995</v>
      </c>
      <c r="F25" s="264"/>
      <c r="G25" s="69">
        <f t="shared" si="1"/>
        <v>44.824031382682875</v>
      </c>
      <c r="H25" s="68"/>
      <c r="I25" s="68"/>
      <c r="J25" s="69">
        <f t="shared" si="3"/>
        <v>44.824031382682875</v>
      </c>
      <c r="K25" s="69">
        <f t="shared" si="4"/>
        <v>156.32</v>
      </c>
      <c r="L25" s="68">
        <f t="shared" si="5"/>
        <v>156.32202780114989</v>
      </c>
      <c r="P25" s="78"/>
      <c r="Q25" s="69"/>
      <c r="T25" s="78"/>
      <c r="V25" s="78"/>
      <c r="W25" s="78"/>
      <c r="Y25" s="78"/>
      <c r="Z25" s="78"/>
      <c r="AA25" s="78"/>
    </row>
    <row r="26" spans="2:27">
      <c r="B26" s="67">
        <f t="shared" si="0"/>
        <v>2041</v>
      </c>
      <c r="C26" s="70"/>
      <c r="D26" s="68" cm="1">
        <f t="array" ref="D26">D25*INDEX('2025 IRP Assumptions'!$E$373:$E$396,'WD_.PX.BDG._.PTC.2029'!$B26-2023,1)/INDEX('2025 IRP Assumptions'!$E$373:$E$396,'WD_.PX.BDG._.PTC.2029'!$B26-2023-1,1)</f>
        <v>114.06374133179006</v>
      </c>
      <c r="E26" s="68" cm="1">
        <f t="array" ref="E26">$E$9*INDEX('2025 IRP Assumptions'!$E$373:$E$396,'WD_.PX.BDG._.PTC.2029'!$B26-2023,1)</f>
        <v>45.666106600499994</v>
      </c>
      <c r="F26" s="264"/>
      <c r="G26" s="69">
        <f t="shared" si="1"/>
        <v>45.801195245341276</v>
      </c>
      <c r="H26" s="68"/>
      <c r="I26" s="68"/>
      <c r="J26" s="69">
        <f t="shared" si="3"/>
        <v>45.801195245341276</v>
      </c>
      <c r="K26" s="69">
        <f t="shared" si="4"/>
        <v>159.72999999999999</v>
      </c>
      <c r="L26" s="68">
        <f t="shared" si="5"/>
        <v>159.72984793229006</v>
      </c>
      <c r="P26" s="78"/>
      <c r="Q26" s="69"/>
    </row>
    <row r="27" spans="2:27">
      <c r="B27" s="67">
        <f t="shared" si="0"/>
        <v>2042</v>
      </c>
      <c r="C27" s="70"/>
      <c r="D27" s="68" cm="1">
        <f t="array" ref="D27">D26*INDEX('2025 IRP Assumptions'!$E$373:$E$396,'WD_.PX.BDG._.PTC.2029'!$B27-2023,1)/INDEX('2025 IRP Assumptions'!$E$373:$E$396,'WD_.PX.BDG._.PTC.2029'!$B27-2023-1,1)</f>
        <v>116.55033089709202</v>
      </c>
      <c r="E27" s="68" cm="1">
        <f t="array" ref="E27">$E$9*INDEX('2025 IRP Assumptions'!$E$373:$E$396,'WD_.PX.BDG._.PTC.2029'!$B27-2023,1)</f>
        <v>46.661627726100001</v>
      </c>
      <c r="F27" s="264"/>
      <c r="G27" s="69">
        <f t="shared" si="1"/>
        <v>46.799661303403873</v>
      </c>
      <c r="H27" s="68"/>
      <c r="I27" s="68"/>
      <c r="J27" s="69">
        <f t="shared" si="3"/>
        <v>46.799661303403873</v>
      </c>
      <c r="K27" s="69">
        <f t="shared" si="4"/>
        <v>163.21</v>
      </c>
      <c r="L27" s="68">
        <f t="shared" si="5"/>
        <v>163.21195862319203</v>
      </c>
      <c r="P27" s="78"/>
      <c r="Q27" s="69"/>
    </row>
    <row r="28" spans="2:27">
      <c r="B28" s="67">
        <f t="shared" si="0"/>
        <v>2043</v>
      </c>
      <c r="C28" s="70"/>
      <c r="D28" s="68" cm="1">
        <f t="array" ref="D28">D27*INDEX('2025 IRP Assumptions'!$E$373:$E$396,'WD_.PX.BDG._.PTC.2029'!$B28-2023,1)/INDEX('2025 IRP Assumptions'!$E$373:$E$396,'WD_.PX.BDG._.PTC.2029'!$B28-2023-1,1)</f>
        <v>119.0911281469189</v>
      </c>
      <c r="E28" s="68" cm="1">
        <f t="array" ref="E28">$E$9*INDEX('2025 IRP Assumptions'!$E$373:$E$396,'WD_.PX.BDG._.PTC.2029'!$B28-2023,1)</f>
        <v>47.678851225049996</v>
      </c>
      <c r="F28" s="264"/>
      <c r="G28" s="69">
        <f t="shared" si="1"/>
        <v>47.819893934382051</v>
      </c>
      <c r="H28" s="68"/>
      <c r="I28" s="68"/>
      <c r="J28" s="69">
        <f t="shared" si="3"/>
        <v>47.819893934382051</v>
      </c>
      <c r="K28" s="69">
        <f t="shared" si="4"/>
        <v>166.77</v>
      </c>
      <c r="L28" s="68">
        <f t="shared" si="5"/>
        <v>166.7699793719689</v>
      </c>
      <c r="P28" s="78"/>
      <c r="Q28" s="69"/>
    </row>
    <row r="29" spans="2:27">
      <c r="B29" s="67">
        <f t="shared" si="0"/>
        <v>2044</v>
      </c>
      <c r="C29" s="70"/>
      <c r="D29" s="68" cm="1">
        <f t="array" ref="D29">D28*INDEX('2025 IRP Assumptions'!$E$373:$E$396,'WD_.PX.BDG._.PTC.2029'!$B29-2023,1)/INDEX('2025 IRP Assumptions'!$E$373:$E$396,'WD_.PX.BDG._.PTC.2029'!$B29-2023-1,1)</f>
        <v>121.68731471090787</v>
      </c>
      <c r="E29" s="68" cm="1">
        <f t="array" ref="E29">$E$9*INDEX('2025 IRP Assumptions'!$E$373:$E$396,'WD_.PX.BDG._.PTC.2029'!$B29-2023,1)</f>
        <v>48.718250169900003</v>
      </c>
      <c r="F29" s="264"/>
      <c r="G29" s="69">
        <f t="shared" si="1"/>
        <v>48.862367610260421</v>
      </c>
      <c r="H29" s="68"/>
      <c r="I29" s="68"/>
      <c r="J29" s="69">
        <f t="shared" si="3"/>
        <v>48.862367610260421</v>
      </c>
      <c r="K29" s="69">
        <f t="shared" si="4"/>
        <v>170.41</v>
      </c>
      <c r="L29" s="68">
        <f t="shared" si="5"/>
        <v>170.40556488080787</v>
      </c>
      <c r="P29" s="78"/>
      <c r="Q29" s="69"/>
    </row>
    <row r="30" spans="2:27">
      <c r="B30" s="67">
        <f t="shared" si="0"/>
        <v>2045</v>
      </c>
      <c r="C30" s="70"/>
      <c r="D30" s="68" cm="1">
        <f t="array" ref="D30">D29*INDEX('2025 IRP Assumptions'!$E$373:$E$396,'WD_.PX.BDG._.PTC.2029'!$B30-2023,1)/INDEX('2025 IRP Assumptions'!$E$373:$E$396,'WD_.PX.BDG._.PTC.2029'!$B30-2023-1,1)</f>
        <v>124.34009822767121</v>
      </c>
      <c r="E30" s="68" cm="1">
        <f t="array" ref="E30">$E$9*INDEX('2025 IRP Assumptions'!$E$373:$E$396,'WD_.PX.BDG._.PTC.2029'!$B30-2023,1)</f>
        <v>49.780308046050003</v>
      </c>
      <c r="F30" s="264"/>
      <c r="G30" s="69">
        <f t="shared" si="1"/>
        <v>49.927567246676681</v>
      </c>
      <c r="H30" s="68"/>
      <c r="I30" s="68"/>
      <c r="J30" s="69">
        <f t="shared" si="3"/>
        <v>49.927567246676681</v>
      </c>
      <c r="K30" s="69">
        <f t="shared" si="4"/>
        <v>174.12</v>
      </c>
      <c r="L30" s="68">
        <f t="shared" si="5"/>
        <v>174.12040627372122</v>
      </c>
      <c r="P30" s="78"/>
      <c r="Q30" s="69"/>
    </row>
    <row r="31" spans="2:27">
      <c r="B31" s="67">
        <f t="shared" si="0"/>
        <v>2046</v>
      </c>
      <c r="C31" s="70"/>
      <c r="D31" s="68" cm="1">
        <f t="array" ref="D31">D30*INDEX('2025 IRP Assumptions'!$E$373:$E$396,'WD_.PX.BDG._.PTC.2029'!$B31-2023,1)/INDEX('2025 IRP Assumptions'!$E$373:$E$396,'WD_.PX.BDG._.PTC.2029'!$B31-2023-1,1)</f>
        <v>127.05071234479628</v>
      </c>
      <c r="E31" s="68" cm="1">
        <f t="array" ref="E31">$E$9*INDEX('2025 IRP Assumptions'!$E$373:$E$396,'WD_.PX.BDG._.PTC.2029'!$B31-2023,1)</f>
        <v>50.865518751749995</v>
      </c>
      <c r="F31" s="264"/>
      <c r="G31" s="69">
        <f t="shared" si="1"/>
        <v>51.015988202921633</v>
      </c>
      <c r="H31" s="68"/>
      <c r="I31" s="68"/>
      <c r="J31" s="69">
        <f>(G31+H31+I31)</f>
        <v>51.015988202921633</v>
      </c>
      <c r="K31" s="69">
        <f t="shared" si="4"/>
        <v>177.92</v>
      </c>
      <c r="L31" s="68">
        <f>(D31+E31+F31)</f>
        <v>177.91623109654628</v>
      </c>
      <c r="P31" s="78"/>
      <c r="Q31" s="69"/>
    </row>
    <row r="32" spans="2:27">
      <c r="B32" s="67">
        <f t="shared" si="0"/>
        <v>2047</v>
      </c>
      <c r="C32" s="70"/>
      <c r="D32" s="68" cm="1">
        <f t="array" ref="D32">D31*INDEX('2025 IRP Assumptions'!$E$373:$E$396,'WD_.PX.BDG._.PTC.2029'!$B32-2023,1)/INDEX('2025 IRP Assumptions'!$E$373:$E$396,'WD_.PX.BDG._.PTC.2029'!$B32-2023-1,1)</f>
        <v>129.82041782561046</v>
      </c>
      <c r="E32" s="68" cm="1">
        <f t="array" ref="E32">$E$9*INDEX('2025 IRP Assumptions'!$E$373:$E$396,'WD_.PX.BDG._.PTC.2029'!$B32-2023,1)</f>
        <v>51.974387041199996</v>
      </c>
      <c r="F32" s="264"/>
      <c r="G32" s="69">
        <f t="shared" si="1"/>
        <v>52.128136726349965</v>
      </c>
      <c r="H32" s="68"/>
      <c r="I32" s="68"/>
      <c r="J32" s="69">
        <f>(G32+H32+I32)</f>
        <v>52.128136726349965</v>
      </c>
      <c r="K32" s="69">
        <f t="shared" si="4"/>
        <v>181.79</v>
      </c>
      <c r="L32" s="68">
        <f>(D32+E32+F32)</f>
        <v>181.79480486681047</v>
      </c>
      <c r="P32" s="78"/>
      <c r="Q32" s="69"/>
    </row>
    <row r="33" spans="2:17" ht="15">
      <c r="B33" s="67">
        <f t="shared" si="0"/>
        <v>2048</v>
      </c>
      <c r="C33" s="70"/>
      <c r="D33" s="259">
        <f t="shared" ref="D33:E34" si="6">D32*D32/D31</f>
        <v>132.65050288485341</v>
      </c>
      <c r="E33" s="259">
        <f t="shared" si="6"/>
        <v>53.107428658938439</v>
      </c>
      <c r="F33" s="264"/>
      <c r="G33" s="69">
        <f t="shared" si="1"/>
        <v>53.264530087166222</v>
      </c>
      <c r="H33" s="68"/>
      <c r="I33" s="68"/>
      <c r="J33" s="69">
        <f>(G33+H33+I33)</f>
        <v>53.264530087166222</v>
      </c>
      <c r="K33" s="69">
        <f t="shared" si="4"/>
        <v>185.76</v>
      </c>
      <c r="L33" s="68">
        <f>(D33+E33+F33)</f>
        <v>185.75793154379184</v>
      </c>
      <c r="P33" s="78"/>
      <c r="Q33" s="69"/>
    </row>
    <row r="34" spans="2:17" ht="15">
      <c r="B34" s="67">
        <f t="shared" si="0"/>
        <v>2049</v>
      </c>
      <c r="C34" s="70"/>
      <c r="D34" s="259">
        <f t="shared" ref="D34" si="7">D33*D33/D32</f>
        <v>135.54228379731191</v>
      </c>
      <c r="E34" s="259">
        <f t="shared" si="6"/>
        <v>54.26517058351282</v>
      </c>
      <c r="F34" s="264"/>
      <c r="G34" s="69">
        <f t="shared" si="1"/>
        <v>54.425696822816249</v>
      </c>
      <c r="H34" s="68"/>
      <c r="I34" s="68"/>
      <c r="J34" s="69">
        <f>(G34+H34+I34)</f>
        <v>54.425696822816249</v>
      </c>
      <c r="K34" s="69">
        <f t="shared" si="4"/>
        <v>189.81</v>
      </c>
      <c r="L34" s="68">
        <f>(D34+E34+F34)</f>
        <v>189.80745438082474</v>
      </c>
      <c r="P34" s="78"/>
      <c r="Q34" s="69"/>
    </row>
    <row r="35" spans="2:17" ht="15">
      <c r="B35" s="67">
        <f t="shared" si="0"/>
        <v>2050</v>
      </c>
      <c r="C35" s="70"/>
      <c r="D35" s="259">
        <f t="shared" ref="D35" si="8">D34*D34/D33</f>
        <v>138.49710553256259</v>
      </c>
      <c r="E35" s="259">
        <f t="shared" ref="E35" si="9">E24*E24/E23</f>
        <v>44.691824819462241</v>
      </c>
      <c r="F35" s="264"/>
      <c r="G35" s="69">
        <f t="shared" si="1"/>
        <v>52.527890525476337</v>
      </c>
      <c r="H35" s="68"/>
      <c r="I35" s="68"/>
      <c r="J35" s="69">
        <f t="shared" ref="J35:J44" si="10">(G35+H35+I35)</f>
        <v>52.527890525476337</v>
      </c>
      <c r="K35" s="69">
        <f t="shared" si="4"/>
        <v>183.19</v>
      </c>
      <c r="L35" s="68">
        <f t="shared" ref="L35:L44" si="11">(D35+E35+F35)</f>
        <v>183.18893035202484</v>
      </c>
      <c r="P35" s="78"/>
      <c r="Q35" s="69"/>
    </row>
    <row r="36" spans="2:17" ht="15">
      <c r="B36" s="67">
        <f t="shared" si="0"/>
        <v>2051</v>
      </c>
      <c r="C36" s="70"/>
      <c r="D36" s="259">
        <f t="shared" ref="D36" si="12">D35*D35/D34</f>
        <v>141.51634238051835</v>
      </c>
      <c r="E36" s="259">
        <f t="shared" ref="E36" si="13">E25*E25/E24</f>
        <v>45.666106635522901</v>
      </c>
      <c r="F36" s="264"/>
      <c r="G36" s="69">
        <f t="shared" si="1"/>
        <v>53.672998533868515</v>
      </c>
      <c r="H36" s="68"/>
      <c r="I36" s="68"/>
      <c r="J36" s="69">
        <f t="shared" si="10"/>
        <v>53.672998533868515</v>
      </c>
      <c r="K36" s="69">
        <f t="shared" si="4"/>
        <v>187.18</v>
      </c>
      <c r="L36" s="68">
        <f t="shared" si="11"/>
        <v>187.18244901604126</v>
      </c>
      <c r="P36" s="78"/>
      <c r="Q36" s="69"/>
    </row>
    <row r="37" spans="2:17" ht="15">
      <c r="B37" s="67">
        <f t="shared" si="0"/>
        <v>2052</v>
      </c>
      <c r="C37" s="70"/>
      <c r="D37" s="259">
        <f t="shared" ref="D37" si="14">D36*D36/D35</f>
        <v>144.60139859061169</v>
      </c>
      <c r="E37" s="259">
        <f t="shared" ref="E37" si="15">E26*E26/E25</f>
        <v>46.661627702503196</v>
      </c>
      <c r="F37" s="264"/>
      <c r="G37" s="69">
        <f t="shared" si="1"/>
        <v>54.843069869942013</v>
      </c>
      <c r="H37" s="68"/>
      <c r="I37" s="68"/>
      <c r="J37" s="69">
        <f t="shared" si="10"/>
        <v>54.843069869942013</v>
      </c>
      <c r="K37" s="69">
        <f t="shared" si="4"/>
        <v>191.26</v>
      </c>
      <c r="L37" s="68">
        <f t="shared" si="11"/>
        <v>191.26302629311488</v>
      </c>
      <c r="P37" s="78"/>
      <c r="Q37" s="69"/>
    </row>
    <row r="38" spans="2:17" ht="15">
      <c r="B38" s="67">
        <f t="shared" si="0"/>
        <v>2053</v>
      </c>
      <c r="C38" s="70"/>
      <c r="D38" s="259">
        <f t="shared" ref="D38" si="16">D37*D37/D36</f>
        <v>147.75370902491221</v>
      </c>
      <c r="E38" s="259">
        <f t="shared" ref="E38" si="17">E27*E27/E26</f>
        <v>47.67885121227534</v>
      </c>
      <c r="F38" s="264"/>
      <c r="G38" s="69">
        <f t="shared" si="1"/>
        <v>56.038648784757626</v>
      </c>
      <c r="H38" s="68"/>
      <c r="I38" s="68"/>
      <c r="J38" s="69">
        <f t="shared" si="10"/>
        <v>56.038648784757626</v>
      </c>
      <c r="K38" s="69">
        <f t="shared" si="4"/>
        <v>195.43</v>
      </c>
      <c r="L38" s="68">
        <f t="shared" si="11"/>
        <v>195.43256023718754</v>
      </c>
      <c r="P38" s="78"/>
      <c r="Q38" s="69"/>
    </row>
    <row r="39" spans="2:17" ht="15">
      <c r="B39" s="67">
        <f t="shared" si="0"/>
        <v>2054</v>
      </c>
      <c r="C39" s="70"/>
      <c r="D39" s="259">
        <f t="shared" ref="D39" si="18">D38*D38/D37</f>
        <v>150.97473982548203</v>
      </c>
      <c r="E39" s="259">
        <f t="shared" ref="E39" si="19">E28*E28/E27</f>
        <v>48.718250196593665</v>
      </c>
      <c r="F39" s="264"/>
      <c r="G39" s="69">
        <f t="shared" si="1"/>
        <v>57.260291320155559</v>
      </c>
      <c r="H39" s="68"/>
      <c r="I39" s="68"/>
      <c r="J39" s="69">
        <f t="shared" si="10"/>
        <v>57.260291320155559</v>
      </c>
      <c r="K39" s="69">
        <f t="shared" si="4"/>
        <v>199.69</v>
      </c>
      <c r="L39" s="68">
        <f t="shared" si="11"/>
        <v>199.69299002207569</v>
      </c>
      <c r="P39" s="78"/>
      <c r="Q39" s="69"/>
    </row>
    <row r="40" spans="2:17" ht="15">
      <c r="B40" s="67">
        <f t="shared" si="0"/>
        <v>2055</v>
      </c>
      <c r="C40" s="70"/>
      <c r="D40" s="259">
        <f t="shared" ref="D40" si="20">D39*D39/D38</f>
        <v>154.2659890962797</v>
      </c>
      <c r="E40" s="259">
        <f t="shared" ref="E40" si="21">E29*E29/E28</f>
        <v>49.780308011489282</v>
      </c>
      <c r="F40" s="264"/>
      <c r="G40" s="69">
        <f t="shared" si="1"/>
        <v>58.508565643181811</v>
      </c>
      <c r="H40" s="68"/>
      <c r="I40" s="68"/>
      <c r="J40" s="69">
        <f t="shared" si="10"/>
        <v>58.508565643181811</v>
      </c>
      <c r="K40" s="69">
        <f t="shared" si="4"/>
        <v>204.05</v>
      </c>
      <c r="L40" s="68">
        <f t="shared" si="11"/>
        <v>204.04629710776896</v>
      </c>
      <c r="P40" s="78"/>
      <c r="Q40" s="69"/>
    </row>
    <row r="41" spans="2:17" ht="15">
      <c r="B41" s="67">
        <f t="shared" si="0"/>
        <v>2056</v>
      </c>
      <c r="C41" s="70"/>
      <c r="D41" s="259">
        <f t="shared" ref="D41" si="22">D40*D40/D39</f>
        <v>157.62898759992947</v>
      </c>
      <c r="E41" s="259">
        <f t="shared" ref="E41" si="23">E30*E30/E29</f>
        <v>50.865518784389401</v>
      </c>
      <c r="F41" s="264"/>
      <c r="G41" s="69">
        <f t="shared" si="1"/>
        <v>59.784052374088631</v>
      </c>
      <c r="H41" s="68"/>
      <c r="I41" s="68"/>
      <c r="J41" s="69">
        <f t="shared" si="10"/>
        <v>59.784052374088631</v>
      </c>
      <c r="K41" s="69">
        <f t="shared" si="4"/>
        <v>208.49</v>
      </c>
      <c r="L41" s="68">
        <f t="shared" si="11"/>
        <v>208.49450638431887</v>
      </c>
      <c r="P41" s="78"/>
      <c r="Q41" s="69"/>
    </row>
    <row r="42" spans="2:17" ht="15">
      <c r="B42" s="67">
        <f t="shared" si="0"/>
        <v>2057</v>
      </c>
      <c r="C42" s="70"/>
      <c r="D42" s="259">
        <f t="shared" ref="D42" si="24">D41*D41/D40</f>
        <v>161.06529946968027</v>
      </c>
      <c r="E42" s="259">
        <f t="shared" ref="E42" si="25">E31*E31/E30</f>
        <v>51.974387050622703</v>
      </c>
      <c r="F42" s="264"/>
      <c r="G42" s="69">
        <f t="shared" si="1"/>
        <v>61.087344686253743</v>
      </c>
      <c r="H42" s="68"/>
      <c r="I42" s="68"/>
      <c r="J42" s="69">
        <f t="shared" si="10"/>
        <v>61.087344686253743</v>
      </c>
      <c r="K42" s="69">
        <f t="shared" si="4"/>
        <v>213.04</v>
      </c>
      <c r="L42" s="68">
        <f t="shared" si="11"/>
        <v>213.03968652030298</v>
      </c>
      <c r="P42" s="78"/>
      <c r="Q42" s="69"/>
    </row>
    <row r="43" spans="2:17" ht="15">
      <c r="B43" s="67">
        <f t="shared" si="0"/>
        <v>2058</v>
      </c>
      <c r="C43" s="70"/>
      <c r="D43" s="259">
        <f t="shared" ref="D43" si="26">D42*D42/D41</f>
        <v>164.57652293688523</v>
      </c>
      <c r="E43" s="259">
        <f t="shared" ref="E43" si="27">E32*E32/E31</f>
        <v>53.107428658938439</v>
      </c>
      <c r="F43" s="264"/>
      <c r="G43" s="69">
        <f t="shared" si="1"/>
        <v>62.419048774428994</v>
      </c>
      <c r="H43" s="68"/>
      <c r="I43" s="68"/>
      <c r="J43" s="69">
        <f t="shared" si="10"/>
        <v>62.419048774428994</v>
      </c>
      <c r="K43" s="69">
        <f t="shared" si="4"/>
        <v>217.68</v>
      </c>
      <c r="L43" s="68">
        <f t="shared" si="11"/>
        <v>217.68395159582366</v>
      </c>
      <c r="P43" s="78"/>
      <c r="Q43" s="69"/>
    </row>
    <row r="44" spans="2:17" ht="15">
      <c r="B44" s="67">
        <f t="shared" si="0"/>
        <v>2059</v>
      </c>
      <c r="C44" s="70"/>
      <c r="D44" s="259">
        <f t="shared" ref="D44" si="28">D43*D43/D42</f>
        <v>168.16429107434033</v>
      </c>
      <c r="E44" s="259">
        <f t="shared" ref="E44" si="29">E33*E33/E32</f>
        <v>54.26517058351282</v>
      </c>
      <c r="F44" s="264"/>
      <c r="G44" s="69">
        <f t="shared" si="1"/>
        <v>63.779784013980965</v>
      </c>
      <c r="H44" s="68"/>
      <c r="I44" s="68"/>
      <c r="J44" s="69">
        <f t="shared" si="10"/>
        <v>63.779784013980965</v>
      </c>
      <c r="K44" s="69">
        <f t="shared" si="4"/>
        <v>222.43</v>
      </c>
      <c r="L44" s="68">
        <f t="shared" si="11"/>
        <v>222.42946165785315</v>
      </c>
      <c r="P44" s="78"/>
      <c r="Q44" s="69"/>
    </row>
    <row r="45" spans="2:17" ht="15">
      <c r="B45" s="67">
        <f t="shared" si="0"/>
        <v>2060</v>
      </c>
      <c r="C45" s="70"/>
      <c r="D45" s="259">
        <f t="shared" ref="D45" si="30">D44*D44/D43</f>
        <v>171.83027255582795</v>
      </c>
      <c r="E45" s="259">
        <f>E34*E34/E33</f>
        <v>55.448151281602769</v>
      </c>
      <c r="F45" s="264"/>
      <c r="G45" s="69">
        <f t="shared" si="1"/>
        <v>65.17018328123784</v>
      </c>
      <c r="H45" s="68"/>
      <c r="I45" s="68"/>
      <c r="J45" s="69">
        <f>(G45+H45+I45)</f>
        <v>65.17018328123784</v>
      </c>
      <c r="K45" s="69">
        <f t="shared" si="4"/>
        <v>227.28</v>
      </c>
      <c r="L45" s="68">
        <f>(D45+E45+F45)</f>
        <v>227.27842383743072</v>
      </c>
      <c r="P45" s="78"/>
      <c r="Q45" s="69"/>
    </row>
    <row r="46" spans="2:17" ht="15">
      <c r="B46" s="67">
        <f t="shared" si="0"/>
        <v>2061</v>
      </c>
      <c r="C46" s="70"/>
      <c r="D46" s="259">
        <f t="shared" ref="D46" si="31">D45*D45/D44</f>
        <v>175.57617243221827</v>
      </c>
      <c r="E46" s="259">
        <f>E35*E35/E34</f>
        <v>36.807388315855604</v>
      </c>
      <c r="F46" s="264"/>
      <c r="G46" s="69">
        <f t="shared" si="1"/>
        <v>60.899206119865667</v>
      </c>
      <c r="H46" s="68"/>
      <c r="I46" s="68"/>
      <c r="J46" s="69">
        <f>(G46+H46+I46)</f>
        <v>60.899206119865667</v>
      </c>
      <c r="K46" s="69">
        <f t="shared" si="4"/>
        <v>212.38</v>
      </c>
      <c r="L46" s="68">
        <f>(D46+E46+F46)</f>
        <v>212.38356074807388</v>
      </c>
      <c r="P46" s="78"/>
      <c r="Q46" s="69"/>
    </row>
    <row r="47" spans="2:17" ht="15">
      <c r="B47" s="67"/>
      <c r="C47" s="70"/>
      <c r="D47" s="259"/>
      <c r="E47" s="259"/>
      <c r="F47" s="264"/>
      <c r="G47" s="69"/>
      <c r="H47" s="68"/>
      <c r="I47" s="68"/>
      <c r="J47" s="69"/>
      <c r="K47" s="69"/>
      <c r="L47" s="68"/>
      <c r="P47" s="78"/>
      <c r="Q47" s="69"/>
    </row>
    <row r="48" spans="2:17">
      <c r="B48" s="67" t="s">
        <v>307</v>
      </c>
      <c r="F48" s="68"/>
      <c r="J48" s="69">
        <f>-PMT(Discount_Rate,COUNT(J$14:J$43),NPV(Discount_Rate,J$14:J$43))</f>
        <v>16.262279836701236</v>
      </c>
      <c r="K48" s="69">
        <f>-PMT(Discount_Rate,COUNT(K$14:K$43),NPV(Discount_Rate,K$14:K$43))</f>
        <v>56.714985529809908</v>
      </c>
      <c r="L48" s="69">
        <f>-PMT(Discount_Rate,COUNT(L$14:L$43),NPV(Discount_Rate,L$14:L$43))</f>
        <v>154.11560797061091</v>
      </c>
    </row>
    <row r="49" spans="2:20" ht="14.25">
      <c r="B49" s="73" t="s">
        <v>25</v>
      </c>
      <c r="C49" s="74"/>
      <c r="D49" s="74"/>
      <c r="E49" s="74"/>
      <c r="F49" s="74"/>
      <c r="G49" s="74"/>
      <c r="H49" s="74"/>
      <c r="I49" s="74"/>
    </row>
    <row r="51" spans="2:20">
      <c r="B51" s="60" t="s">
        <v>59</v>
      </c>
      <c r="C51" s="75" t="s">
        <v>60</v>
      </c>
      <c r="D51" s="146" t="s">
        <v>186</v>
      </c>
    </row>
    <row r="52" spans="2:20">
      <c r="C52" s="75" t="str">
        <f>C7</f>
        <v>(a)</v>
      </c>
      <c r="D52" s="60" t="s">
        <v>61</v>
      </c>
    </row>
    <row r="53" spans="2:20">
      <c r="C53" s="75" t="str">
        <f>D7</f>
        <v>(b)</v>
      </c>
      <c r="D53" s="69" t="str">
        <f>"= "&amp;C7&amp;" x "&amp;C60</f>
        <v>= (a) x 0.06316</v>
      </c>
    </row>
    <row r="54" spans="2:20">
      <c r="C54" s="75">
        <f>F7</f>
        <v>0</v>
      </c>
      <c r="D54" s="69" t="str">
        <f>"= ("&amp;$D$7&amp;" + "&amp;$E$7&amp;") /  (8.76 x "&amp;TEXT(C61,"0.0%")&amp;")"</f>
        <v>= ((b) + (c)) /  (8.76 x 39.8%)</v>
      </c>
    </row>
    <row r="55" spans="2:20">
      <c r="C55" s="75" t="str">
        <f>J7</f>
        <v>(g)</v>
      </c>
      <c r="D55" s="69" t="str">
        <f>"= "&amp;$G$7&amp;" + "&amp;$H$7</f>
        <v>= (e) + (f)</v>
      </c>
    </row>
    <row r="56" spans="2:20">
      <c r="C56" s="75" t="str">
        <f>K7</f>
        <v>(h)</v>
      </c>
      <c r="D56" t="str">
        <f>D51</f>
        <v>Plant Costs  - 2025 IRP - Table 7.1 &amp; 7.2</v>
      </c>
    </row>
    <row r="57" spans="2:20">
      <c r="Q57" s="60" t="s">
        <v>82</v>
      </c>
      <c r="R57" s="67">
        <v>2029</v>
      </c>
      <c r="T57" s="156" t="s">
        <v>146</v>
      </c>
    </row>
    <row r="58" spans="2:20">
      <c r="B58"/>
      <c r="C58" s="78">
        <v>0</v>
      </c>
      <c r="D58" s="60" t="s">
        <v>85</v>
      </c>
      <c r="P58" s="143"/>
      <c r="T58" s="156"/>
    </row>
    <row r="59" spans="2:20">
      <c r="B59"/>
      <c r="C59" s="275"/>
      <c r="Q59" s="60" t="s">
        <v>189</v>
      </c>
      <c r="R59" s="78">
        <v>100</v>
      </c>
    </row>
    <row r="60" spans="2:20">
      <c r="C60" s="154">
        <v>6.3159999999999994E-2</v>
      </c>
      <c r="D60" s="60" t="s">
        <v>197</v>
      </c>
      <c r="E60" s="150"/>
      <c r="F60" s="273" t="s">
        <v>198</v>
      </c>
      <c r="J60" s="258"/>
      <c r="L60" s="145"/>
      <c r="M60" s="80"/>
      <c r="N60" s="80"/>
      <c r="P60" s="81"/>
    </row>
    <row r="61" spans="2:20">
      <c r="C61" s="155">
        <v>0.39811190096326704</v>
      </c>
      <c r="D61" s="60" t="s">
        <v>35</v>
      </c>
    </row>
    <row r="62" spans="2:20">
      <c r="C62" s="161"/>
      <c r="D62" s="79"/>
      <c r="H62" s="348">
        <v>1.1000000000000001</v>
      </c>
      <c r="I62" s="60" t="s">
        <v>305</v>
      </c>
    </row>
    <row r="63" spans="2:20" ht="15">
      <c r="I63" s="105" t="s">
        <v>31</v>
      </c>
      <c r="J63" s="105" t="s">
        <v>302</v>
      </c>
    </row>
    <row r="64" spans="2:20" ht="15">
      <c r="C64" s="105"/>
      <c r="D64" s="105"/>
      <c r="E64" s="105"/>
      <c r="F64" s="105"/>
      <c r="G64" s="260">
        <v>47119</v>
      </c>
      <c r="H64" s="67">
        <f>YEAR(G64)</f>
        <v>2029</v>
      </c>
      <c r="I64" s="68">
        <f>IF($H$62=110%,INDEX('2025 IRP Assumptions'!$E$341:$E$361,MATCH(H64,'2025 IRP Assumptions'!$S$341:$S$361,0),1),INDEX('2025 IRP Assumptions'!$E$309:$E$338,MATCH(H64,'2025 IRP Assumptions'!$S$341:$S$361,0)))</f>
        <v>47.74</v>
      </c>
      <c r="J64" s="78">
        <f>I64*(8.76*$C$61)</f>
        <v>166.49135245140059</v>
      </c>
    </row>
    <row r="65" spans="3:10" ht="15">
      <c r="C65" s="260"/>
      <c r="D65" s="105"/>
      <c r="E65" s="241"/>
      <c r="F65" s="265"/>
      <c r="G65" s="260">
        <v>47484</v>
      </c>
      <c r="H65" s="67">
        <f>YEAR(G65)</f>
        <v>2030</v>
      </c>
      <c r="I65" s="68">
        <f>IF($H$62=110%,INDEX('2025 IRP Assumptions'!$E$341:$E$361,MATCH(H65,'2025 IRP Assumptions'!$S$341:$S$361,0),1),INDEX('2025 IRP Assumptions'!$E$309:$E$338,MATCH(H65,'2025 IRP Assumptions'!$S$341:$S$361,0)))</f>
        <v>47.74</v>
      </c>
      <c r="J65" s="78">
        <f t="shared" ref="J65:J73" si="32">I65*(8.76*$C$61)</f>
        <v>166.49135245140059</v>
      </c>
    </row>
    <row r="66" spans="3:10" ht="15">
      <c r="C66" s="260"/>
      <c r="D66" s="105"/>
      <c r="E66" s="241"/>
      <c r="F66" s="265"/>
      <c r="G66" s="260">
        <v>47849</v>
      </c>
      <c r="H66" s="67">
        <f t="shared" ref="H66:H73" si="33">YEAR(G66)</f>
        <v>2031</v>
      </c>
      <c r="I66" s="68">
        <f>IF($H$62=110%,INDEX('2025 IRP Assumptions'!$E$341:$E$361,MATCH(H66,'2025 IRP Assumptions'!$S$341:$S$361,0),1),INDEX('2025 IRP Assumptions'!$E$309:$E$338,MATCH(H66,'2025 IRP Assumptions'!$S$341:$S$361,0)))</f>
        <v>49.06</v>
      </c>
      <c r="J66" s="78">
        <f t="shared" si="32"/>
        <v>171.09479998461904</v>
      </c>
    </row>
    <row r="67" spans="3:10" ht="15">
      <c r="C67" s="260"/>
      <c r="D67" s="105"/>
      <c r="E67" s="241"/>
      <c r="F67" s="265"/>
      <c r="G67" s="260">
        <v>48214</v>
      </c>
      <c r="H67" s="67">
        <f t="shared" si="33"/>
        <v>2032</v>
      </c>
      <c r="I67" s="68">
        <f>IF($H$62=110%,INDEX('2025 IRP Assumptions'!$E$341:$E$361,MATCH(H67,'2025 IRP Assumptions'!$S$341:$S$361,0),1),INDEX('2025 IRP Assumptions'!$E$309:$E$338,MATCH(H67,'2025 IRP Assumptions'!$S$341:$S$361,0)))</f>
        <v>50.39</v>
      </c>
      <c r="J67" s="78">
        <f t="shared" si="32"/>
        <v>175.73312212036186</v>
      </c>
    </row>
    <row r="68" spans="3:10" ht="15">
      <c r="C68" s="260"/>
      <c r="D68" s="105"/>
      <c r="E68" s="241"/>
      <c r="F68" s="265"/>
      <c r="G68" s="260">
        <v>48580</v>
      </c>
      <c r="H68" s="67">
        <f t="shared" si="33"/>
        <v>2033</v>
      </c>
      <c r="I68" s="68">
        <f>IF($H$62=110%,INDEX('2025 IRP Assumptions'!$E$341:$E$361,MATCH(H68,'2025 IRP Assumptions'!$S$341:$S$361,0),1),INDEX('2025 IRP Assumptions'!$E$309:$E$338,MATCH(H68,'2025 IRP Assumptions'!$S$341:$S$361,0)))</f>
        <v>50.39</v>
      </c>
      <c r="J68" s="78">
        <f t="shared" si="32"/>
        <v>175.73312212036186</v>
      </c>
    </row>
    <row r="69" spans="3:10" ht="15">
      <c r="C69" s="260"/>
      <c r="D69" s="105"/>
      <c r="E69" s="241"/>
      <c r="F69" s="265"/>
      <c r="G69" s="260">
        <v>48945</v>
      </c>
      <c r="H69" s="67">
        <f t="shared" si="33"/>
        <v>2034</v>
      </c>
      <c r="I69" s="68">
        <f>IF($H$62=110%,INDEX('2025 IRP Assumptions'!$E$341:$E$361,MATCH(H69,'2025 IRP Assumptions'!$S$341:$S$361,0),1),INDEX('2025 IRP Assumptions'!$E$309:$E$338,MATCH(H69,'2025 IRP Assumptions'!$S$341:$S$361,0)))</f>
        <v>51.71</v>
      </c>
      <c r="J69" s="78">
        <f t="shared" si="32"/>
        <v>180.33656965358031</v>
      </c>
    </row>
    <row r="70" spans="3:10" ht="15">
      <c r="C70" s="260"/>
      <c r="D70" s="105"/>
      <c r="E70" s="241"/>
      <c r="F70" s="265"/>
      <c r="G70" s="260">
        <v>49310</v>
      </c>
      <c r="H70" s="67">
        <f t="shared" si="33"/>
        <v>2035</v>
      </c>
      <c r="I70" s="68">
        <f>IF($H$62=110%,INDEX('2025 IRP Assumptions'!$E$341:$E$361,MATCH(H70,'2025 IRP Assumptions'!$S$341:$S$361,0),1),INDEX('2025 IRP Assumptions'!$E$309:$E$338,MATCH(H70,'2025 IRP Assumptions'!$S$341:$S$361,0)))</f>
        <v>53.04</v>
      </c>
      <c r="J70" s="78">
        <f t="shared" si="32"/>
        <v>184.97489178932315</v>
      </c>
    </row>
    <row r="71" spans="3:10" ht="15">
      <c r="C71" s="260"/>
      <c r="D71" s="105"/>
      <c r="E71" s="241"/>
      <c r="F71" s="265"/>
      <c r="G71" s="260">
        <v>49675</v>
      </c>
      <c r="H71" s="67">
        <f t="shared" si="33"/>
        <v>2036</v>
      </c>
      <c r="I71" s="68">
        <f>IF($H$62=110%,INDEX('2025 IRP Assumptions'!$E$341:$E$361,MATCH(H71,'2025 IRP Assumptions'!$S$341:$S$361,0),1),INDEX('2025 IRP Assumptions'!$E$309:$E$338,MATCH(H71,'2025 IRP Assumptions'!$S$341:$S$361,0)))</f>
        <v>54.37</v>
      </c>
      <c r="J71" s="78">
        <f t="shared" si="32"/>
        <v>189.61321392506596</v>
      </c>
    </row>
    <row r="72" spans="3:10" ht="15">
      <c r="C72" s="260"/>
      <c r="D72" s="105"/>
      <c r="E72" s="241"/>
      <c r="F72" s="265"/>
      <c r="G72" s="260">
        <v>50041</v>
      </c>
      <c r="H72" s="67">
        <f t="shared" si="33"/>
        <v>2037</v>
      </c>
      <c r="I72" s="68">
        <f>IF($H$62=110%,INDEX('2025 IRP Assumptions'!$E$341:$E$361,MATCH(H72,'2025 IRP Assumptions'!$S$341:$S$361,0),1),INDEX('2025 IRP Assumptions'!$E$309:$E$338,MATCH(H72,'2025 IRP Assumptions'!$S$341:$S$361,0)))</f>
        <v>55.69</v>
      </c>
      <c r="J72" s="78">
        <f t="shared" si="32"/>
        <v>194.21666145828442</v>
      </c>
    </row>
    <row r="73" spans="3:10" ht="15">
      <c r="C73" s="260"/>
      <c r="D73" s="105"/>
      <c r="E73" s="241"/>
      <c r="F73" s="265"/>
      <c r="G73" s="260">
        <v>50406</v>
      </c>
      <c r="H73" s="67">
        <f t="shared" si="33"/>
        <v>2038</v>
      </c>
      <c r="I73" s="68">
        <f>IF($H$62=110%,INDEX('2025 IRP Assumptions'!$E$341:$E$361,MATCH(H73,'2025 IRP Assumptions'!$S$341:$S$361,0),1),INDEX('2025 IRP Assumptions'!$E$309:$E$338,MATCH(H73,'2025 IRP Assumptions'!$S$341:$S$361,0)))</f>
        <v>55.69</v>
      </c>
      <c r="J73" s="78">
        <f t="shared" si="32"/>
        <v>194.21666145828442</v>
      </c>
    </row>
    <row r="74" spans="3:10" ht="15">
      <c r="C74" s="260"/>
      <c r="D74" s="105"/>
      <c r="E74" s="241"/>
      <c r="F74" s="265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177</v>
      </c>
      <c r="J76" s="60">
        <f>INDEX('2025 IRP Assumptions'!$E$126:$E$157,MATCH(T57,'2025 IRP Assumptions'!$C$126:$C$157,0),1)</f>
        <v>30</v>
      </c>
    </row>
    <row r="77" spans="3:10" ht="15">
      <c r="C77" s="105"/>
      <c r="D77" s="105"/>
      <c r="E77" s="261"/>
      <c r="F77" s="261"/>
      <c r="G77" s="105" t="s">
        <v>303</v>
      </c>
      <c r="I77" s="261"/>
      <c r="J77" s="261">
        <f>-PMT(Real_Discount_Rate,J76,NPV(Discount_Rate,J64:J73))</f>
        <v>75.482004638179404</v>
      </c>
    </row>
    <row r="80" spans="3:10">
      <c r="C80" s="77"/>
      <c r="D80" s="79"/>
    </row>
    <row r="81" spans="3:4">
      <c r="C81" s="77"/>
      <c r="D81" s="79"/>
    </row>
    <row r="82" spans="3:4">
      <c r="C82" s="77"/>
      <c r="D82" s="79"/>
    </row>
    <row r="83" spans="3:4">
      <c r="C83" s="77"/>
      <c r="D83" s="79"/>
    </row>
    <row r="84" spans="3:4">
      <c r="C84" s="77"/>
      <c r="D84" s="79"/>
    </row>
    <row r="85" spans="3:4">
      <c r="C85" s="77"/>
      <c r="D85" s="79"/>
    </row>
    <row r="86" spans="3:4">
      <c r="C86" s="77"/>
      <c r="D86" s="79"/>
    </row>
    <row r="87" spans="3:4">
      <c r="C87" s="77"/>
      <c r="D87" s="79"/>
    </row>
    <row r="88" spans="3:4">
      <c r="C88" s="77"/>
      <c r="D88" s="79"/>
    </row>
    <row r="89" spans="3:4">
      <c r="C89" s="77"/>
      <c r="D89" s="79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8B37-8398-4829-8B69-3A389CA14AAC}">
  <sheetPr>
    <tabColor rgb="FFCCFFCC"/>
    <pageSetUpPr fitToPage="1"/>
  </sheetPr>
  <dimension ref="B1:AC89"/>
  <sheetViews>
    <sheetView workbookViewId="0">
      <selection activeCell="G29" sqref="G29"/>
    </sheetView>
  </sheetViews>
  <sheetFormatPr defaultColWidth="9.33203125" defaultRowHeight="12.75"/>
  <cols>
    <col min="1" max="1" width="13.33203125" style="60" customWidth="1"/>
    <col min="2" max="2" width="15" style="60" customWidth="1"/>
    <col min="3" max="3" width="19.33203125" style="60" customWidth="1"/>
    <col min="4" max="4" width="22.83203125" style="60" customWidth="1"/>
    <col min="5" max="5" width="11.1640625" style="60" customWidth="1"/>
    <col min="6" max="6" width="19.1640625" style="60" customWidth="1"/>
    <col min="7" max="7" width="19.83203125" style="60" customWidth="1"/>
    <col min="8" max="8" width="9.5" style="60" bestFit="1" customWidth="1"/>
    <col min="9" max="9" width="10.5" style="60" customWidth="1"/>
    <col min="10" max="10" width="12.6640625" style="60" customWidth="1"/>
    <col min="11" max="11" width="14" style="60" customWidth="1"/>
    <col min="12" max="12" width="13.33203125" style="60" customWidth="1"/>
    <col min="13" max="13" width="3.1640625" style="60" customWidth="1"/>
    <col min="14" max="14" width="15" style="60" hidden="1" customWidth="1"/>
    <col min="15" max="15" width="5.6640625" style="60" customWidth="1"/>
    <col min="16" max="16" width="9.33203125" style="60" customWidth="1"/>
    <col min="17" max="18" width="16" style="60" customWidth="1"/>
    <col min="19" max="19" width="23.5" style="60" customWidth="1"/>
    <col min="20" max="20" width="18.1640625" style="60" customWidth="1"/>
    <col min="21" max="21" width="13.33203125" style="60" customWidth="1"/>
    <col min="22" max="22" width="18.1640625" style="60" customWidth="1"/>
    <col min="23" max="23" width="12.83203125" style="60" customWidth="1"/>
    <col min="24" max="24" width="15.33203125" style="60" customWidth="1"/>
    <col min="25" max="26" width="9.33203125" style="60"/>
    <col min="27" max="27" width="13.33203125" style="60" customWidth="1"/>
    <col min="28" max="28" width="13.6640625" style="60" customWidth="1"/>
    <col min="29" max="29" width="12" style="60" bestFit="1" customWidth="1"/>
    <col min="30" max="16384" width="9.33203125" style="60"/>
  </cols>
  <sheetData>
    <row r="1" spans="2:29" ht="15.75">
      <c r="B1" s="58" t="s">
        <v>53</v>
      </c>
      <c r="C1" s="59"/>
      <c r="D1" s="59"/>
      <c r="E1" s="59"/>
      <c r="F1" s="59"/>
      <c r="G1" s="59"/>
      <c r="H1" s="59"/>
      <c r="I1" s="59"/>
      <c r="J1" s="59"/>
      <c r="K1" s="59"/>
    </row>
    <row r="2" spans="2:29" ht="15.75">
      <c r="B2" s="58" t="str">
        <f>T57</f>
        <v>WD_.PX.BDG._.PTC.Utility_Scale</v>
      </c>
      <c r="C2" s="59"/>
      <c r="D2" s="59"/>
      <c r="E2" s="59"/>
      <c r="F2" s="59"/>
      <c r="G2" s="59"/>
      <c r="H2" s="59"/>
      <c r="I2" s="59"/>
      <c r="J2" s="59"/>
      <c r="K2" s="59"/>
    </row>
    <row r="3" spans="2:29" ht="15.75">
      <c r="B3" s="58" t="str">
        <f>TEXT($C$61,"0%")&amp;" Capacity Factor"</f>
        <v>40% Capacity Factor</v>
      </c>
      <c r="C3" s="59"/>
      <c r="D3" s="59"/>
      <c r="E3" s="59"/>
      <c r="F3" s="59"/>
      <c r="G3" s="59"/>
      <c r="H3" s="59"/>
      <c r="I3" s="59"/>
      <c r="J3" s="59"/>
      <c r="K3" s="59"/>
    </row>
    <row r="4" spans="2:29">
      <c r="B4" s="59"/>
      <c r="C4" s="59"/>
      <c r="D4" s="59"/>
      <c r="E4" s="59"/>
      <c r="F4" s="59"/>
      <c r="G4" s="59"/>
      <c r="H4" s="59"/>
      <c r="I4" s="59"/>
    </row>
    <row r="5" spans="2:29" ht="51.75" customHeight="1">
      <c r="B5" s="61" t="s">
        <v>0</v>
      </c>
      <c r="C5" s="62" t="s">
        <v>10</v>
      </c>
      <c r="D5" s="62" t="s">
        <v>11</v>
      </c>
      <c r="E5" s="62" t="s">
        <v>12</v>
      </c>
      <c r="F5" s="14"/>
      <c r="G5" s="62" t="s">
        <v>58</v>
      </c>
      <c r="H5" s="14" t="s">
        <v>13</v>
      </c>
      <c r="I5" s="62" t="s">
        <v>113</v>
      </c>
      <c r="J5" s="62" t="s">
        <v>64</v>
      </c>
      <c r="K5" s="14" t="s">
        <v>49</v>
      </c>
      <c r="L5" s="62" t="s">
        <v>86</v>
      </c>
      <c r="N5" s="100"/>
      <c r="O5" s="100"/>
      <c r="Q5" s="100"/>
      <c r="T5" s="142"/>
      <c r="Z5" s="100"/>
      <c r="AA5" s="100"/>
    </row>
    <row r="6" spans="2:29" ht="24" customHeight="1">
      <c r="B6" s="63"/>
      <c r="C6" s="64" t="s">
        <v>8</v>
      </c>
      <c r="D6" s="65" t="s">
        <v>9</v>
      </c>
      <c r="E6" s="65" t="s">
        <v>9</v>
      </c>
      <c r="F6" s="16"/>
      <c r="G6" s="64" t="s">
        <v>31</v>
      </c>
      <c r="H6" s="15" t="s">
        <v>31</v>
      </c>
      <c r="I6" s="15" t="s">
        <v>31</v>
      </c>
      <c r="J6" s="64" t="s">
        <v>31</v>
      </c>
      <c r="K6" s="16" t="s">
        <v>9</v>
      </c>
      <c r="L6" s="65" t="s">
        <v>9</v>
      </c>
      <c r="W6" s="78"/>
      <c r="X6" s="78"/>
    </row>
    <row r="7" spans="2:29">
      <c r="C7" s="66" t="s">
        <v>1</v>
      </c>
      <c r="D7" s="66" t="s">
        <v>2</v>
      </c>
      <c r="E7" s="66" t="s">
        <v>3</v>
      </c>
      <c r="F7" s="66"/>
      <c r="G7" s="66" t="s">
        <v>5</v>
      </c>
      <c r="H7" s="66" t="s">
        <v>7</v>
      </c>
      <c r="I7" s="66" t="s">
        <v>22</v>
      </c>
      <c r="J7" s="66" t="s">
        <v>22</v>
      </c>
      <c r="K7" s="66" t="s">
        <v>23</v>
      </c>
      <c r="L7" s="66" t="s">
        <v>24</v>
      </c>
      <c r="R7" s="71"/>
      <c r="S7" s="78"/>
      <c r="U7" s="78"/>
    </row>
    <row r="8" spans="2:29" ht="21.75" customHeight="1">
      <c r="R8" s="71"/>
      <c r="X8" s="71"/>
    </row>
    <row r="9" spans="2:29">
      <c r="B9" s="67">
        <v>2024</v>
      </c>
      <c r="C9" s="157">
        <f>INDEX('2025 IRP Assumptions'!$E$2:$E$58,MATCH($T$57,'2025 IRP Assumptions'!$C$2:$C$58,0),1)</f>
        <v>1392.68</v>
      </c>
      <c r="D9" s="68"/>
      <c r="E9" s="232">
        <f>INDEX('2025 IRP Assumptions'!$E$62:$E$118,MATCH($T$57,'2025 IRP Assumptions'!$C$62:$C$118,0),1)</f>
        <v>31.65</v>
      </c>
      <c r="F9" s="68"/>
      <c r="G9" s="69"/>
      <c r="H9" s="68"/>
      <c r="I9" s="68"/>
      <c r="J9" s="69"/>
      <c r="K9" s="69"/>
      <c r="L9" s="68"/>
      <c r="S9" s="160"/>
      <c r="T9" s="70"/>
      <c r="X9" s="158"/>
    </row>
    <row r="10" spans="2:29">
      <c r="B10" s="67">
        <f t="shared" ref="B10:B46" si="0">B9+1</f>
        <v>2025</v>
      </c>
      <c r="C10" s="70">
        <f>$C$9*INDEX('2025 IRP Assumptions'!$E$238:$E$258,MATCH(B10,'2025 IRP Assumptions'!$S$238:$S$258,0),1)</f>
        <v>1393.4262466878001</v>
      </c>
      <c r="D10" s="68"/>
      <c r="E10" s="68" cm="1">
        <f t="array" ref="E10">$E$9*INDEX('2025 IRP Assumptions'!$E$373:$E$396,'WD_.PX.BDG._.PTC.2030'!$B10-2023,1)</f>
        <v>32.339970000000001</v>
      </c>
      <c r="F10" s="68"/>
      <c r="G10" s="69"/>
      <c r="H10" s="68"/>
      <c r="I10" s="68"/>
      <c r="J10" s="69"/>
      <c r="K10" s="69"/>
      <c r="L10" s="68"/>
      <c r="R10" s="158"/>
      <c r="S10" s="158"/>
      <c r="U10" s="156"/>
      <c r="X10" s="158"/>
    </row>
    <row r="11" spans="2:29">
      <c r="B11" s="67">
        <f t="shared" si="0"/>
        <v>2026</v>
      </c>
      <c r="C11" s="70">
        <f>$C$9*INDEX('2025 IRP Assumptions'!$E$238:$E$258,MATCH(B11,'2025 IRP Assumptions'!$S$238:$S$258,0),1)</f>
        <v>1394.5581390017201</v>
      </c>
      <c r="D11" s="68"/>
      <c r="E11" s="68" cm="1">
        <f t="array" ref="E11">$E$9*INDEX('2025 IRP Assumptions'!$E$373:$E$396,'WD_.PX.BDG._.PTC.2030'!$B11-2023,1)</f>
        <v>33.044981346</v>
      </c>
      <c r="F11" s="68"/>
      <c r="G11" s="69"/>
      <c r="H11" s="68"/>
      <c r="I11" s="68"/>
      <c r="J11" s="69"/>
      <c r="K11" s="69"/>
      <c r="L11" s="68"/>
      <c r="Q11" s="151"/>
      <c r="R11" s="158"/>
      <c r="S11" s="158"/>
      <c r="X11" s="158"/>
      <c r="AC11" s="144"/>
    </row>
    <row r="12" spans="2:29">
      <c r="B12" s="67">
        <f t="shared" si="0"/>
        <v>2027</v>
      </c>
      <c r="C12" s="70">
        <f>$C$9*INDEX('2025 IRP Assumptions'!$E$238:$E$258,MATCH(B12,'2025 IRP Assumptions'!$S$238:$S$258,0),1)</f>
        <v>1395.0771713402</v>
      </c>
      <c r="D12" s="68"/>
      <c r="E12" s="68" cm="1">
        <f t="array" ref="E12">$E$9*INDEX('2025 IRP Assumptions'!$E$373:$E$396,'WD_.PX.BDG._.PTC.2030'!$B12-2023,1)</f>
        <v>33.765361931999998</v>
      </c>
      <c r="F12" s="68"/>
      <c r="G12" s="69"/>
      <c r="H12" s="68"/>
      <c r="I12" s="68"/>
      <c r="J12" s="69"/>
      <c r="K12" s="69"/>
      <c r="L12" s="68"/>
      <c r="P12" s="78"/>
      <c r="Q12" s="69"/>
      <c r="R12" s="158"/>
      <c r="S12" s="158"/>
      <c r="U12" s="160"/>
      <c r="X12" s="158"/>
      <c r="Y12" s="160"/>
    </row>
    <row r="13" spans="2:29">
      <c r="B13" s="67">
        <f t="shared" si="0"/>
        <v>2028</v>
      </c>
      <c r="C13" s="70">
        <f>$C$9*INDEX('2025 IRP Assumptions'!$E$238:$E$258,MATCH(B13,'2025 IRP Assumptions'!$S$238:$S$258,0),1)</f>
        <v>1394.9560833849202</v>
      </c>
      <c r="D13" s="68"/>
      <c r="E13" s="68" cm="1">
        <f t="array" ref="E13">$E$9*INDEX('2025 IRP Assumptions'!$E$373:$E$396,'WD_.PX.BDG._.PTC.2030'!$B13-2023,1)</f>
        <v>34.501446836549995</v>
      </c>
      <c r="F13" s="264"/>
      <c r="G13" s="69"/>
      <c r="H13" s="68"/>
      <c r="I13" s="68"/>
      <c r="J13" s="69"/>
      <c r="K13" s="69"/>
      <c r="L13" s="68"/>
      <c r="P13" s="78"/>
      <c r="Q13" s="69"/>
      <c r="U13" s="160"/>
      <c r="W13" s="78"/>
      <c r="X13" s="158"/>
      <c r="Y13" s="160"/>
    </row>
    <row r="14" spans="2:29">
      <c r="B14" s="67">
        <f t="shared" si="0"/>
        <v>2029</v>
      </c>
      <c r="C14" s="70">
        <f>$C$9*INDEX('2025 IRP Assumptions'!$E$238:$E$258,MATCH(B14,'2025 IRP Assumptions'!$S$238:$S$258,0),1)</f>
        <v>1394.16671932432</v>
      </c>
      <c r="D14" s="68"/>
      <c r="E14" s="68" cm="1">
        <f t="array" ref="E14">$E$9*INDEX('2025 IRP Assumptions'!$E$373:$E$396,'WD_.PX.BDG._.PTC.2030'!$B14-2023,1)</f>
        <v>35.253578386050002</v>
      </c>
      <c r="F14" s="264"/>
      <c r="G14" s="69"/>
      <c r="H14" s="68"/>
      <c r="I14" s="68"/>
      <c r="J14" s="69"/>
      <c r="K14" s="69"/>
      <c r="L14" s="68"/>
      <c r="P14" s="78"/>
      <c r="Q14" s="69"/>
      <c r="U14" s="160"/>
      <c r="V14" s="78"/>
      <c r="W14" s="78"/>
      <c r="X14" s="158"/>
      <c r="Y14" s="160"/>
      <c r="Z14" s="78"/>
    </row>
    <row r="15" spans="2:29">
      <c r="B15" s="67">
        <f t="shared" si="0"/>
        <v>2030</v>
      </c>
      <c r="C15" s="70">
        <f>$C$9*INDEX('2025 IRP Assumptions'!$E$238:$E$258,MATCH(B15,'2025 IRP Assumptions'!$S$238:$S$258,0),1)</f>
        <v>1392.68</v>
      </c>
      <c r="D15" s="232">
        <f>C15*$C$60</f>
        <v>87.961668799999998</v>
      </c>
      <c r="E15" s="68" cm="1">
        <f t="array" ref="E15">$E$9*INDEX('2025 IRP Assumptions'!$E$373:$E$396,'WD_.PX.BDG._.PTC.2030'!$B15-2023,1)</f>
        <v>36.022106376299995</v>
      </c>
      <c r="F15" s="264"/>
      <c r="G15" s="69">
        <f t="shared" ref="G15:G46" si="1">(D15+E15+F15)/(8.76*$C$61)</f>
        <v>35.551308459965412</v>
      </c>
      <c r="H15" s="68"/>
      <c r="I15" s="68">
        <f>-I64</f>
        <v>-47.74</v>
      </c>
      <c r="J15" s="69">
        <f t="shared" ref="J15:J35" si="2">(G15+H15+I15)</f>
        <v>-12.18869154003459</v>
      </c>
      <c r="K15" s="69">
        <f t="shared" ref="K15:K46" si="3">ROUND(J15*$C$61*8.76,2)</f>
        <v>-42.51</v>
      </c>
      <c r="L15" s="68">
        <f t="shared" ref="L15:L35" si="4">(D15+E15+F15)</f>
        <v>123.98377517629999</v>
      </c>
      <c r="P15" s="78"/>
      <c r="Q15" s="69"/>
      <c r="U15" s="160"/>
      <c r="V15" s="78"/>
      <c r="W15" s="78"/>
      <c r="X15" s="158"/>
      <c r="Y15" s="160"/>
      <c r="Z15" s="78"/>
      <c r="AA15" s="78"/>
    </row>
    <row r="16" spans="2:29">
      <c r="B16" s="67">
        <f t="shared" si="0"/>
        <v>2031</v>
      </c>
      <c r="C16" s="70"/>
      <c r="D16" s="68" cm="1">
        <f t="array" ref="D16">D15*INDEX('2025 IRP Assumptions'!$E$373:$E$396,'WD_.PX.BDG._.PTC.2030'!$B16-2023,1)/INDEX('2025 IRP Assumptions'!$E$373:$E$396,'WD_.PX.BDG._.PTC.2030'!$B16-2023-1,1)</f>
        <v>89.879233176779508</v>
      </c>
      <c r="E16" s="68" cm="1">
        <f t="array" ref="E16">$E$9*INDEX('2025 IRP Assumptions'!$E$373:$E$396,'WD_.PX.BDG._.PTC.2030'!$B16-2023,1)</f>
        <v>36.80738829405</v>
      </c>
      <c r="F16" s="264"/>
      <c r="G16" s="69">
        <f t="shared" si="1"/>
        <v>36.32632698315571</v>
      </c>
      <c r="H16" s="68"/>
      <c r="I16" s="68">
        <f t="shared" ref="I16:I24" si="5">-I65</f>
        <v>-49.06</v>
      </c>
      <c r="J16" s="69">
        <f t="shared" si="2"/>
        <v>-12.733673016844293</v>
      </c>
      <c r="K16" s="69">
        <f t="shared" si="3"/>
        <v>-44.41</v>
      </c>
      <c r="L16" s="68">
        <f t="shared" si="4"/>
        <v>126.68662147082951</v>
      </c>
      <c r="P16" s="78"/>
      <c r="Q16" s="69"/>
      <c r="U16" s="160"/>
      <c r="V16" s="78"/>
      <c r="W16" s="78"/>
      <c r="X16" s="158"/>
      <c r="Y16" s="160"/>
      <c r="Z16" s="78"/>
      <c r="AA16" s="78"/>
    </row>
    <row r="17" spans="2:27">
      <c r="B17" s="67">
        <f t="shared" si="0"/>
        <v>2032</v>
      </c>
      <c r="C17" s="70"/>
      <c r="D17" s="68" cm="1">
        <f t="array" ref="D17">D16*INDEX('2025 IRP Assumptions'!$E$373:$E$396,'WD_.PX.BDG._.PTC.2030'!$B17-2023,1)/INDEX('2025 IRP Assumptions'!$E$373:$E$396,'WD_.PX.BDG._.PTC.2030'!$B17-2023-1,1)</f>
        <v>91.838600435101</v>
      </c>
      <c r="E17" s="68" cm="1">
        <f t="array" ref="E17">$E$9*INDEX('2025 IRP Assumptions'!$E$373:$E$396,'WD_.PX.BDG._.PTC.2030'!$B17-2023,1)</f>
        <v>37.609789348650004</v>
      </c>
      <c r="F17" s="264"/>
      <c r="G17" s="69">
        <f t="shared" si="1"/>
        <v>37.118240901311658</v>
      </c>
      <c r="H17" s="68"/>
      <c r="I17" s="68">
        <f t="shared" si="5"/>
        <v>-50.39</v>
      </c>
      <c r="J17" s="69">
        <f t="shared" si="2"/>
        <v>-13.271759098688342</v>
      </c>
      <c r="K17" s="69">
        <f t="shared" si="3"/>
        <v>-46.28</v>
      </c>
      <c r="L17" s="68">
        <f t="shared" si="4"/>
        <v>129.448389783751</v>
      </c>
      <c r="P17" s="78"/>
      <c r="Q17" s="69"/>
      <c r="T17" s="78"/>
      <c r="V17" s="78"/>
      <c r="W17" s="78"/>
      <c r="Y17" s="78"/>
      <c r="Z17" s="78"/>
      <c r="AA17" s="78"/>
    </row>
    <row r="18" spans="2:27">
      <c r="B18" s="67">
        <f t="shared" si="0"/>
        <v>2033</v>
      </c>
      <c r="C18" s="70"/>
      <c r="D18" s="68" cm="1">
        <f t="array" ref="D18">D17*INDEX('2025 IRP Assumptions'!$E$373:$E$396,'WD_.PX.BDG._.PTC.2030'!$B18-2023,1)/INDEX('2025 IRP Assumptions'!$E$373:$E$396,'WD_.PX.BDG._.PTC.2030'!$B18-2023-1,1)</f>
        <v>93.84068192568364</v>
      </c>
      <c r="E18" s="68" cm="1">
        <f t="array" ref="E18">$E$9*INDEX('2025 IRP Assumptions'!$E$373:$E$396,'WD_.PX.BDG._.PTC.2030'!$B18-2023,1)</f>
        <v>38.429682756899993</v>
      </c>
      <c r="F18" s="264"/>
      <c r="G18" s="69">
        <f t="shared" si="1"/>
        <v>37.927418553403811</v>
      </c>
      <c r="H18" s="68"/>
      <c r="I18" s="68">
        <f t="shared" si="5"/>
        <v>-50.39</v>
      </c>
      <c r="J18" s="69">
        <f t="shared" si="2"/>
        <v>-12.462581446596189</v>
      </c>
      <c r="K18" s="69">
        <f t="shared" si="3"/>
        <v>-43.46</v>
      </c>
      <c r="L18" s="68">
        <f t="shared" si="4"/>
        <v>132.27036468258365</v>
      </c>
      <c r="P18" s="78"/>
      <c r="Q18" s="69"/>
      <c r="T18" s="78"/>
      <c r="V18" s="78"/>
      <c r="W18" s="78"/>
      <c r="Y18" s="78"/>
      <c r="Z18" s="78"/>
      <c r="AA18" s="78"/>
    </row>
    <row r="19" spans="2:27">
      <c r="B19" s="67">
        <f t="shared" si="0"/>
        <v>2034</v>
      </c>
      <c r="C19" s="70"/>
      <c r="D19" s="68" cm="1">
        <f t="array" ref="D19">D18*INDEX('2025 IRP Assumptions'!$E$373:$E$396,'WD_.PX.BDG._.PTC.2030'!$B19-2023,1)/INDEX('2025 IRP Assumptions'!$E$373:$E$396,'WD_.PX.BDG._.PTC.2030'!$B19-2023-1,1)</f>
        <v>95.886408861622385</v>
      </c>
      <c r="E19" s="68" cm="1">
        <f t="array" ref="E19">$E$9*INDEX('2025 IRP Assumptions'!$E$373:$E$396,'WD_.PX.BDG._.PTC.2030'!$B19-2023,1)</f>
        <v>39.267449869649994</v>
      </c>
      <c r="F19" s="264"/>
      <c r="G19" s="69">
        <f t="shared" si="1"/>
        <v>38.754236306143149</v>
      </c>
      <c r="H19" s="68"/>
      <c r="I19" s="68">
        <f t="shared" si="5"/>
        <v>-51.71</v>
      </c>
      <c r="J19" s="69">
        <f t="shared" si="2"/>
        <v>-12.955763693856852</v>
      </c>
      <c r="K19" s="69">
        <f t="shared" si="3"/>
        <v>-45.18</v>
      </c>
      <c r="L19" s="68">
        <f t="shared" si="4"/>
        <v>135.15385873127238</v>
      </c>
      <c r="P19" s="78"/>
      <c r="Q19" s="69"/>
      <c r="T19" s="78"/>
      <c r="V19" s="78"/>
      <c r="W19" s="78"/>
      <c r="Y19" s="78"/>
      <c r="Z19" s="78"/>
      <c r="AA19" s="78"/>
    </row>
    <row r="20" spans="2:27">
      <c r="B20" s="67">
        <f t="shared" si="0"/>
        <v>2035</v>
      </c>
      <c r="C20" s="70"/>
      <c r="D20" s="68" cm="1">
        <f t="array" ref="D20">D19*INDEX('2025 IRP Assumptions'!$E$373:$E$396,'WD_.PX.BDG._.PTC.2030'!$B20-2023,1)/INDEX('2025 IRP Assumptions'!$E$373:$E$396,'WD_.PX.BDG._.PTC.2030'!$B20-2023-1,1)</f>
        <v>97.976732550244421</v>
      </c>
      <c r="E20" s="68" cm="1">
        <f t="array" ref="E20">$E$9*INDEX('2025 IRP Assumptions'!$E$373:$E$396,'WD_.PX.BDG._.PTC.2030'!$B20-2023,1)</f>
        <v>40.123480266749993</v>
      </c>
      <c r="F20" s="264"/>
      <c r="G20" s="69">
        <f t="shared" si="1"/>
        <v>39.599078647690163</v>
      </c>
      <c r="H20" s="68"/>
      <c r="I20" s="68">
        <f t="shared" si="5"/>
        <v>-53.04</v>
      </c>
      <c r="J20" s="69">
        <f t="shared" si="2"/>
        <v>-13.440921352309836</v>
      </c>
      <c r="K20" s="69">
        <f t="shared" si="3"/>
        <v>-46.87</v>
      </c>
      <c r="L20" s="68">
        <f t="shared" si="4"/>
        <v>138.10021281699443</v>
      </c>
      <c r="P20" s="78"/>
      <c r="Q20" s="69"/>
      <c r="T20" s="78"/>
      <c r="V20" s="78"/>
      <c r="W20" s="78"/>
      <c r="Y20" s="78"/>
      <c r="Z20" s="78"/>
      <c r="AA20" s="78"/>
    </row>
    <row r="21" spans="2:27">
      <c r="B21" s="67">
        <f t="shared" si="0"/>
        <v>2036</v>
      </c>
      <c r="C21" s="70"/>
      <c r="D21" s="68" cm="1">
        <f t="array" ref="D21">D20*INDEX('2025 IRP Assumptions'!$E$373:$E$396,'WD_.PX.BDG._.PTC.2030'!$B21-2023,1)/INDEX('2025 IRP Assumptions'!$E$373:$E$396,'WD_.PX.BDG._.PTC.2030'!$B21-2023-1,1)</f>
        <v>100.11262532053532</v>
      </c>
      <c r="E21" s="68" cm="1">
        <f t="array" ref="E21">$E$9*INDEX('2025 IRP Assumptions'!$E$373:$E$396,'WD_.PX.BDG._.PTC.2030'!$B21-2023,1)</f>
        <v>40.998172136849995</v>
      </c>
      <c r="F21" s="264"/>
      <c r="G21" s="69">
        <f t="shared" si="1"/>
        <v>40.462338562490928</v>
      </c>
      <c r="H21" s="68"/>
      <c r="I21" s="68">
        <f t="shared" si="5"/>
        <v>-54.37</v>
      </c>
      <c r="J21" s="69">
        <f t="shared" si="2"/>
        <v>-13.90766143750907</v>
      </c>
      <c r="K21" s="69">
        <f t="shared" si="3"/>
        <v>-48.5</v>
      </c>
      <c r="L21" s="68">
        <f t="shared" si="4"/>
        <v>141.1107974573853</v>
      </c>
      <c r="P21" s="78"/>
      <c r="Q21" s="69"/>
      <c r="T21" s="78"/>
      <c r="V21" s="78"/>
      <c r="W21" s="78"/>
      <c r="Y21" s="78"/>
      <c r="Z21" s="78"/>
      <c r="AA21" s="78"/>
    </row>
    <row r="22" spans="2:27">
      <c r="B22" s="67">
        <f t="shared" si="0"/>
        <v>2037</v>
      </c>
      <c r="C22" s="70"/>
      <c r="D22" s="68" cm="1">
        <f t="array" ref="D22">D21*INDEX('2025 IRP Assumptions'!$E$373:$E$396,'WD_.PX.BDG._.PTC.2030'!$B22-2023,1)/INDEX('2025 IRP Assumptions'!$E$373:$E$396,'WD_.PX.BDG._.PTC.2030'!$B22-2023-1,1)</f>
        <v>102.29508052313903</v>
      </c>
      <c r="E22" s="68" cm="1">
        <f t="array" ref="E22">$E$9*INDEX('2025 IRP Assumptions'!$E$373:$E$396,'WD_.PX.BDG._.PTC.2030'!$B22-2023,1)</f>
        <v>41.891932277399995</v>
      </c>
      <c r="F22" s="264"/>
      <c r="G22" s="69">
        <f t="shared" si="1"/>
        <v>41.344417531277173</v>
      </c>
      <c r="H22" s="68"/>
      <c r="I22" s="68">
        <f t="shared" si="5"/>
        <v>-55.69</v>
      </c>
      <c r="J22" s="69">
        <f t="shared" si="2"/>
        <v>-14.345582468722824</v>
      </c>
      <c r="K22" s="69">
        <f t="shared" si="3"/>
        <v>-50.03</v>
      </c>
      <c r="L22" s="68">
        <f t="shared" si="4"/>
        <v>144.18701280053904</v>
      </c>
      <c r="P22" s="78"/>
      <c r="Q22" s="69"/>
      <c r="T22" s="78"/>
      <c r="V22" s="78"/>
      <c r="W22" s="78"/>
      <c r="Y22" s="78"/>
      <c r="Z22" s="78"/>
      <c r="AA22" s="78"/>
    </row>
    <row r="23" spans="2:27">
      <c r="B23" s="67">
        <f t="shared" si="0"/>
        <v>2038</v>
      </c>
      <c r="C23" s="70"/>
      <c r="D23" s="68" cm="1">
        <f t="array" ref="D23">D22*INDEX('2025 IRP Assumptions'!$E$373:$E$396,'WD_.PX.BDG._.PTC.2030'!$B23-2023,1)/INDEX('2025 IRP Assumptions'!$E$373:$E$396,'WD_.PX.BDG._.PTC.2030'!$B23-2023-1,1)</f>
        <v>104.52511330321302</v>
      </c>
      <c r="E23" s="68" cm="1">
        <f t="array" ref="E23">$E$9*INDEX('2025 IRP Assumptions'!$E$373:$E$396,'WD_.PX.BDG._.PTC.2030'!$B23-2023,1)</f>
        <v>42.805176411150001</v>
      </c>
      <c r="F23" s="264"/>
      <c r="G23" s="69">
        <f t="shared" si="1"/>
        <v>42.245725843429661</v>
      </c>
      <c r="H23" s="68"/>
      <c r="I23" s="68">
        <f t="shared" si="5"/>
        <v>-55.69</v>
      </c>
      <c r="J23" s="69">
        <f t="shared" si="2"/>
        <v>-13.444274156570337</v>
      </c>
      <c r="K23" s="69">
        <f t="shared" si="3"/>
        <v>-46.89</v>
      </c>
      <c r="L23" s="68">
        <f t="shared" si="4"/>
        <v>147.330289714363</v>
      </c>
      <c r="P23" s="78"/>
      <c r="Q23" s="69"/>
      <c r="T23" s="78"/>
      <c r="V23" s="78"/>
      <c r="W23" s="78"/>
      <c r="Y23" s="78"/>
      <c r="Z23" s="78"/>
      <c r="AA23" s="78"/>
    </row>
    <row r="24" spans="2:27">
      <c r="B24" s="67">
        <f t="shared" si="0"/>
        <v>2039</v>
      </c>
      <c r="C24" s="70"/>
      <c r="D24" s="68" cm="1">
        <f t="array" ref="D24">D23*INDEX('2025 IRP Assumptions'!$E$373:$E$396,'WD_.PX.BDG._.PTC.2030'!$B24-2023,1)/INDEX('2025 IRP Assumptions'!$E$373:$E$396,'WD_.PX.BDG._.PTC.2030'!$B24-2023-1,1)</f>
        <v>106.80376075499913</v>
      </c>
      <c r="E24" s="68" cm="1">
        <f t="array" ref="E24">$E$9*INDEX('2025 IRP Assumptions'!$E$373:$E$396,'WD_.PX.BDG._.PTC.2030'!$B24-2023,1)</f>
        <v>43.738329249449997</v>
      </c>
      <c r="F24" s="264"/>
      <c r="G24" s="69">
        <f t="shared" si="1"/>
        <v>43.166682659450899</v>
      </c>
      <c r="H24" s="68"/>
      <c r="I24" s="68">
        <f t="shared" si="5"/>
        <v>-57.02</v>
      </c>
      <c r="J24" s="69">
        <f t="shared" si="2"/>
        <v>-13.853317340549104</v>
      </c>
      <c r="K24" s="69">
        <f t="shared" si="3"/>
        <v>-48.31</v>
      </c>
      <c r="L24" s="68">
        <f t="shared" si="4"/>
        <v>150.54209000444914</v>
      </c>
      <c r="P24" s="78"/>
      <c r="Q24" s="69"/>
      <c r="T24" s="78"/>
      <c r="V24" s="78"/>
      <c r="W24" s="78"/>
      <c r="Y24" s="78"/>
      <c r="Z24" s="78"/>
      <c r="AA24" s="78"/>
    </row>
    <row r="25" spans="2:27">
      <c r="B25" s="67">
        <f t="shared" si="0"/>
        <v>2040</v>
      </c>
      <c r="C25" s="70"/>
      <c r="D25" s="68" cm="1">
        <f t="array" ref="D25">D24*INDEX('2025 IRP Assumptions'!$E$373:$E$396,'WD_.PX.BDG._.PTC.2030'!$B25-2023,1)/INDEX('2025 IRP Assumptions'!$E$373:$E$396,'WD_.PX.BDG._.PTC.2030'!$B25-2023-1,1)</f>
        <v>109.13208277196439</v>
      </c>
      <c r="E25" s="68" cm="1">
        <f t="array" ref="E25">$E$9*INDEX('2025 IRP Assumptions'!$E$373:$E$396,'WD_.PX.BDG._.PTC.2030'!$B25-2023,1)</f>
        <v>44.691824840399995</v>
      </c>
      <c r="F25" s="264"/>
      <c r="G25" s="69">
        <f t="shared" si="1"/>
        <v>44.107716354564936</v>
      </c>
      <c r="H25" s="68"/>
      <c r="I25" s="68"/>
      <c r="J25" s="69">
        <f t="shared" si="2"/>
        <v>44.107716354564936</v>
      </c>
      <c r="K25" s="69">
        <f t="shared" si="3"/>
        <v>153.82</v>
      </c>
      <c r="L25" s="68">
        <f t="shared" si="4"/>
        <v>153.82390761236439</v>
      </c>
      <c r="P25" s="78"/>
      <c r="Q25" s="69"/>
      <c r="T25" s="78"/>
      <c r="V25" s="78"/>
      <c r="W25" s="78"/>
      <c r="Y25" s="78"/>
      <c r="Z25" s="78"/>
      <c r="AA25" s="78"/>
    </row>
    <row r="26" spans="2:27">
      <c r="B26" s="67">
        <f t="shared" si="0"/>
        <v>2041</v>
      </c>
      <c r="C26" s="70"/>
      <c r="D26" s="68" cm="1">
        <f t="array" ref="D26">D25*INDEX('2025 IRP Assumptions'!$E$373:$E$396,'WD_.PX.BDG._.PTC.2030'!$B26-2023,1)/INDEX('2025 IRP Assumptions'!$E$373:$E$396,'WD_.PX.BDG._.PTC.2030'!$B26-2023-1,1)</f>
        <v>111.51116212408637</v>
      </c>
      <c r="E26" s="68" cm="1">
        <f t="array" ref="E26">$E$9*INDEX('2025 IRP Assumptions'!$E$373:$E$396,'WD_.PX.BDG._.PTC.2030'!$B26-2023,1)</f>
        <v>45.666106600499994</v>
      </c>
      <c r="F26" s="264"/>
      <c r="G26" s="69">
        <f t="shared" si="1"/>
        <v>45.069264549953679</v>
      </c>
      <c r="H26" s="68"/>
      <c r="I26" s="68"/>
      <c r="J26" s="69">
        <f t="shared" si="2"/>
        <v>45.069264549953679</v>
      </c>
      <c r="K26" s="69">
        <f t="shared" si="3"/>
        <v>157.18</v>
      </c>
      <c r="L26" s="68">
        <f t="shared" si="4"/>
        <v>157.17726872458636</v>
      </c>
      <c r="P26" s="78"/>
      <c r="Q26" s="69"/>
    </row>
    <row r="27" spans="2:27">
      <c r="B27" s="67">
        <f t="shared" si="0"/>
        <v>2042</v>
      </c>
      <c r="C27" s="70"/>
      <c r="D27" s="68" cm="1">
        <f t="array" ref="D27">D26*INDEX('2025 IRP Assumptions'!$E$373:$E$396,'WD_.PX.BDG._.PTC.2030'!$B27-2023,1)/INDEX('2025 IRP Assumptions'!$E$373:$E$396,'WD_.PX.BDG._.PTC.2030'!$B27-2023-1,1)</f>
        <v>113.94210546256487</v>
      </c>
      <c r="E27" s="68" cm="1">
        <f t="array" ref="E27">$E$9*INDEX('2025 IRP Assumptions'!$E$373:$E$396,'WD_.PX.BDG._.PTC.2030'!$B27-2023,1)</f>
        <v>46.661627726100001</v>
      </c>
      <c r="F27" s="264"/>
      <c r="G27" s="69">
        <f t="shared" si="1"/>
        <v>46.05177451882944</v>
      </c>
      <c r="H27" s="68"/>
      <c r="I27" s="68"/>
      <c r="J27" s="69">
        <f t="shared" si="2"/>
        <v>46.05177451882944</v>
      </c>
      <c r="K27" s="69">
        <f t="shared" si="3"/>
        <v>160.6</v>
      </c>
      <c r="L27" s="68">
        <f t="shared" si="4"/>
        <v>160.60373318866488</v>
      </c>
      <c r="P27" s="78"/>
      <c r="Q27" s="69"/>
    </row>
    <row r="28" spans="2:27">
      <c r="B28" s="67">
        <f t="shared" si="0"/>
        <v>2043</v>
      </c>
      <c r="C28" s="70"/>
      <c r="D28" s="68" cm="1">
        <f t="array" ref="D28">D27*INDEX('2025 IRP Assumptions'!$E$373:$E$396,'WD_.PX.BDG._.PTC.2030'!$B28-2023,1)/INDEX('2025 IRP Assumptions'!$E$373:$E$396,'WD_.PX.BDG._.PTC.2030'!$B28-2023-1,1)</f>
        <v>116.42604339710736</v>
      </c>
      <c r="E28" s="68" cm="1">
        <f t="array" ref="E28">$E$9*INDEX('2025 IRP Assumptions'!$E$373:$E$396,'WD_.PX.BDG._.PTC.2030'!$B28-2023,1)</f>
        <v>47.678851225049996</v>
      </c>
      <c r="F28" s="264"/>
      <c r="G28" s="69">
        <f t="shared" si="1"/>
        <v>47.055703217671152</v>
      </c>
      <c r="H28" s="68"/>
      <c r="I28" s="68"/>
      <c r="J28" s="69">
        <f t="shared" si="2"/>
        <v>47.055703217671152</v>
      </c>
      <c r="K28" s="69">
        <f t="shared" si="3"/>
        <v>164.1</v>
      </c>
      <c r="L28" s="68">
        <f t="shared" si="4"/>
        <v>164.10489462215736</v>
      </c>
      <c r="P28" s="78"/>
      <c r="Q28" s="69"/>
    </row>
    <row r="29" spans="2:27">
      <c r="B29" s="67">
        <f t="shared" si="0"/>
        <v>2044</v>
      </c>
      <c r="C29" s="70"/>
      <c r="D29" s="68" cm="1">
        <f t="array" ref="D29">D28*INDEX('2025 IRP Assumptions'!$E$373:$E$396,'WD_.PX.BDG._.PTC.2030'!$B29-2023,1)/INDEX('2025 IRP Assumptions'!$E$373:$E$396,'WD_.PX.BDG._.PTC.2030'!$B29-2023-1,1)</f>
        <v>118.96413111421316</v>
      </c>
      <c r="E29" s="68" cm="1">
        <f t="array" ref="E29">$E$9*INDEX('2025 IRP Assumptions'!$E$373:$E$396,'WD_.PX.BDG._.PTC.2030'!$B29-2023,1)</f>
        <v>48.718250169900003</v>
      </c>
      <c r="F29" s="264"/>
      <c r="G29" s="69">
        <f t="shared" si="1"/>
        <v>48.08151753611525</v>
      </c>
      <c r="H29" s="68"/>
      <c r="I29" s="68"/>
      <c r="J29" s="69">
        <f t="shared" si="2"/>
        <v>48.08151753611525</v>
      </c>
      <c r="K29" s="69">
        <f t="shared" si="3"/>
        <v>167.68</v>
      </c>
      <c r="L29" s="68">
        <f t="shared" si="4"/>
        <v>167.68238128411315</v>
      </c>
      <c r="P29" s="78"/>
      <c r="Q29" s="69"/>
    </row>
    <row r="30" spans="2:27">
      <c r="B30" s="67">
        <f t="shared" si="0"/>
        <v>2045</v>
      </c>
      <c r="C30" s="70"/>
      <c r="D30" s="68" cm="1">
        <f t="array" ref="D30">D29*INDEX('2025 IRP Assumptions'!$E$373:$E$396,'WD_.PX.BDG._.PTC.2030'!$B30-2023,1)/INDEX('2025 IRP Assumptions'!$E$373:$E$396,'WD_.PX.BDG._.PTC.2030'!$B30-2023-1,1)</f>
        <v>121.5575492273139</v>
      </c>
      <c r="E30" s="68" cm="1">
        <f t="array" ref="E30">$E$9*INDEX('2025 IRP Assumptions'!$E$373:$E$396,'WD_.PX.BDG._.PTC.2030'!$B30-2023,1)</f>
        <v>49.780308046050003</v>
      </c>
      <c r="F30" s="264"/>
      <c r="G30" s="69">
        <f t="shared" si="1"/>
        <v>49.129694640555385</v>
      </c>
      <c r="H30" s="68"/>
      <c r="I30" s="68"/>
      <c r="J30" s="69">
        <f t="shared" si="2"/>
        <v>49.129694640555385</v>
      </c>
      <c r="K30" s="69">
        <f t="shared" si="3"/>
        <v>171.34</v>
      </c>
      <c r="L30" s="68">
        <f t="shared" si="4"/>
        <v>171.33785727336391</v>
      </c>
      <c r="P30" s="78"/>
      <c r="Q30" s="69"/>
    </row>
    <row r="31" spans="2:27">
      <c r="B31" s="67">
        <f t="shared" si="0"/>
        <v>2046</v>
      </c>
      <c r="C31" s="70"/>
      <c r="D31" s="68" cm="1">
        <f t="array" ref="D31">D30*INDEX('2025 IRP Assumptions'!$E$373:$E$396,'WD_.PX.BDG._.PTC.2030'!$B31-2023,1)/INDEX('2025 IRP Assumptions'!$E$373:$E$396,'WD_.PX.BDG._.PTC.2030'!$B31-2023-1,1)</f>
        <v>124.20750377677359</v>
      </c>
      <c r="E31" s="68" cm="1">
        <f t="array" ref="E31">$E$9*INDEX('2025 IRP Assumptions'!$E$373:$E$396,'WD_.PX.BDG._.PTC.2030'!$B31-2023,1)</f>
        <v>50.865518751749995</v>
      </c>
      <c r="F31" s="264"/>
      <c r="G31" s="69">
        <f t="shared" si="1"/>
        <v>50.200721974142418</v>
      </c>
      <c r="H31" s="68"/>
      <c r="I31" s="68"/>
      <c r="J31" s="69">
        <f t="shared" si="2"/>
        <v>50.200721974142418</v>
      </c>
      <c r="K31" s="69">
        <f t="shared" si="3"/>
        <v>175.07</v>
      </c>
      <c r="L31" s="68">
        <f t="shared" si="4"/>
        <v>175.07302252852358</v>
      </c>
      <c r="P31" s="78"/>
      <c r="Q31" s="69"/>
    </row>
    <row r="32" spans="2:27">
      <c r="B32" s="67">
        <f t="shared" si="0"/>
        <v>2047</v>
      </c>
      <c r="C32" s="70"/>
      <c r="D32" s="68" cm="1">
        <f t="array" ref="D32">D31*INDEX('2025 IRP Assumptions'!$E$373:$E$396,'WD_.PX.BDG._.PTC.2030'!$B32-2023,1)/INDEX('2025 IRP Assumptions'!$E$373:$E$396,'WD_.PX.BDG._.PTC.2030'!$B32-2023-1,1)</f>
        <v>126.9152273118858</v>
      </c>
      <c r="E32" s="68" cm="1">
        <f t="array" ref="E32">$E$9*INDEX('2025 IRP Assumptions'!$E$373:$E$396,'WD_.PX.BDG._.PTC.2030'!$B32-2023,1)</f>
        <v>51.974387041199996</v>
      </c>
      <c r="F32" s="264"/>
      <c r="G32" s="69">
        <f t="shared" si="1"/>
        <v>51.295097694093315</v>
      </c>
      <c r="H32" s="68"/>
      <c r="I32" s="68"/>
      <c r="J32" s="69">
        <f t="shared" si="2"/>
        <v>51.295097694093315</v>
      </c>
      <c r="K32" s="69">
        <f t="shared" si="3"/>
        <v>178.89</v>
      </c>
      <c r="L32" s="68">
        <f t="shared" si="4"/>
        <v>178.88961435308579</v>
      </c>
      <c r="P32" s="78"/>
      <c r="Q32" s="69"/>
    </row>
    <row r="33" spans="2:17" ht="15">
      <c r="B33" s="67">
        <f t="shared" si="0"/>
        <v>2048</v>
      </c>
      <c r="C33" s="70"/>
      <c r="D33" s="259">
        <f t="shared" ref="D33:E35" si="6">D32*D32/D31</f>
        <v>129.68197921903402</v>
      </c>
      <c r="E33" s="259">
        <f t="shared" si="6"/>
        <v>53.107428658938439</v>
      </c>
      <c r="F33" s="264"/>
      <c r="G33" s="69">
        <f t="shared" si="1"/>
        <v>52.413330804323074</v>
      </c>
      <c r="H33" s="68"/>
      <c r="I33" s="68"/>
      <c r="J33" s="69">
        <f t="shared" si="2"/>
        <v>52.413330804323074</v>
      </c>
      <c r="K33" s="69">
        <f t="shared" si="3"/>
        <v>182.79</v>
      </c>
      <c r="L33" s="68">
        <f t="shared" si="4"/>
        <v>182.78940787797245</v>
      </c>
      <c r="P33" s="78"/>
      <c r="Q33" s="69"/>
    </row>
    <row r="34" spans="2:17" ht="15">
      <c r="B34" s="67">
        <f t="shared" si="0"/>
        <v>2049</v>
      </c>
      <c r="C34" s="70"/>
      <c r="D34" s="259">
        <f t="shared" si="6"/>
        <v>132.50904631670619</v>
      </c>
      <c r="E34" s="259">
        <f t="shared" si="6"/>
        <v>54.26517058351282</v>
      </c>
      <c r="F34" s="264"/>
      <c r="G34" s="69">
        <f t="shared" si="1"/>
        <v>53.555941395930716</v>
      </c>
      <c r="H34" s="68"/>
      <c r="I34" s="68"/>
      <c r="J34" s="69">
        <f t="shared" si="2"/>
        <v>53.555941395930716</v>
      </c>
      <c r="K34" s="69">
        <f t="shared" si="3"/>
        <v>186.77</v>
      </c>
      <c r="L34" s="68">
        <f t="shared" si="4"/>
        <v>186.77421690021902</v>
      </c>
      <c r="P34" s="78"/>
      <c r="Q34" s="69"/>
    </row>
    <row r="35" spans="2:17" ht="15">
      <c r="B35" s="67">
        <f t="shared" si="0"/>
        <v>2050</v>
      </c>
      <c r="C35" s="70"/>
      <c r="D35" s="259">
        <f t="shared" si="6"/>
        <v>135.39774347603282</v>
      </c>
      <c r="E35" s="259">
        <f t="shared" si="6"/>
        <v>55.448151281602769</v>
      </c>
      <c r="F35" s="264"/>
      <c r="G35" s="69">
        <f t="shared" si="1"/>
        <v>54.723460898001001</v>
      </c>
      <c r="H35" s="68"/>
      <c r="I35" s="68"/>
      <c r="J35" s="69">
        <f t="shared" si="2"/>
        <v>54.723460898001001</v>
      </c>
      <c r="K35" s="69">
        <f t="shared" si="3"/>
        <v>190.85</v>
      </c>
      <c r="L35" s="68">
        <f t="shared" si="4"/>
        <v>190.84589475763559</v>
      </c>
      <c r="P35" s="78"/>
      <c r="Q35" s="69"/>
    </row>
    <row r="36" spans="2:17" ht="15">
      <c r="B36" s="67">
        <f t="shared" si="0"/>
        <v>2051</v>
      </c>
      <c r="C36" s="70"/>
      <c r="D36" s="259">
        <f t="shared" ref="D36:E36" si="7">D35*D35/D34</f>
        <v>138.34941423233451</v>
      </c>
      <c r="E36" s="259">
        <f t="shared" si="7"/>
        <v>56.656920958461328</v>
      </c>
      <c r="F36" s="264"/>
      <c r="G36" s="69">
        <f t="shared" si="1"/>
        <v>55.916432324772536</v>
      </c>
      <c r="H36" s="68"/>
      <c r="I36" s="68"/>
      <c r="J36" s="69">
        <f t="shared" ref="J36:J46" si="8">(G36+H36+I36)</f>
        <v>55.916432324772536</v>
      </c>
      <c r="K36" s="69">
        <f t="shared" si="3"/>
        <v>195.01</v>
      </c>
      <c r="L36" s="68">
        <f t="shared" ref="L36:L46" si="9">(D36+E36+F36)</f>
        <v>195.00633519079582</v>
      </c>
      <c r="P36" s="78"/>
      <c r="Q36" s="69"/>
    </row>
    <row r="37" spans="2:17" ht="15">
      <c r="B37" s="67">
        <f t="shared" si="0"/>
        <v>2052</v>
      </c>
      <c r="C37" s="70"/>
      <c r="D37" s="259">
        <f t="shared" ref="D37:E37" si="10">D36*D36/D35</f>
        <v>141.36543141000141</v>
      </c>
      <c r="E37" s="259">
        <f t="shared" si="10"/>
        <v>57.892041813815851</v>
      </c>
      <c r="F37" s="264"/>
      <c r="G37" s="69">
        <f t="shared" si="1"/>
        <v>57.135410528194157</v>
      </c>
      <c r="H37" s="68"/>
      <c r="I37" s="68"/>
      <c r="J37" s="69">
        <f t="shared" si="8"/>
        <v>57.135410528194157</v>
      </c>
      <c r="K37" s="69">
        <f t="shared" si="3"/>
        <v>199.26</v>
      </c>
      <c r="L37" s="68">
        <f t="shared" si="9"/>
        <v>199.25747322381727</v>
      </c>
      <c r="P37" s="78"/>
      <c r="Q37" s="69"/>
    </row>
    <row r="38" spans="2:17" ht="15">
      <c r="B38" s="67">
        <f t="shared" si="0"/>
        <v>2053</v>
      </c>
      <c r="C38" s="70"/>
      <c r="D38" s="259">
        <f t="shared" ref="D38:E38" si="11">D37*D37/D36</f>
        <v>144.44719776099481</v>
      </c>
      <c r="E38" s="259">
        <f t="shared" si="11"/>
        <v>59.154088303347535</v>
      </c>
      <c r="F38" s="264"/>
      <c r="G38" s="69">
        <f t="shared" si="1"/>
        <v>58.380962455986918</v>
      </c>
      <c r="H38" s="68"/>
      <c r="I38" s="68"/>
      <c r="J38" s="69">
        <f t="shared" si="8"/>
        <v>58.380962455986918</v>
      </c>
      <c r="K38" s="69">
        <f t="shared" si="3"/>
        <v>203.6</v>
      </c>
      <c r="L38" s="68">
        <f t="shared" si="9"/>
        <v>203.60128606434233</v>
      </c>
      <c r="P38" s="78"/>
      <c r="Q38" s="69"/>
    </row>
    <row r="39" spans="2:17" ht="15">
      <c r="B39" s="67">
        <f t="shared" si="0"/>
        <v>2054</v>
      </c>
      <c r="C39" s="70"/>
      <c r="D39" s="259">
        <f t="shared" ref="D39:E39" si="12">D38*D38/D37</f>
        <v>147.59614661726823</v>
      </c>
      <c r="E39" s="259">
        <f t="shared" si="12"/>
        <v>60.443647405871204</v>
      </c>
      <c r="F39" s="264"/>
      <c r="G39" s="69">
        <f t="shared" si="1"/>
        <v>59.653667415332038</v>
      </c>
      <c r="H39" s="68"/>
      <c r="I39" s="68"/>
      <c r="J39" s="69">
        <f t="shared" si="8"/>
        <v>59.653667415332038</v>
      </c>
      <c r="K39" s="69">
        <f t="shared" si="3"/>
        <v>208.04</v>
      </c>
      <c r="L39" s="68">
        <f t="shared" si="9"/>
        <v>208.03979402313945</v>
      </c>
      <c r="P39" s="78"/>
      <c r="Q39" s="69"/>
    </row>
    <row r="40" spans="2:17" ht="15">
      <c r="B40" s="67">
        <f t="shared" si="0"/>
        <v>2055</v>
      </c>
      <c r="C40" s="70"/>
      <c r="D40" s="259">
        <f t="shared" ref="D40:E40" si="13">D39*D39/D38</f>
        <v>150.81374255741125</v>
      </c>
      <c r="E40" s="259">
        <f t="shared" si="13"/>
        <v>61.761318896339617</v>
      </c>
      <c r="F40" s="264"/>
      <c r="G40" s="69">
        <f t="shared" si="1"/>
        <v>60.954117342307015</v>
      </c>
      <c r="H40" s="68"/>
      <c r="I40" s="68"/>
      <c r="J40" s="69">
        <f t="shared" si="8"/>
        <v>60.954117342307015</v>
      </c>
      <c r="K40" s="69">
        <f t="shared" si="3"/>
        <v>212.58</v>
      </c>
      <c r="L40" s="68">
        <f t="shared" si="9"/>
        <v>212.57506145375086</v>
      </c>
      <c r="P40" s="78"/>
      <c r="Q40" s="69"/>
    </row>
    <row r="41" spans="2:17" ht="15">
      <c r="B41" s="67">
        <f t="shared" si="0"/>
        <v>2056</v>
      </c>
      <c r="C41" s="70"/>
      <c r="D41" s="259">
        <f t="shared" ref="D41:E41" si="14">D40*D40/D39</f>
        <v>154.1014820878261</v>
      </c>
      <c r="E41" s="259">
        <f t="shared" si="14"/>
        <v>63.10771562479929</v>
      </c>
      <c r="F41" s="264"/>
      <c r="G41" s="69">
        <f t="shared" si="1"/>
        <v>62.282917077195641</v>
      </c>
      <c r="H41" s="68"/>
      <c r="I41" s="68"/>
      <c r="J41" s="69">
        <f t="shared" si="8"/>
        <v>62.282917077195641</v>
      </c>
      <c r="K41" s="69">
        <f t="shared" si="3"/>
        <v>217.21</v>
      </c>
      <c r="L41" s="68">
        <f t="shared" si="9"/>
        <v>217.20919771262538</v>
      </c>
      <c r="P41" s="78"/>
      <c r="Q41" s="69"/>
    </row>
    <row r="42" spans="2:17" ht="15">
      <c r="B42" s="67">
        <f t="shared" si="0"/>
        <v>2057</v>
      </c>
      <c r="C42" s="70"/>
      <c r="D42" s="259">
        <f t="shared" ref="D42:E42" si="15">D41*D41/D40</f>
        <v>157.46089433875406</v>
      </c>
      <c r="E42" s="259">
        <f t="shared" si="15"/>
        <v>64.483463801427504</v>
      </c>
      <c r="F42" s="264"/>
      <c r="G42" s="69">
        <f t="shared" si="1"/>
        <v>63.640684645799659</v>
      </c>
      <c r="H42" s="68"/>
      <c r="I42" s="68"/>
      <c r="J42" s="69">
        <f t="shared" si="8"/>
        <v>63.640684645799659</v>
      </c>
      <c r="K42" s="69">
        <f t="shared" si="3"/>
        <v>221.94</v>
      </c>
      <c r="L42" s="68">
        <f t="shared" si="9"/>
        <v>221.94435814018158</v>
      </c>
      <c r="P42" s="78"/>
      <c r="Q42" s="69"/>
    </row>
    <row r="43" spans="2:17" ht="15">
      <c r="B43" s="67">
        <f t="shared" si="0"/>
        <v>2058</v>
      </c>
      <c r="C43" s="70"/>
      <c r="D43" s="259">
        <f t="shared" ref="D43:E43" si="16">D42*D42/D41</f>
        <v>160.89354177547506</v>
      </c>
      <c r="E43" s="259">
        <f t="shared" si="16"/>
        <v>65.889203287783189</v>
      </c>
      <c r="F43" s="264"/>
      <c r="G43" s="69">
        <f t="shared" si="1"/>
        <v>65.028051546883034</v>
      </c>
      <c r="H43" s="68"/>
      <c r="I43" s="68"/>
      <c r="J43" s="69">
        <f t="shared" si="8"/>
        <v>65.028051546883034</v>
      </c>
      <c r="K43" s="69">
        <f t="shared" si="3"/>
        <v>226.78</v>
      </c>
      <c r="L43" s="68">
        <f t="shared" si="9"/>
        <v>226.78274506325823</v>
      </c>
      <c r="P43" s="78"/>
      <c r="Q43" s="69"/>
    </row>
    <row r="44" spans="2:17" ht="15">
      <c r="B44" s="67">
        <f t="shared" si="0"/>
        <v>2059</v>
      </c>
      <c r="C44" s="70"/>
      <c r="D44" s="259">
        <f t="shared" ref="D44:E44" si="17">D43*D43/D42</f>
        <v>164.40102092501155</v>
      </c>
      <c r="E44" s="259">
        <f t="shared" si="17"/>
        <v>67.325587894406993</v>
      </c>
      <c r="F44" s="264"/>
      <c r="G44" s="69">
        <f t="shared" si="1"/>
        <v>66.445663045882583</v>
      </c>
      <c r="H44" s="68"/>
      <c r="I44" s="68"/>
      <c r="J44" s="69">
        <f t="shared" si="8"/>
        <v>66.445663045882583</v>
      </c>
      <c r="K44" s="69">
        <f t="shared" si="3"/>
        <v>231.73</v>
      </c>
      <c r="L44" s="68">
        <f t="shared" si="9"/>
        <v>231.72660881941854</v>
      </c>
      <c r="P44" s="78"/>
      <c r="Q44" s="69"/>
    </row>
    <row r="45" spans="2:17" ht="15">
      <c r="B45" s="67">
        <f t="shared" si="0"/>
        <v>2060</v>
      </c>
      <c r="C45" s="70"/>
      <c r="D45" s="259">
        <f t="shared" ref="D45:E45" si="18">D44*D44/D43</f>
        <v>167.98496311867447</v>
      </c>
      <c r="E45" s="259">
        <f t="shared" si="18"/>
        <v>68.793285684909108</v>
      </c>
      <c r="F45" s="264"/>
      <c r="G45" s="69">
        <f t="shared" si="1"/>
        <v>67.894178475021377</v>
      </c>
      <c r="H45" s="68"/>
      <c r="I45" s="68"/>
      <c r="J45" s="69">
        <f t="shared" si="8"/>
        <v>67.894178475021377</v>
      </c>
      <c r="K45" s="69">
        <f t="shared" si="3"/>
        <v>236.78</v>
      </c>
      <c r="L45" s="68">
        <f t="shared" si="9"/>
        <v>236.77824880358358</v>
      </c>
      <c r="P45" s="78"/>
      <c r="Q45" s="69"/>
    </row>
    <row r="46" spans="2:17" ht="15">
      <c r="B46" s="67">
        <f t="shared" si="0"/>
        <v>2061</v>
      </c>
      <c r="C46" s="70"/>
      <c r="D46" s="259">
        <f t="shared" ref="D46:E46" si="19">D45*D45/D44</f>
        <v>171.6470352507967</v>
      </c>
      <c r="E46" s="259">
        <f t="shared" si="19"/>
        <v>70.292979286686176</v>
      </c>
      <c r="F46" s="264"/>
      <c r="G46" s="69">
        <f t="shared" si="1"/>
        <v>69.37427153996471</v>
      </c>
      <c r="H46" s="68"/>
      <c r="I46" s="68"/>
      <c r="J46" s="69">
        <f t="shared" si="8"/>
        <v>69.37427153996471</v>
      </c>
      <c r="K46" s="69">
        <f t="shared" si="3"/>
        <v>241.94</v>
      </c>
      <c r="L46" s="68">
        <f t="shared" si="9"/>
        <v>241.94001453748288</v>
      </c>
      <c r="P46" s="78"/>
      <c r="Q46" s="69"/>
    </row>
    <row r="47" spans="2:17">
      <c r="B47" s="67"/>
      <c r="C47" s="70"/>
      <c r="D47" s="68"/>
      <c r="E47" s="68"/>
      <c r="F47" s="68"/>
      <c r="G47" s="69"/>
      <c r="H47" s="68"/>
      <c r="I47" s="68"/>
      <c r="J47" s="68"/>
      <c r="K47" s="68"/>
      <c r="L47" s="68"/>
      <c r="M47" s="68"/>
    </row>
    <row r="48" spans="2:17">
      <c r="B48" s="67" t="s">
        <v>307</v>
      </c>
      <c r="F48" s="68">
        <f>NPV(Discount_Rate,F15:F44)</f>
        <v>0</v>
      </c>
      <c r="G48" s="69"/>
      <c r="H48" s="68"/>
      <c r="I48" s="68"/>
      <c r="J48" s="69">
        <f>-PMT(Discount_Rate,COUNT(J$15:J$44),NPV(Discount_Rate,J$15:J$44))</f>
        <v>16.472650892831638</v>
      </c>
      <c r="K48" s="69">
        <f>-PMT(Discount_Rate,COUNT(K$15:K$44),NPV(Discount_Rate,K$15:K$44))</f>
        <v>57.448062202430926</v>
      </c>
      <c r="L48" s="69">
        <f>-PMT(Discount_Rate,COUNT(L$15:L$44),NPV(Discount_Rate,L$15:L$44))</f>
        <v>156.57463760784563</v>
      </c>
      <c r="M48" s="72"/>
    </row>
    <row r="49" spans="2:20" ht="14.25">
      <c r="B49" s="73" t="s">
        <v>25</v>
      </c>
      <c r="C49" s="74"/>
      <c r="D49" s="74"/>
      <c r="E49" s="74"/>
      <c r="F49" s="74"/>
      <c r="G49" s="74"/>
      <c r="H49" s="74"/>
      <c r="I49" s="74"/>
    </row>
    <row r="51" spans="2:20">
      <c r="B51" s="60" t="s">
        <v>59</v>
      </c>
      <c r="C51" s="75" t="s">
        <v>60</v>
      </c>
      <c r="D51" s="146" t="s">
        <v>186</v>
      </c>
    </row>
    <row r="52" spans="2:20">
      <c r="C52" s="75" t="str">
        <f>C7</f>
        <v>(a)</v>
      </c>
      <c r="D52" s="60" t="s">
        <v>61</v>
      </c>
    </row>
    <row r="53" spans="2:20">
      <c r="C53" s="75" t="str">
        <f>D7</f>
        <v>(b)</v>
      </c>
      <c r="D53" s="69" t="str">
        <f>"= "&amp;C7&amp;" x "&amp;C60</f>
        <v>= (a) x 0.06316</v>
      </c>
    </row>
    <row r="54" spans="2:20">
      <c r="C54" s="75">
        <f>F7</f>
        <v>0</v>
      </c>
      <c r="D54" s="69" t="str">
        <f>"= ("&amp;$D$7&amp;" + "&amp;$E$7&amp;") /  (8.76 x "&amp;TEXT(C61,"0.0%")&amp;")"</f>
        <v>= ((b) + (c)) /  (8.76 x 39.8%)</v>
      </c>
    </row>
    <row r="55" spans="2:20">
      <c r="C55" s="75" t="str">
        <f>J7</f>
        <v>(g)</v>
      </c>
      <c r="D55" s="69" t="str">
        <f>"= "&amp;$G$7&amp;" + "&amp;$H$7</f>
        <v>= (e) + (f)</v>
      </c>
    </row>
    <row r="56" spans="2:20">
      <c r="C56" s="75" t="str">
        <f>K7</f>
        <v>(h)</v>
      </c>
      <c r="D56" t="str">
        <f>D51</f>
        <v>Plant Costs  - 2025 IRP - Table 7.1 &amp; 7.2</v>
      </c>
    </row>
    <row r="57" spans="2:20">
      <c r="Q57" s="60" t="s">
        <v>82</v>
      </c>
      <c r="R57" s="67">
        <v>2030</v>
      </c>
      <c r="T57" s="156" t="s">
        <v>146</v>
      </c>
    </row>
    <row r="58" spans="2:20">
      <c r="B58"/>
      <c r="C58" s="274"/>
      <c r="P58" s="143"/>
      <c r="T58" s="156"/>
    </row>
    <row r="59" spans="2:20">
      <c r="B59"/>
      <c r="C59" s="275"/>
      <c r="Q59" s="60" t="s">
        <v>189</v>
      </c>
      <c r="R59" s="78">
        <v>100</v>
      </c>
    </row>
    <row r="60" spans="2:20">
      <c r="C60" s="154">
        <v>6.3159999999999994E-2</v>
      </c>
      <c r="D60" s="60" t="s">
        <v>197</v>
      </c>
      <c r="E60" s="150"/>
      <c r="F60" s="273" t="s">
        <v>198</v>
      </c>
      <c r="J60" s="258"/>
      <c r="L60" s="145"/>
      <c r="M60" s="80"/>
      <c r="N60" s="80"/>
      <c r="P60" s="81"/>
    </row>
    <row r="61" spans="2:20">
      <c r="C61" s="155">
        <v>0.39811190096326704</v>
      </c>
      <c r="D61" s="60" t="s">
        <v>35</v>
      </c>
    </row>
    <row r="62" spans="2:20">
      <c r="C62" s="161"/>
      <c r="D62" s="79"/>
      <c r="H62" s="348">
        <v>1.1000000000000001</v>
      </c>
      <c r="I62" s="60" t="s">
        <v>305</v>
      </c>
    </row>
    <row r="63" spans="2:20" ht="15">
      <c r="I63" s="105" t="s">
        <v>31</v>
      </c>
      <c r="J63" s="105" t="s">
        <v>302</v>
      </c>
    </row>
    <row r="64" spans="2:20" ht="15">
      <c r="C64" s="105"/>
      <c r="D64" s="105"/>
      <c r="E64" s="105"/>
      <c r="F64" s="105"/>
      <c r="G64" s="260">
        <v>47484</v>
      </c>
      <c r="H64" s="67">
        <f>YEAR(G64)</f>
        <v>2030</v>
      </c>
      <c r="I64" s="68">
        <f>IF($H$62=110%,INDEX('2025 IRP Assumptions'!$E$341:$E$361,MATCH(H64,'2025 IRP Assumptions'!$S$341:$S$361,0),1),INDEX('2025 IRP Assumptions'!$E$309:$E$338,MATCH(H64,'2025 IRP Assumptions'!$S$341:$S$361,0)))</f>
        <v>47.74</v>
      </c>
      <c r="J64" s="78">
        <f>I64*(8.76*$C$61)</f>
        <v>166.49135245140059</v>
      </c>
    </row>
    <row r="65" spans="3:10" ht="15">
      <c r="C65" s="260"/>
      <c r="D65" s="105"/>
      <c r="E65" s="241"/>
      <c r="F65" s="265"/>
      <c r="G65" s="260">
        <v>47849</v>
      </c>
      <c r="H65" s="67">
        <f>YEAR(G65)</f>
        <v>2031</v>
      </c>
      <c r="I65" s="68">
        <f>IF($H$62=110%,INDEX('2025 IRP Assumptions'!$E$341:$E$361,MATCH(H65,'2025 IRP Assumptions'!$S$341:$S$361,0),1),INDEX('2025 IRP Assumptions'!$E$309:$E$338,MATCH(H65,'2025 IRP Assumptions'!$S$341:$S$361,0)))</f>
        <v>49.06</v>
      </c>
      <c r="J65" s="78">
        <f t="shared" ref="J65:J73" si="20">I65*(8.76*$C$61)</f>
        <v>171.09479998461904</v>
      </c>
    </row>
    <row r="66" spans="3:10" ht="15">
      <c r="C66" s="260"/>
      <c r="D66" s="105"/>
      <c r="E66" s="241"/>
      <c r="F66" s="265"/>
      <c r="G66" s="260">
        <v>48214</v>
      </c>
      <c r="H66" s="67">
        <f t="shared" ref="H66:H73" si="21">YEAR(G66)</f>
        <v>2032</v>
      </c>
      <c r="I66" s="68">
        <f>IF($H$62=110%,INDEX('2025 IRP Assumptions'!$E$341:$E$361,MATCH(H66,'2025 IRP Assumptions'!$S$341:$S$361,0),1),INDEX('2025 IRP Assumptions'!$E$309:$E$338,MATCH(H66,'2025 IRP Assumptions'!$S$341:$S$361,0)))</f>
        <v>50.39</v>
      </c>
      <c r="J66" s="78">
        <f t="shared" si="20"/>
        <v>175.73312212036186</v>
      </c>
    </row>
    <row r="67" spans="3:10" ht="15">
      <c r="C67" s="260"/>
      <c r="D67" s="105"/>
      <c r="E67" s="241"/>
      <c r="F67" s="265"/>
      <c r="G67" s="260">
        <v>48580</v>
      </c>
      <c r="H67" s="67">
        <f t="shared" si="21"/>
        <v>2033</v>
      </c>
      <c r="I67" s="68">
        <f>IF($H$62=110%,INDEX('2025 IRP Assumptions'!$E$341:$E$361,MATCH(H67,'2025 IRP Assumptions'!$S$341:$S$361,0),1),INDEX('2025 IRP Assumptions'!$E$309:$E$338,MATCH(H67,'2025 IRP Assumptions'!$S$341:$S$361,0)))</f>
        <v>50.39</v>
      </c>
      <c r="J67" s="78">
        <f t="shared" si="20"/>
        <v>175.73312212036186</v>
      </c>
    </row>
    <row r="68" spans="3:10" ht="15">
      <c r="C68" s="260"/>
      <c r="D68" s="105"/>
      <c r="E68" s="241"/>
      <c r="F68" s="265"/>
      <c r="G68" s="260">
        <v>48945</v>
      </c>
      <c r="H68" s="67">
        <f t="shared" si="21"/>
        <v>2034</v>
      </c>
      <c r="I68" s="68">
        <f>IF($H$62=110%,INDEX('2025 IRP Assumptions'!$E$341:$E$361,MATCH(H68,'2025 IRP Assumptions'!$S$341:$S$361,0),1),INDEX('2025 IRP Assumptions'!$E$309:$E$338,MATCH(H68,'2025 IRP Assumptions'!$S$341:$S$361,0)))</f>
        <v>51.71</v>
      </c>
      <c r="J68" s="78">
        <f t="shared" si="20"/>
        <v>180.33656965358031</v>
      </c>
    </row>
    <row r="69" spans="3:10" ht="15">
      <c r="C69" s="260"/>
      <c r="D69" s="105"/>
      <c r="E69" s="241"/>
      <c r="F69" s="265"/>
      <c r="G69" s="260">
        <v>49310</v>
      </c>
      <c r="H69" s="67">
        <f t="shared" si="21"/>
        <v>2035</v>
      </c>
      <c r="I69" s="68">
        <f>IF($H$62=110%,INDEX('2025 IRP Assumptions'!$E$341:$E$361,MATCH(H69,'2025 IRP Assumptions'!$S$341:$S$361,0),1),INDEX('2025 IRP Assumptions'!$E$309:$E$338,MATCH(H69,'2025 IRP Assumptions'!$S$341:$S$361,0)))</f>
        <v>53.04</v>
      </c>
      <c r="J69" s="78">
        <f t="shared" si="20"/>
        <v>184.97489178932315</v>
      </c>
    </row>
    <row r="70" spans="3:10" ht="15">
      <c r="C70" s="260"/>
      <c r="D70" s="105"/>
      <c r="E70" s="241"/>
      <c r="F70" s="265"/>
      <c r="G70" s="260">
        <v>49675</v>
      </c>
      <c r="H70" s="67">
        <f t="shared" si="21"/>
        <v>2036</v>
      </c>
      <c r="I70" s="68">
        <f>IF($H$62=110%,INDEX('2025 IRP Assumptions'!$E$341:$E$361,MATCH(H70,'2025 IRP Assumptions'!$S$341:$S$361,0),1),INDEX('2025 IRP Assumptions'!$E$309:$E$338,MATCH(H70,'2025 IRP Assumptions'!$S$341:$S$361,0)))</f>
        <v>54.37</v>
      </c>
      <c r="J70" s="78">
        <f t="shared" si="20"/>
        <v>189.61321392506596</v>
      </c>
    </row>
    <row r="71" spans="3:10" ht="15">
      <c r="C71" s="260"/>
      <c r="D71" s="105"/>
      <c r="E71" s="241"/>
      <c r="F71" s="265"/>
      <c r="G71" s="260">
        <v>50041</v>
      </c>
      <c r="H71" s="67">
        <f t="shared" si="21"/>
        <v>2037</v>
      </c>
      <c r="I71" s="68">
        <f>IF($H$62=110%,INDEX('2025 IRP Assumptions'!$E$341:$E$361,MATCH(H71,'2025 IRP Assumptions'!$S$341:$S$361,0),1),INDEX('2025 IRP Assumptions'!$E$309:$E$338,MATCH(H71,'2025 IRP Assumptions'!$S$341:$S$361,0)))</f>
        <v>55.69</v>
      </c>
      <c r="J71" s="78">
        <f t="shared" si="20"/>
        <v>194.21666145828442</v>
      </c>
    </row>
    <row r="72" spans="3:10" ht="15">
      <c r="C72" s="260"/>
      <c r="D72" s="105"/>
      <c r="E72" s="241"/>
      <c r="F72" s="265"/>
      <c r="G72" s="260">
        <v>50406</v>
      </c>
      <c r="H72" s="67">
        <f t="shared" si="21"/>
        <v>2038</v>
      </c>
      <c r="I72" s="68">
        <f>IF($H$62=110%,INDEX('2025 IRP Assumptions'!$E$341:$E$361,MATCH(H72,'2025 IRP Assumptions'!$S$341:$S$361,0),1),INDEX('2025 IRP Assumptions'!$E$309:$E$338,MATCH(H72,'2025 IRP Assumptions'!$S$341:$S$361,0)))</f>
        <v>55.69</v>
      </c>
      <c r="J72" s="78">
        <f t="shared" si="20"/>
        <v>194.21666145828442</v>
      </c>
    </row>
    <row r="73" spans="3:10" ht="15">
      <c r="C73" s="260"/>
      <c r="D73" s="105"/>
      <c r="E73" s="241"/>
      <c r="F73" s="265"/>
      <c r="G73" s="260">
        <v>50771</v>
      </c>
      <c r="H73" s="67">
        <f t="shared" si="21"/>
        <v>2039</v>
      </c>
      <c r="I73" s="68">
        <f>IF($H$62=110%,INDEX('2025 IRP Assumptions'!$E$341:$E$361,MATCH(H73,'2025 IRP Assumptions'!$S$341:$S$361,0),1),INDEX('2025 IRP Assumptions'!$E$309:$E$338,MATCH(H73,'2025 IRP Assumptions'!$S$341:$S$361,0)))</f>
        <v>57.02</v>
      </c>
      <c r="J73" s="78">
        <f t="shared" si="20"/>
        <v>198.85498359402726</v>
      </c>
    </row>
    <row r="74" spans="3:10" ht="15">
      <c r="C74" s="260"/>
      <c r="D74" s="105"/>
      <c r="E74" s="241"/>
      <c r="F74" s="265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177</v>
      </c>
      <c r="J76" s="60">
        <f>INDEX('2025 IRP Assumptions'!$E$126:$E$157,MATCH(T57,'2025 IRP Assumptions'!$C$126:$C$157,0),1)</f>
        <v>30</v>
      </c>
    </row>
    <row r="77" spans="3:10" ht="15">
      <c r="C77" s="105"/>
      <c r="D77" s="105"/>
      <c r="E77" s="261"/>
      <c r="F77" s="261"/>
      <c r="G77" s="105" t="s">
        <v>309</v>
      </c>
      <c r="I77" s="261"/>
      <c r="J77" s="261">
        <f>-PMT(Real_Discount_Rate,J76,NPV(Discount_Rate,J64:J73))</f>
        <v>76.819091181512249</v>
      </c>
    </row>
    <row r="80" spans="3:10">
      <c r="C80" s="77"/>
      <c r="D80" s="79"/>
    </row>
    <row r="81" spans="3:4">
      <c r="C81" s="77"/>
      <c r="D81" s="79"/>
    </row>
    <row r="82" spans="3:4">
      <c r="C82" s="77"/>
      <c r="D82" s="79"/>
    </row>
    <row r="83" spans="3:4">
      <c r="C83" s="77"/>
      <c r="D83" s="79"/>
    </row>
    <row r="84" spans="3:4">
      <c r="C84" s="77"/>
      <c r="D84" s="79"/>
    </row>
    <row r="85" spans="3:4">
      <c r="C85" s="77"/>
      <c r="D85" s="79"/>
    </row>
    <row r="86" spans="3:4">
      <c r="C86" s="77"/>
      <c r="D86" s="79"/>
    </row>
    <row r="87" spans="3:4">
      <c r="C87" s="77"/>
      <c r="D87" s="79"/>
    </row>
    <row r="88" spans="3:4">
      <c r="C88" s="77"/>
      <c r="D88" s="79"/>
    </row>
    <row r="89" spans="3:4">
      <c r="C89" s="77"/>
      <c r="D89" s="79"/>
    </row>
  </sheetData>
  <hyperlinks>
    <hyperlink ref="F60" r:id="rId1" xr:uid="{3722A454-B678-4F2C-858B-466D30682BC9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2660F878EBB14C9C0EACA228947D1F" ma:contentTypeVersion="8" ma:contentTypeDescription="Create a new document." ma:contentTypeScope="" ma:versionID="05ef3c0d3df07872c58ff70afcba4304">
  <xsd:schema xmlns:xsd="http://www.w3.org/2001/XMLSchema" xmlns:xs="http://www.w3.org/2001/XMLSchema" xmlns:p="http://schemas.microsoft.com/office/2006/metadata/properties" xmlns:ns2="8d2ccb4a-2d3f-46ea-a8a7-18f2e8db3b7b" xmlns:ns3="dd95e425-d589-47f0-8d5d-becc6564e3ac" targetNamespace="http://schemas.microsoft.com/office/2006/metadata/properties" ma:root="true" ma:fieldsID="22da6206cf967850f9a0e84d6e686f32" ns2:_="" ns3:_="">
    <xsd:import namespace="8d2ccb4a-2d3f-46ea-a8a7-18f2e8db3b7b"/>
    <xsd:import namespace="dd95e425-d589-47f0-8d5d-becc6564e3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2ccb4a-2d3f-46ea-a8a7-18f2e8db3b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95e425-d589-47f0-8d5d-becc6564e3a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2A7E464-C456-4729-B954-7B72C9327B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2ccb4a-2d3f-46ea-a8a7-18f2e8db3b7b"/>
    <ds:schemaRef ds:uri="dd95e425-d589-47f0-8d5d-becc6564e3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15480B-9001-407D-BB41-090580D4025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D26F722-E643-46B9-9579-D0B9F2251F4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12</vt:i4>
      </vt:variant>
    </vt:vector>
  </HeadingPairs>
  <TitlesOfParts>
    <vt:vector size="31" baseType="lpstr">
      <vt:lpstr>Appendix D.3</vt:lpstr>
      <vt:lpstr>Table 1</vt:lpstr>
      <vt:lpstr>Table 2</vt:lpstr>
      <vt:lpstr>Table 4</vt:lpstr>
      <vt:lpstr>Table 5</vt:lpstr>
      <vt:lpstr>Table3Compare</vt:lpstr>
      <vt:lpstr>2025 IRP Assumptions</vt:lpstr>
      <vt:lpstr>WD_.PX.BDG._.PTC.2029</vt:lpstr>
      <vt:lpstr>WD_.PX.BDG._.PTC.2030</vt:lpstr>
      <vt:lpstr>WD_.PX.BDG._.PTC.2031</vt:lpstr>
      <vt:lpstr>WD_.PX.NUT._.PTC.2029</vt:lpstr>
      <vt:lpstr>Table 3 WD_.PX.DJW._.PTC.2029</vt:lpstr>
      <vt:lpstr>WD_.PX.DJW._.PTC.2030</vt:lpstr>
      <vt:lpstr>WD_.PX.DJW._.PTC.2031</vt:lpstr>
      <vt:lpstr>PV_.PX.BDG._.PTC.2031</vt:lpstr>
      <vt:lpstr>PV_.PX.HTG._.PTC.2031</vt:lpstr>
      <vt:lpstr>PV_.PX.NTN._.PTC.2031</vt:lpstr>
      <vt:lpstr>PV_.PX.UTS._.PTC.2031</vt:lpstr>
      <vt:lpstr>GSC.PX.BDG._.___.Frame 2030</vt:lpstr>
      <vt:lpstr>Discount_Rate</vt:lpstr>
      <vt:lpstr>Inflation</vt:lpstr>
      <vt:lpstr>PV_.PX.BDG._.PTC.2031!Print_Area</vt:lpstr>
      <vt:lpstr>PV_.PX.HTG._.PTC.2031!Print_Area</vt:lpstr>
      <vt:lpstr>PV_.PX.NTN._.PTC.2031!Print_Area</vt:lpstr>
      <vt:lpstr>PV_.PX.UTS._.PTC.2031!Print_Area</vt:lpstr>
      <vt:lpstr>'Table 1'!Print_Area</vt:lpstr>
      <vt:lpstr>'Table 3 WD_.PX.DJW._.PTC.2029'!Print_Area</vt:lpstr>
      <vt:lpstr>'Table 5'!Print_Area</vt:lpstr>
      <vt:lpstr>Real_Discount_Rate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2024-04-30T20:43:04Z</cp:lastPrinted>
  <dcterms:created xsi:type="dcterms:W3CDTF">2001-03-19T15:45:46Z</dcterms:created>
  <dcterms:modified xsi:type="dcterms:W3CDTF">2025-09-30T19:33:37Z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0x010100602660F878EBB14C9C0EACA228947D1F</vt:lpwstr>
  </property>
</Properties>
</file>